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3.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omments4.xml" ContentType="application/vnd.openxmlformats-officedocument.spreadsheetml.comments+xml"/>
  <Override PartName="/xl/drawings/drawing4.xml" ContentType="application/vnd.openxmlformats-officedocument.drawing+xml"/>
  <Override PartName="/xl/ctrlProps/ctrlProp1.xml" ContentType="application/vnd.ms-excel.controlpropertie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https://catrockcap-my.sharepoint.com/personal/dberring_catrockcap_com/Documents/Documents/AI folder for models/12.31.24/"/>
    </mc:Choice>
  </mc:AlternateContent>
  <xr:revisionPtr revIDLastSave="5" documentId="8_{541111E6-9288-4CBC-9F6E-B6CE815CFF33}" xr6:coauthVersionLast="47" xr6:coauthVersionMax="47" xr10:uidLastSave="{940CBE74-3FD7-48EB-A879-61F8DCB25C76}"/>
  <bookViews>
    <workbookView xWindow="-110" yWindow="-110" windowWidth="19420" windowHeight="11500" firstSheet="1" activeTab="2" xr2:uid="{00000000-000D-0000-FFFF-FFFF00000000}"/>
  </bookViews>
  <sheets>
    <sheet name="__snloffice" sheetId="22" state="veryHidden" r:id="rId1"/>
    <sheet name="Base" sheetId="23" r:id="rId2"/>
    <sheet name="Upside" sheetId="4" r:id="rId3"/>
    <sheet name="Historicals and forecast" sheetId="3" r:id="rId4"/>
    <sheet name="Disclosed financials" sheetId="8" r:id="rId5"/>
    <sheet name="Guidance" sheetId="21" r:id="rId6"/>
    <sheet name="FY18, 19 vs Market" sheetId="27" r:id="rId7"/>
    <sheet name="FY18, 19 Commentary" sheetId="26" r:id="rId8"/>
    <sheet name="v BYIT" sheetId="24" r:id="rId9"/>
    <sheet name="Charts" sheetId="25" r:id="rId10"/>
    <sheet name="Notes" sheetId="5" r:id="rId11"/>
    <sheet name="_CIQHiddenCacheSheet" sheetId="17" state="veryHidden" r:id="rId12"/>
    <sheet name="Canalyst" sheetId="18" r:id="rId13"/>
    <sheet name="CapIQ - as disclosed" sheetId="6" r:id="rId14"/>
    <sheet name="CapIQ - standard" sheetId="7" r:id="rId15"/>
    <sheet name="Tearsheet" sheetId="2" r:id="rId16"/>
    <sheet name="CapIQ" sheetId="1" r:id="rId17"/>
  </sheets>
  <externalReferences>
    <externalReference r:id="rId18"/>
  </externalReferences>
  <definedNames>
    <definedName name="AA.ColorizerVersion">"2.0.4.0"</definedName>
    <definedName name="AA.CSIN">"TKDSV50174"</definedName>
    <definedName name="AA.CurationVersion">"2023.3.1.0"</definedName>
    <definedName name="AA.DBMacroVersion">"1.0.12.0"</definedName>
    <definedName name="AA.FreeCashFlow">"TRUE"</definedName>
    <definedName name="AA.ModelChecks.LatestMRQ">"H1-2021"</definedName>
    <definedName name="AA.ModelChecks.LatestVersionNumber">"2.35.12.0"</definedName>
    <definedName name="AA.ModelColorScheme">"Classic"</definedName>
    <definedName name="AA.ModelColumnOrder">"QQFYFY"</definedName>
    <definedName name="AA.ModelVersion">"H1-2023.21"</definedName>
    <definedName name="AA.PartialUpdate.BsAvailable">"TRUE"</definedName>
    <definedName name="AA.PartialUpdate.CfsAvailable">"TRUE"</definedName>
    <definedName name="AA.PartialUpdate.IsAvailable">"TRUE"</definedName>
    <definedName name="AA.PeriodGrouperVersion">"3.0.4.0"</definedName>
    <definedName name="AA.PeriodLayout">"HFY"</definedName>
    <definedName name="AA.RowNameEnforcerVersion">"2023.3.1.0"</definedName>
    <definedName name="AA.SessionToUploadId">""</definedName>
    <definedName name="AA.StartWorkModelVersion">"FY2022.32"</definedName>
    <definedName name="AA.StartWorkType">""</definedName>
    <definedName name="AA.SubyearType">"H"</definedName>
    <definedName name="AA.TemplateUpgradeAttempted">"TRUE"</definedName>
    <definedName name="AA.TemplateVersion">"7.4.5.0"</definedName>
    <definedName name="AA.UpdateType">"Regular"</definedName>
    <definedName name="CIQWBGuid" hidden="1">"SCT.xlsx"</definedName>
    <definedName name="DB">"WIREUK"</definedName>
    <definedName name="FP.DataSourceName">#REF!</definedName>
    <definedName name="FP.LastPrice">#REF!</definedName>
    <definedName name="FP.LastPriceDate">#REF!</definedName>
    <definedName name="FP.RealTimeToggle">#REF!</definedName>
    <definedName name="HP.MRFX">Canalyst!$B$574</definedName>
    <definedName name="HP.ReportCurrency">Canalyst!$B$573</definedName>
    <definedName name="HP.Ticker">Canalyst!$A$2</definedName>
    <definedName name="HP.TradeCurrency">Canalyst!$B$571</definedName>
    <definedName name="HP.TradeCurrency.HardCoded">Canalyst!$B$572</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44767.4675462963</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MO.ApplyTradeCurrencyScaling">Canalyst!$B$570</definedName>
    <definedName name="MO.CFY">Canalyst!$B$578</definedName>
    <definedName name="MO.CompanyName">Canalyst!$A$1</definedName>
    <definedName name="MO.DataSourceIndex">Canalyst!$B$581</definedName>
    <definedName name="MO.DataSourceName">Canalyst!$A$4</definedName>
    <definedName name="MO.FirstForecastedFiscalYear">Canalyst!$B$579</definedName>
    <definedName name="MO.KPI.1">Canalyst!$A$509</definedName>
    <definedName name="MO.KPI.2">Canalyst!$A$510</definedName>
    <definedName name="MO.KPI.3">Canalyst!$A$511</definedName>
    <definedName name="MO.KPI.4">Canalyst!$A$512</definedName>
    <definedName name="MO.KPI.5">Canalyst!$A$513</definedName>
    <definedName name="MO.KPI.6">Canalyst!$A$514</definedName>
    <definedName name="MO.KPI.Count">Canalyst!$B$580</definedName>
    <definedName name="MO.LastPrice">Canalyst!$B$3</definedName>
    <definedName name="MO.LastPriceDate">Canalyst!$B$567</definedName>
    <definedName name="MO.LastPriceFormula">Canalyst!$B$569</definedName>
    <definedName name="MO.LastPriceHardcoded">Canalyst!$B$566</definedName>
    <definedName name="MO.MRFP">Canalyst!$B$577</definedName>
    <definedName name="MO.MRFPColumnNumber">Canalyst!$B$576</definedName>
    <definedName name="MO.MRFX.Hardcoded">Canalyst!$B$575</definedName>
    <definedName name="MO.RealTime">Canalyst!$B$4</definedName>
    <definedName name="MO.RealTimeStockPriceToggle">Canalyst!$B$568</definedName>
    <definedName name="MO.ReportCurrency">Canalyst!$B$573</definedName>
    <definedName name="MO.ReportFX">Canalyst!$A$5</definedName>
    <definedName name="MO.Ticker">Canalyst!$A$2</definedName>
    <definedName name="MO.Ticker.Bloomberg">Canalyst!$A$489</definedName>
    <definedName name="MO.Ticker.Canalyst">Canalyst!$A$488</definedName>
    <definedName name="MO.Ticker.CapIQ">Canalyst!$A$490</definedName>
    <definedName name="MO.Ticker.FactSet">Canalyst!$A$491</definedName>
    <definedName name="MO.Ticker.Thomson">Canalyst!$A$492</definedName>
    <definedName name="MO.TradingCurrency">Canalyst!$A$3</definedName>
    <definedName name="MO.ValuationToggle">Canalyst!$B$290</definedName>
    <definedName name="MO_AN_EBIT_Adj">Canalyst!$162:$162</definedName>
    <definedName name="MO_AN_NI_NONGAAP_Diluted">Canalyst!$168:$168</definedName>
    <definedName name="MO_BS_AP">Canalyst!$439:$439</definedName>
    <definedName name="MO_BS_AR">Canalyst!$425:$425</definedName>
    <definedName name="MO_BS_CA">Canalyst!$428:$428</definedName>
    <definedName name="MO_BS_Cash">Canalyst!$426:$426</definedName>
    <definedName name="MO_BS_CL">Canalyst!$445:$445</definedName>
    <definedName name="MO_BS_CommonStock">Canalyst!$456:$456</definedName>
    <definedName name="MO_BS_ContractLiabilities_Current">Canalyst!$440:$440</definedName>
    <definedName name="MO_BS_ContractLiabilities_NonCurrent">Canalyst!$448:$448</definedName>
    <definedName name="MO_BS_ContributedSurplus">Canalyst!$457:$457</definedName>
    <definedName name="MO_BS_Intangibles">Canalyst!$433:$433</definedName>
    <definedName name="MO_BS_INV">Canalyst!$424:$424</definedName>
    <definedName name="MO_BS_LeaseLiabilities_Current">Canalyst!$442:$442</definedName>
    <definedName name="MO_BS_LeaseLiabilities_NonCurrent">Canalyst!$449:$449</definedName>
    <definedName name="MO_BS_NCA">Canalyst!$435:$435</definedName>
    <definedName name="MO_BS_NCI">Canalyst!$461:$461</definedName>
    <definedName name="MO_BS_NCL">Canalyst!$452:$452</definedName>
    <definedName name="MO_BS_OL_Current">Canalyst!$442:$442</definedName>
    <definedName name="MO_BS_OL_NonCurrent">Canalyst!$449:$449</definedName>
    <definedName name="MO_BS_PPE">Canalyst!$431:$431</definedName>
    <definedName name="MO_BS_RetainedEarnings">Canalyst!$459:$459</definedName>
    <definedName name="MO_BS_ROU">Canalyst!$432:$432</definedName>
    <definedName name="MO_BS_SE">Canalyst!$460:$460</definedName>
    <definedName name="MO_BS_TA">Canalyst!$436:$436</definedName>
    <definedName name="MO_BS_TaxAssets_Deferred_NonCurrent">Canalyst!$434:$434</definedName>
    <definedName name="MO_BS_TL">Canalyst!$453:$453</definedName>
    <definedName name="MO_BS_TLSE">Canalyst!$462:$462</definedName>
    <definedName name="MO_BSS_Cash">Canalyst!$252:$252</definedName>
    <definedName name="MO_BSS_Debt">Canalyst!$255:$255</definedName>
    <definedName name="MO_BSS_Debt_LT">Canalyst!$254:$254</definedName>
    <definedName name="MO_BSS_Debt_Net">Canalyst!$257:$257</definedName>
    <definedName name="MO_BSS_Debt_ST">Canalyst!$253:$253</definedName>
    <definedName name="MO_BSS_Debt_ToCF">Canalyst!$268:$268</definedName>
    <definedName name="MO_BSS_Debt_ToEBITDA">Canalyst!$267:$267</definedName>
    <definedName name="MO_BSS_IE">Canalyst!$259:$259</definedName>
    <definedName name="MO_BSS_IE_Net">Canalyst!$263:$263</definedName>
    <definedName name="MO_BSS_II">Canalyst!$261:$261</definedName>
    <definedName name="MO_BSS_InterestRate_Cash">Canalyst!$262:$262</definedName>
    <definedName name="MO_BSS_InterestRate_Debt">Canalyst!$260:$260</definedName>
    <definedName name="MO_BSS_NetInterestCoverage">Canalyst!$266:$266</definedName>
    <definedName name="MO_BSS_NetInterestRate_Debt">Canalyst!$264:$264</definedName>
    <definedName name="MO_BSS_OL">Canalyst!$256:$256</definedName>
    <definedName name="MO_CFS_Amortization">Canalyst!$318:$318</definedName>
    <definedName name="MO_CFS_Balance_Begin">Canalyst!$354:$354</definedName>
    <definedName name="MO_CFS_Balance_End">Canalyst!$355:$355</definedName>
    <definedName name="MO_CFS_Buyback">Canalyst!$341:$341</definedName>
    <definedName name="MO_CFS_CFF">Canalyst!$349:$349</definedName>
    <definedName name="MO_CFS_CFI">Canalyst!$337:$337</definedName>
    <definedName name="MO_CFS_CFO">Canalyst!$329:$329</definedName>
    <definedName name="MO_CFS_CFO_BeforeWC">Canalyst!$325:$325</definedName>
    <definedName name="MO_CFS_DA">Canalyst!$115:$115</definedName>
    <definedName name="MO_CFS_Depreciation">Canalyst!$113:$113</definedName>
    <definedName name="MO_CFS_Dividend">Canalyst!$345:$345</definedName>
    <definedName name="MO_CFS_FX">Canalyst!$351:$351</definedName>
    <definedName name="MO_CFS_Lease_CapitalPaid">Canalyst!$346:$346</definedName>
    <definedName name="MO_CFS_NetChange">Canalyst!$352:$352</definedName>
    <definedName name="MO_CFS_NetEquityIssued">Canalyst!$340:$340</definedName>
    <definedName name="MO_CFS_NewEquityIssued">Canalyst!$340:$340</definedName>
    <definedName name="MO_CFS_ROU_D">Canalyst!$317:$317</definedName>
    <definedName name="MO_CFS_WC_AP">Canalyst!$328:$328</definedName>
    <definedName name="MO_CFS_WC_AR">Canalyst!$327:$327</definedName>
    <definedName name="MO_CFS_WC_INV">Canalyst!$326:$326</definedName>
    <definedName name="MO_CFSum_Acquisition">Canalyst!$230:$230</definedName>
    <definedName name="MO_CFSum_Capex">Canalyst!$228:$228</definedName>
    <definedName name="MO_CFSum_CFO">Canalyst!$224:$224</definedName>
    <definedName name="MO_CFSum_CFO_BeforeWC">Canalyst!$222:$222</definedName>
    <definedName name="MO_CFSum_CFOPS">Canalyst!$226:$226</definedName>
    <definedName name="MO_CFSum_CFOPS_BeforeWC">Canalyst!$225:$225</definedName>
    <definedName name="MO_CFSum_CFPS">Canalyst!$226:$226</definedName>
    <definedName name="MO_CFSum_ChangeInWC">Canalyst!$223:$223</definedName>
    <definedName name="MO_CFSum_ConsensusEstimatesCapex">Canalyst!$229:$229</definedName>
    <definedName name="MO_CFSum_ConsensusEstimatesCashFlowPerDilutedShare">Canalyst!$227:$227</definedName>
    <definedName name="MO_CFSum_Divestiture">Canalyst!$231:$231</definedName>
    <definedName name="MO_CFSum_Dividend">Canalyst!$232:$232</definedName>
    <definedName name="MO_CFSum_DPS">Canalyst!$233:$233</definedName>
    <definedName name="MO_CFSum_FCF_PostDivPostAD">Canalyst!$244:$244</definedName>
    <definedName name="MO_CFSum_FCF_PostDivPostADPostDebtPostBuyback">Canalyst!$245:$245</definedName>
    <definedName name="MO_CFSum_FCF_PostDivPreAD">Canalyst!$243:$243</definedName>
    <definedName name="MO_CFSum_FCF_PostWCPostDivPostAD">Canalyst!$248:$248</definedName>
    <definedName name="MO_CFSum_FCF_PostWCPostDivPostADPostDebtPostBuyback">Canalyst!$249:$249</definedName>
    <definedName name="MO_CFSum_FCF_PostWCPostDivPreAD">Canalyst!$247:$247</definedName>
    <definedName name="MO_CFSum_FCF_PostWCPreDiv">Canalyst!$246:$246</definedName>
    <definedName name="MO_CFSum_FCF_PreDiv">Canalyst!$242:$242</definedName>
    <definedName name="MO_CFSum_NetDebtIssuance">Canalyst!$235:$235</definedName>
    <definedName name="MO_CFSum_NetShares">Canalyst!$236:$236</definedName>
    <definedName name="MO_CFSum_NetShares_Price">Canalyst!$237:$237</definedName>
    <definedName name="MO_CFSum_SBC">Canalyst!$239:$239</definedName>
    <definedName name="MO_CFSum_SBC_Margin">Canalyst!$240:$240</definedName>
    <definedName name="MO_Checks_Bottom">Canalyst!$Z$467:$AS$483</definedName>
    <definedName name="MO_Checks_BS">Canalyst!$464:$464</definedName>
    <definedName name="MO_Checks_CF">Canalyst!$357:$357</definedName>
    <definedName name="MO_Checks_IS">Canalyst!$156:$156</definedName>
    <definedName name="MO_Common_Column_A">Canalyst!$A:$A</definedName>
    <definedName name="MO_Common_Column_B">Canalyst!$B:$B</definedName>
    <definedName name="MO_Common_ColumnHeader">Canalyst!$5:$5</definedName>
    <definedName name="MO_Common_CompanySubtitle">Canalyst!$2:$2</definedName>
    <definedName name="MO_Common_CompanyTitle">Canalyst!$1:$1</definedName>
    <definedName name="MO_Common_FPDays">Canalyst!$3:$3</definedName>
    <definedName name="MO_Common_QEndDate">Canalyst!$4:$4</definedName>
    <definedName name="MO_Common_QEndDate_LWD">Canalyst!$560:$560</definedName>
    <definedName name="MO_DAF_A">Canalyst!$376:$376</definedName>
    <definedName name="MO_DAF_A_Percentage">Canalyst!$382:$382</definedName>
    <definedName name="MO_DAF_Capex">Canalyst!$387:$387</definedName>
    <definedName name="MO_DAF_CashEffectOfCapitalRepayment">Canalyst!$413:$413</definedName>
    <definedName name="MO_DAF_CashEffectOfNewLeases">Canalyst!$414:$414</definedName>
    <definedName name="MO_DAF_D">Canalyst!$370:$370</definedName>
    <definedName name="MO_DAF_D_Percentage">Canalyst!$381:$381</definedName>
    <definedName name="MO_DAF_DA">Canalyst!$386:$386</definedName>
    <definedName name="MO_DAF_Intangibles_BoP">Canalyst!$375:$375</definedName>
    <definedName name="MO_DAF_Intangibles_Capex">Canalyst!$377:$377</definedName>
    <definedName name="MO_DAF_Intangibles_Capex_Percent">Canalyst!$388:$388</definedName>
    <definedName name="MO_DAF_Intangibles_EoP">Canalyst!$379:$379</definedName>
    <definedName name="MO_DAF_Intangibles_Life">Canalyst!$384:$384</definedName>
    <definedName name="MO_DAF_Intangibles_Other">Canalyst!$378:$378</definedName>
    <definedName name="MO_DAF_Lease_Additions">Canalyst!$400:$400</definedName>
    <definedName name="MO_DAF_Lease_BoP">Canalyst!$399:$399</definedName>
    <definedName name="MO_DAF_Lease_CapitalPaid">Canalyst!$408:$408</definedName>
    <definedName name="MO_DAF_Lease_CapitalRepayments">Canalyst!$401:$401</definedName>
    <definedName name="MO_DAF_Lease_CashPaid">Canalyst!$409:$409</definedName>
    <definedName name="MO_DAF_Lease_CashPayments_Change_H">Canalyst!$419:$419</definedName>
    <definedName name="MO_DAF_Lease_CashPayments_Change_Y">Canalyst!$420:$420</definedName>
    <definedName name="MO_DAF_Lease_CashPayments_Monthly">Canalyst!$418:$418</definedName>
    <definedName name="MO_DAF_Lease_Current_Perc">Canalyst!$405:$405</definedName>
    <definedName name="MO_DAF_Lease_EoP">Canalyst!$404:$404</definedName>
    <definedName name="MO_DAF_Lease_InterestPaid">Canalyst!$407:$407</definedName>
    <definedName name="MO_DAF_Lease_Other">Canalyst!$403:$403</definedName>
    <definedName name="MO_DAF_NewLeaseObligations">Canalyst!$415:$415</definedName>
    <definedName name="MO_DAF_NewLeaseObligations_PV">Canalyst!$416:$416</definedName>
    <definedName name="MO_DAF_PPE_BoP">Canalyst!$369:$369</definedName>
    <definedName name="MO_DAF_PPE_Capex">Canalyst!$371:$371</definedName>
    <definedName name="MO_DAF_PPE_EoP">Canalyst!$373:$373</definedName>
    <definedName name="MO_DAF_PPE_Life">Canalyst!$383:$383</definedName>
    <definedName name="MO_DAF_PPE_Other">Canalyst!$372:$372</definedName>
    <definedName name="MO_DAF_ROU_Additions">Canalyst!$392:$392</definedName>
    <definedName name="MO_DAF_ROU_BoP">Canalyst!$390:$390</definedName>
    <definedName name="MO_DAF_ROU_D">Canalyst!$391:$391</definedName>
    <definedName name="MO_DAF_ROU_D_Perc">Canalyst!$396:$396</definedName>
    <definedName name="MO_DAF_ROU_EoP">Canalyst!$394:$394</definedName>
    <definedName name="MO_DAF_ROU_InterestRate">Canalyst!$411:$411</definedName>
    <definedName name="MO_DAF_ROU_Life">Canalyst!$397:$397</definedName>
    <definedName name="MO_DAF_ROU_Other">Canalyst!$393:$393</definedName>
    <definedName name="MO_FE_FC">Canalyst!$275:$275</definedName>
    <definedName name="MO_FE_FCBreakdown_IE">Canalyst!$273:$273</definedName>
    <definedName name="MO_FE_FCBreakdown_IE_Debt">Canalyst!$271:$271</definedName>
    <definedName name="MO_FE_FCBreakdown_IE_Leases">Canalyst!$272:$272</definedName>
    <definedName name="MO_FE_FCBreakdown_OFE">Canalyst!$274:$274</definedName>
    <definedName name="MO_FE_FI">Canalyst!$279:$279</definedName>
    <definedName name="MO_FE_FIBreakdown_II">Canalyst!$277:$277</definedName>
    <definedName name="MO_FE_FIBreakdown_OFI">Canalyst!$278:$278</definedName>
    <definedName name="MO_FE_IE">Canalyst!$283:$283</definedName>
    <definedName name="MO_FE_IE_Debt">Canalyst!$281:$281</definedName>
    <definedName name="MO_FE_IE_Leases">Canalyst!$282:$282</definedName>
    <definedName name="MO_FE_II">Canalyst!$284:$284</definedName>
    <definedName name="MO_FE_NFC">Canalyst!$287:$287</definedName>
    <definedName name="MO_FE_NIE">Canalyst!$285:$285</definedName>
    <definedName name="MO_FE_OFE_Net">Canalyst!$286:$286</definedName>
    <definedName name="MO_GA_TotalRevenue">Canalyst!$10:$10</definedName>
    <definedName name="MO_IS_EBIT">Canalyst!$138:$138</definedName>
    <definedName name="MO_IS_FE">Canalyst!$142:$142</definedName>
    <definedName name="MO_IS_FI">Canalyst!$140:$140</definedName>
    <definedName name="MO_IS_FirstRow">Canalyst!$134:$134</definedName>
    <definedName name="MO_IS_GA">Canalyst!$137:$137</definedName>
    <definedName name="MO_IS_GP">Canalyst!$136:$136</definedName>
    <definedName name="MO_IS_REV">Canalyst!$134:$134</definedName>
    <definedName name="MO_IS_Tax">Canalyst!$153:$153</definedName>
    <definedName name="MO_MA_COGS">Canalyst!$118:$118</definedName>
    <definedName name="MO_MA_DA">Canalyst!$127:$127</definedName>
    <definedName name="MO_MA_EBIT">Canalyst!$123:$123</definedName>
    <definedName name="MO_MA_EBIT_Adj">Canalyst!$124:$124</definedName>
    <definedName name="MO_MA_EBITDA">Canalyst!$129:$129</definedName>
    <definedName name="MO_MA_EBITDA_Adj">Canalyst!$130:$130</definedName>
    <definedName name="MO_MA_GA">Canalyst!$122:$122</definedName>
    <definedName name="MO_MA_GM">Canalyst!$119:$119</definedName>
    <definedName name="MO_MA_SBC">Canalyst!$128:$128</definedName>
    <definedName name="MO_OS_EmployeeCount">Canalyst!$100:$100</definedName>
    <definedName name="MO_RIS_Adjustments_Dilution_GAAP">Canalyst!$198:$198</definedName>
    <definedName name="MO_RIS_Adjustments_Dilution_NONGAAP">Canalyst!$201:$201</definedName>
    <definedName name="MO_RIS_Adjustments_NONGAAP">Canalyst!$200:$200</definedName>
    <definedName name="MO_RIS_COGS">Canalyst!$174:$174</definedName>
    <definedName name="MO_RIS_DA">Canalyst!$182:$182</definedName>
    <definedName name="MO_RIS_DisCont">Canalyst!$194:$194</definedName>
    <definedName name="MO_RIS_Dividend_Prefs">Canalyst!$196:$196</definedName>
    <definedName name="MO_RIS_EBIT">Canalyst!$178:$178</definedName>
    <definedName name="MO_RIS_EBIT_Adj">Canalyst!$179:$179</definedName>
    <definedName name="MO_RIS_EBITDA">Canalyst!$184:$184</definedName>
    <definedName name="MO_RIS_EBITDA_Adj">Canalyst!$185:$185</definedName>
    <definedName name="MO_RIS_EBT">Canalyst!$189:$189</definedName>
    <definedName name="MO_RIS_EPS_WAB">Canalyst!$207:$207</definedName>
    <definedName name="MO_RIS_EPS_WAD">Canalyst!$208:$208</definedName>
    <definedName name="MO_RIS_EPS_WAD_Adj">Canalyst!$210:$210</definedName>
    <definedName name="MO_RIS_FE_Net">Canalyst!$188:$188</definedName>
    <definedName name="MO_RIS_GA">Canalyst!$177:$177</definedName>
    <definedName name="MO_RIS_GP">Canalyst!$175:$175</definedName>
    <definedName name="MO_RIS_IE">Canalyst!$281:$281</definedName>
    <definedName name="MO_RIS_IE_Net">Canalyst!$285:$285</definedName>
    <definedName name="MO_RIS_II">Canalyst!$284:$284</definedName>
    <definedName name="MO_RIS_NCI">Canalyst!$195:$195</definedName>
    <definedName name="MO_RIS_NI_ContinOp">Canalyst!$193:$193</definedName>
    <definedName name="MO_RIS_NI_GAAP_Basic">Canalyst!$197:$197</definedName>
    <definedName name="MO_RIS_NI_GAAP_Diluted">Canalyst!$199:$199</definedName>
    <definedName name="MO_RIS_NI_NONGAAP_Diluted">Canalyst!$202:$202</definedName>
    <definedName name="MO_RIS_REV">Canalyst!$171:$171</definedName>
    <definedName name="MO_RIS_SBC">Canalyst!$183:$183</definedName>
    <definedName name="MO_RIS_ShareCount_WAB">Canalyst!$213:$213</definedName>
    <definedName name="MO_RIS_ShareCount_WAD">Canalyst!$214:$214</definedName>
    <definedName name="MO_RIS_ShareCount_WAD_Adj">Canalyst!$216:$216</definedName>
    <definedName name="MO_RIS_Tax_Current">Canalyst!$191:$191</definedName>
    <definedName name="MO_RIS_Tax_Deferred">Canalyst!$192:$192</definedName>
    <definedName name="MO_RIS_TaxRate_Current">Canalyst!$204:$204</definedName>
    <definedName name="MO_RIS_TaxRate_Deferred">Canalyst!$205:$205</definedName>
    <definedName name="MO_SCA_ShareCount_EoP">Canalyst!$219:$219</definedName>
    <definedName name="MO_SCA_ShareCount_EoP_Class1">Canalyst!$219:$219</definedName>
    <definedName name="MO_SCA_ShareCount_EoP_Ticker1">Canalyst!$219:$219</definedName>
    <definedName name="MO_Section_AdjustedNumbers">Canalyst!$158:$158</definedName>
    <definedName name="MO_Section_BalanceSheet">Canalyst!$422:$422</definedName>
    <definedName name="MO_Section_BalanceSheetSummary">Canalyst!$251:$251</definedName>
    <definedName name="MO_Section_CashFlowStatement">Canalyst!$313:$313</definedName>
    <definedName name="MO_Section_CashFlowSummary">Canalyst!$221:$221</definedName>
    <definedName name="MO_Section_DABreakdownFS">Canalyst!$110:$110</definedName>
    <definedName name="MO_Section_DAForecasting">Canalyst!$368:$368</definedName>
    <definedName name="MO_Section_FinanceExpenseIncome">Canalyst!$270:$270</definedName>
    <definedName name="MO_Section_GrowthAnalysis">Canalyst!$6:$6</definedName>
    <definedName name="MO_Section_IncomeStatement">Canalyst!$133:$133</definedName>
    <definedName name="MO_Section_KeyMetricsCashConversionFS">Canalyst!$87:$87</definedName>
    <definedName name="MO_Section_KeyMetricsDescriptionMDA">Canalyst!$76:$76</definedName>
    <definedName name="MO_Section_KeyMetricsEmployeeFS">Canalyst!$96:$96</definedName>
    <definedName name="MO_Section_KeyMetricsMajorCustomerswithRevenues10FS">Canalyst!$92:$92</definedName>
    <definedName name="MO_Section_LastRow">Canalyst!$583:$583</definedName>
    <definedName name="MO_Section_MarginAnalysis">Canalyst!$117:$117</definedName>
    <definedName name="MO_Section_ModelChecks">Canalyst!$466:$466</definedName>
    <definedName name="MO_Section_OperatingStatsDescriptionPR">Canalyst!$50:$50</definedName>
    <definedName name="MO_Section_RevisedIncomeStatement">Canalyst!$170:$170</definedName>
    <definedName name="MO_Section_SegmentedResultsRevenueBreakdownFS">Canalyst!$20:$20</definedName>
    <definedName name="MO_Section_ShareCountAnalysis">Canalyst!$218:$218</definedName>
    <definedName name="MO_Section_Tables">Canalyst!$485:$485</definedName>
    <definedName name="MO_Section_Valuation">Canalyst!$289:$289</definedName>
    <definedName name="MO_Section_WorkingCapitalForecasting">Canalyst!$359:$359</definedName>
    <definedName name="MO_SNA_ConsensusEstimatePeriodNumber">Canalyst!$519:$519</definedName>
    <definedName name="MO_SNA_ConsensusEstimatePeriodType">Canalyst!$518:$518</definedName>
    <definedName name="MO_SNA_FPStartDate">Canalyst!$530:$530</definedName>
    <definedName name="MO_SNA_IsHistoricalPeriod">Canalyst!$531:$531</definedName>
    <definedName name="MO_SNA_LastDataRow">Canalyst!$462:$462</definedName>
    <definedName name="MO_SPT_FXAverage">Canalyst!$553:$553</definedName>
    <definedName name="MO_SPT_FXAverage_Sources">Canalyst!$554:$558</definedName>
    <definedName name="MO_SPT_FXAverage_Sources_Bloomberg">Canalyst!$555:$555</definedName>
    <definedName name="MO_SPT_FXAverage_Sources_CapIQ">Canalyst!$556:$556</definedName>
    <definedName name="MO_SPT_FXAverage_Sources_FactSet">Canalyst!$557:$557</definedName>
    <definedName name="MO_SPT_FXAverage_Sources_RealTimeOff">Canalyst!$554:$554</definedName>
    <definedName name="MO_SPT_FXAverage_Sources_Thomson">Canalyst!$558:$558</definedName>
    <definedName name="MO_SPT_FXEoP">Canalyst!$562:$562</definedName>
    <definedName name="MO_SPT_StockAverage">Canalyst!$546:$546</definedName>
    <definedName name="MO_SPT_StockAverage_Sources">Canalyst!$547:$551</definedName>
    <definedName name="MO_SPT_StockAverage_Sources_Bloomberg">Canalyst!$548:$548</definedName>
    <definedName name="MO_SPT_StockAverage_Sources_CapIQ">Canalyst!$549:$549</definedName>
    <definedName name="MO_SPT_StockAverage_Sources_FactSet">Canalyst!$550:$550</definedName>
    <definedName name="MO_SPT_StockAverage_Sources_RealTimeOff">Canalyst!$547:$547</definedName>
    <definedName name="MO_SPT_StockAverage_Sources_Thomson">Canalyst!$551:$551</definedName>
    <definedName name="MO_SPT_StockEoP">Canalyst!$561:$561</definedName>
    <definedName name="MO_SPT_StockHigh">Canalyst!$532:$532</definedName>
    <definedName name="MO_SPT_StockHigh_Sources">Canalyst!$533:$537</definedName>
    <definedName name="MO_SPT_StockHigh_Sources_Bloomberg">Canalyst!$534:$534</definedName>
    <definedName name="MO_SPT_StockHigh_Sources_CapIQ">Canalyst!$535:$535</definedName>
    <definedName name="MO_SPT_StockHigh_Sources_FactSet">Canalyst!$536:$536</definedName>
    <definedName name="MO_SPT_StockHigh_Sources_RealTimeOff">Canalyst!$533:$533</definedName>
    <definedName name="MO_SPT_StockHigh_Sources_Thomson">Canalyst!$537:$537</definedName>
    <definedName name="MO_SPT_StockLow">Canalyst!$539:$539</definedName>
    <definedName name="MO_SPT_StockLow_Sources">Canalyst!$540:$544</definedName>
    <definedName name="MO_SPT_StockLow_Sources_Bloomberg">Canalyst!$541:$541</definedName>
    <definedName name="MO_SPT_StockLow_Sources_CapIQ">Canalyst!$542:$542</definedName>
    <definedName name="MO_SPT_StockLow_Sources_FactSet">Canalyst!$543:$543</definedName>
    <definedName name="MO_SPT_StockLow_Sources_RealTimeOff">Canalyst!$540:$540</definedName>
    <definedName name="MO_SPT_StockLow_Sources_Thomson">Canalyst!$544:$544</definedName>
    <definedName name="MO_SubSection_BS_CA">Canalyst!$423:$423</definedName>
    <definedName name="MO_SubSection_BS_CL">Canalyst!$438:$438</definedName>
    <definedName name="MO_SubSection_BS_NCA">Canalyst!$430:$430</definedName>
    <definedName name="MO_SubSection_BS_NCL">Canalyst!$447:$447</definedName>
    <definedName name="MO_SubSection_BS_SE">Canalyst!$455:$455</definedName>
    <definedName name="MO_SubSection_CFS_CFF">Canalyst!$339:$339</definedName>
    <definedName name="MO_SubSection_CFS_CFI">Canalyst!$331:$331</definedName>
    <definedName name="MO_SubSection_CFS_CFO">Canalyst!$314:$314</definedName>
    <definedName name="MO_VA_EV">Canalyst!$293:$293</definedName>
    <definedName name="MO_VA_EV_ToEBITDA">Canalyst!$296:$296</definedName>
    <definedName name="MO_VA_EVCalc_NCI">Canalyst!$309:$309</definedName>
    <definedName name="MO_VA_EVCalc_Other">Canalyst!$311:$311</definedName>
    <definedName name="MO_VA_EVCalc_Prefs">Canalyst!$310:$310</definedName>
    <definedName name="MO_VA_FCFYield_ToEV">Canalyst!$299:$299</definedName>
    <definedName name="MO_VA_FCFYield_ToMktCap">Canalyst!$298:$298</definedName>
    <definedName name="MO_VA_FX_Average">Canalyst!$305:$305</definedName>
    <definedName name="MO_VA_FX_EoP">Canalyst!$306:$306</definedName>
    <definedName name="MO_VA_MarketCap">Canalyst!$292:$292</definedName>
    <definedName name="MO_VA_P_ToCF">Canalyst!$297:$297</definedName>
    <definedName name="MO_VA_P_ToE">Canalyst!$295:$295</definedName>
    <definedName name="MO_VA_StockPrice">Canalyst!$291:$291</definedName>
    <definedName name="MO_VA_StockPrice_Avg">Canalyst!$303:$303</definedName>
    <definedName name="MO_VA_StockPrice_EoP">Canalyst!$304:$304</definedName>
    <definedName name="MO_VA_StockPrice_High">Canalyst!$301:$301</definedName>
    <definedName name="MO_VA_StockPrice_Low">Canalyst!$302:$302</definedName>
    <definedName name="MO_VA_StockPrice_TradingCurrency">Canalyst!$290:$290</definedName>
    <definedName name="MO_WCF_AP_Margin">Canalyst!$362:$362</definedName>
    <definedName name="MO_WCF_AP_Margin_Change">Canalyst!$366:$366</definedName>
    <definedName name="MO_WCF_AR_Margin">Canalyst!$360:$360</definedName>
    <definedName name="MO_WCF_AR_Margin_Change">Canalyst!$364:$364</definedName>
    <definedName name="MO_WCF_INV_Margin">Canalyst!$361:$361</definedName>
    <definedName name="MO_WCF_INV_Margin_Change">Canalyst!$365:$365</definedName>
    <definedName name="_xlnm.Print_Area" localSheetId="1">Base!$A$1:$Z$99</definedName>
    <definedName name="_xlnm.Print_Area" localSheetId="12">Canalyst!$A$1:$AR$462</definedName>
    <definedName name="_xlnm.Print_Area" localSheetId="4">'Disclosed financials'!$A$1:$BC$420</definedName>
    <definedName name="_xlnm.Print_Area" localSheetId="7">'FY18, 19 Commentary'!$A$1:$A$60</definedName>
    <definedName name="_xlnm.Print_Area" localSheetId="6">'FY18, 19 vs Market'!$A$1:$AX$48</definedName>
    <definedName name="_xlnm.Print_Area" localSheetId="5">Guidance!$A$1:$K$46</definedName>
    <definedName name="_xlnm.Print_Area" localSheetId="3">'Historicals and forecast'!$A$1:$AY$153</definedName>
    <definedName name="_xlnm.Print_Area" localSheetId="15">Tearsheet!$A$1:$Y$113</definedName>
    <definedName name="_xlnm.Print_Area" localSheetId="2">Upside!$A$1:$Z$99</definedName>
    <definedName name="_xlnm.Print_Area" localSheetId="8">'v BYIT'!$A$1:$W$33</definedName>
    <definedName name="_xlnm.Print_Titles" localSheetId="12">Canalyst!$5:$5</definedName>
    <definedName name="_xlnm.Print_Titles" localSheetId="4">'Disclosed financials'!$1:$5</definedName>
    <definedName name="_xlnm.Print_Titles" localSheetId="7">'FY18, 19 Commentary'!$1:$3</definedName>
    <definedName name="_xlnm.Print_Titles" localSheetId="5">Guidance!$1:$5</definedName>
    <definedName name="_xlnm.Print_Titles" localSheetId="3">'Historicals and forecast'!$1:$6</definedName>
    <definedName name="SP.ValuationToggle">#REF!</definedName>
    <definedName name="SP_BSR_CashFlow_LTM">#REF!</definedName>
    <definedName name="SP_BSR_CL_Avg">#REF!</definedName>
    <definedName name="SP_BSR_Debt_Avg">#REF!</definedName>
    <definedName name="SP_BSR_EBITDA_LTM">#REF!</definedName>
    <definedName name="SP_BSR_SE_Avg">#REF!</definedName>
    <definedName name="SP_BSR_TA_Avg">#REF!</definedName>
    <definedName name="SP_CFA_CFO">#REF!</definedName>
    <definedName name="SP_CFA_CFO_BeforeWC">#REF!</definedName>
    <definedName name="SP_CFA_CFO_PerShare">#REF!</definedName>
    <definedName name="SP_CFA_FCF_PreDiv">#REF!</definedName>
    <definedName name="SP_CFA_NetChange">#REF!</definedName>
    <definedName name="SP_CS_Cash">#REF!</definedName>
    <definedName name="SP_CS_Debt">#REF!</definedName>
    <definedName name="SP_CS_EV">#REF!</definedName>
    <definedName name="SP_CS_EVCalc_Other">#REF!</definedName>
    <definedName name="SP_CS_MarketCap">#REF!</definedName>
    <definedName name="SP_CS_OL">#REF!</definedName>
    <definedName name="SP_CS_ShareCount">#REF!</definedName>
    <definedName name="SP_CS_StockPrice">#REF!</definedName>
    <definedName name="SP_GF_COGS">#REF!</definedName>
    <definedName name="SP_GF_DisCont">#REF!</definedName>
    <definedName name="SP_GF_Div_Prefs">#REF!</definedName>
    <definedName name="SP_GF_EBIT">#REF!</definedName>
    <definedName name="SP_GF_EBT">#REF!</definedName>
    <definedName name="SP_GF_GA">#REF!</definedName>
    <definedName name="SP_GF_IE">#REF!</definedName>
    <definedName name="SP_GF_NCI">#REF!</definedName>
    <definedName name="SP_GF_NI">#REF!</definedName>
    <definedName name="SP_GF_Rev">#REF!</definedName>
    <definedName name="SP_GF_Tax">#REF!</definedName>
    <definedName name="SP_NGF_EBITDA">#REF!</definedName>
    <definedName name="SP_NGF_EPS">#REF!</definedName>
    <definedName name="SP_NGF_NI">#REF!</definedName>
    <definedName name="tb_ConsensusEstimate">Canalyst!$A$517:$AR$527</definedName>
    <definedName name="tb_EntireModel">Canalyst!$A$1:$AR$464</definedName>
    <definedName name="tb_KeyOutputs">Canalyst!$A$499:$A$506</definedName>
    <definedName name="tb_KPIs">Canalyst!$A$508:$A$515</definedName>
    <definedName name="tb_StockPrice">Canalyst!$A$529:$AR$559</definedName>
    <definedName name="tb_Tickers">Canalyst!$A$487:$A$492</definedName>
    <definedName name="tb_ValuationToggle">Canalyst!$A$494:$B$497</definedName>
    <definedName name="Template.WIRE.DBAccess.CalcMode">"Async"</definedName>
    <definedName name="UL.MRQ">#REF!</definedName>
    <definedName name="WS.CanalystName" localSheetId="12">"Model"</definedName>
    <definedName name="z_TKDSV50174_MO_AN_Adjustedearnings">Canalyst!$168:$168</definedName>
    <definedName name="z_TKDSV50174_MO_AN_Adjustedoperatingprofit">Canalyst!$162:$162</definedName>
    <definedName name="z_TKDSV50174_MO_AN_Earnings">Canalyst!$164:$164</definedName>
    <definedName name="z_TKDSV50174_MO_AN_Exceptionalitems">Canalyst!$160:$160</definedName>
    <definedName name="z_TKDSV50174_MO_AN_Exceptionalitems_1">Canalyst!$165:$165</definedName>
    <definedName name="z_TKDSV50174_MO_AN_Operatingprofit">Canalyst!$159:$159</definedName>
    <definedName name="z_TKDSV50174_MO_AN_Sharebasedpaymentcharge">Canalyst!$161:$161</definedName>
    <definedName name="z_TKDSV50174_MO_AN_Sharebasedpaymentcharge_1">Canalyst!$166:$166</definedName>
    <definedName name="z_TKDSV50174_MO_AN_Taxeffectofadjustingitems">Canalyst!$167:$167</definedName>
    <definedName name="z_TKDSV50174_MO_BlankRow_AN">Canalyst!$163:$163</definedName>
    <definedName name="z_TKDSV50174_MO_BlankRow_AN_1">Canalyst!$169:$169</definedName>
    <definedName name="z_TKDSV50174_MO_BlankRow_BS_3">Canalyst!$429:$429</definedName>
    <definedName name="z_TKDSV50174_MO_BlankRow_BS_4">Canalyst!$437:$437</definedName>
    <definedName name="z_TKDSV50174_MO_BlankRow_BS_5">Canalyst!$446:$446</definedName>
    <definedName name="z_TKDSV50174_MO_BlankRow_BS_6">Canalyst!$454:$454</definedName>
    <definedName name="z_TKDSV50174_MO_BlankRow_BSS">Canalyst!$258:$258</definedName>
    <definedName name="z_TKDSV50174_MO_BlankRow_BSS_1">Canalyst!$265:$265</definedName>
    <definedName name="z_TKDSV50174_MO_BlankRow_BSS_2">Canalyst!$269:$269</definedName>
    <definedName name="z_TKDSV50174_MO_BlankRow_CFS_4">Canalyst!$330:$330</definedName>
    <definedName name="z_TKDSV50174_MO_BlankRow_CFS_5">Canalyst!$338:$338</definedName>
    <definedName name="z_TKDSV50174_MO_BlankRow_CFS_6">Canalyst!$350:$350</definedName>
    <definedName name="z_TKDSV50174_MO_BlankRow_CFS_7">Canalyst!$353:$353</definedName>
    <definedName name="z_TKDSV50174_MO_BlankRow_CFS_8">Canalyst!$356:$356</definedName>
    <definedName name="z_TKDSV50174_MO_BlankRow_CFS_9">Canalyst!$358:$358</definedName>
    <definedName name="z_TKDSV50174_MO_BlankRow_CFSum">Canalyst!$234:$234</definedName>
    <definedName name="z_TKDSV50174_MO_BlankRow_CFSum_1">Canalyst!$238:$238</definedName>
    <definedName name="z_TKDSV50174_MO_BlankRow_CFSum_2">Canalyst!$241:$241</definedName>
    <definedName name="z_TKDSV50174_MO_BlankRow_CFSum_3">Canalyst!$250:$250</definedName>
    <definedName name="z_TKDSV50174_MO_BlankRow_DAF">Canalyst!$374:$374</definedName>
    <definedName name="z_TKDSV50174_MO_BlankRow_DAF_1">Canalyst!$380:$380</definedName>
    <definedName name="z_TKDSV50174_MO_BlankRow_DAF_10">Canalyst!$421:$421</definedName>
    <definedName name="z_TKDSV50174_MO_BlankRow_DAF_2">Canalyst!$385:$385</definedName>
    <definedName name="z_TKDSV50174_MO_BlankRow_DAF_3">Canalyst!$389:$389</definedName>
    <definedName name="z_TKDSV50174_MO_BlankRow_DAF_4">Canalyst!$395:$395</definedName>
    <definedName name="z_TKDSV50174_MO_BlankRow_DAF_5">Canalyst!$398:$398</definedName>
    <definedName name="z_TKDSV50174_MO_BlankRow_DAF_6">Canalyst!$406:$406</definedName>
    <definedName name="z_TKDSV50174_MO_BlankRow_DAF_7">Canalyst!$410:$410</definedName>
    <definedName name="z_TKDSV50174_MO_BlankRow_DAF_8">Canalyst!$412:$412</definedName>
    <definedName name="z_TKDSV50174_MO_BlankRow_DAF_9">Canalyst!$417:$417</definedName>
    <definedName name="z_TKDSV50174_MO_BlankRow_GA">Canalyst!$11:$11</definedName>
    <definedName name="z_TKDSV50174_MO_BlankRow_GA_1">Canalyst!$19:$19</definedName>
    <definedName name="z_TKDSV50174_MO_BlankRow_GA_2">Canalyst!$16:$16</definedName>
    <definedName name="z_TKDSV50174_MO_BlankRow_IS">Canalyst!$155:$155</definedName>
    <definedName name="z_TKDSV50174_MO_BlankRow_IS_1">Canalyst!$157:$157</definedName>
    <definedName name="z_TKDSV50174_MO_BlankRow_MA">Canalyst!$121:$121</definedName>
    <definedName name="z_TKDSV50174_MO_BlankRow_MA_1">Canalyst!$126:$126</definedName>
    <definedName name="z_TKDSV50174_MO_BlankRow_MA_2">Canalyst!$132:$132</definedName>
    <definedName name="z_TKDSV50174_MO_BlankRow_MA_3">Canalyst!$294:$294</definedName>
    <definedName name="z_TKDSV50174_MO_BlankRow_MA_4">Canalyst!$300:$300</definedName>
    <definedName name="z_TKDSV50174_MO_BlankRow_MA_5">Canalyst!$307:$307</definedName>
    <definedName name="z_TKDSV50174_MO_BlankRow_MA_6">Canalyst!$312:$312</definedName>
    <definedName name="z_TKDSV50174_MO_BlankRow_OS">Canalyst!$25:$25</definedName>
    <definedName name="z_TKDSV50174_MO_BlankRow_OS_1">Canalyst!$45:$45</definedName>
    <definedName name="z_TKDSV50174_MO_BlankRow_OS_10">Canalyst!$75:$75</definedName>
    <definedName name="z_TKDSV50174_MO_BlankRow_OS_11">Canalyst!$86:$86</definedName>
    <definedName name="z_TKDSV50174_MO_BlankRow_OS_12">Canalyst!$91:$91</definedName>
    <definedName name="z_TKDSV50174_MO_BlankRow_OS_14">Canalyst!$95:$95</definedName>
    <definedName name="z_TKDSV50174_MO_BlankRow_OS_15">Canalyst!$101:$101</definedName>
    <definedName name="z_TKDSV50174_MO_BlankRow_OS_16">Canalyst!$109:$109</definedName>
    <definedName name="z_TKDSV50174_MO_BlankRow_OS_17">Canalyst!$276:$276</definedName>
    <definedName name="z_TKDSV50174_MO_BlankRow_OS_18">Canalyst!$280:$280</definedName>
    <definedName name="z_TKDSV50174_MO_BlankRow_OS_19">Canalyst!$288:$288</definedName>
    <definedName name="z_TKDSV50174_MO_BlankRow_OS_2">Canalyst!$60:$60</definedName>
    <definedName name="z_TKDSV50174_MO_BlankRow_OS_20">Canalyst!$363:$363</definedName>
    <definedName name="z_TKDSV50174_MO_BlankRow_OS_21">Canalyst!$367:$367</definedName>
    <definedName name="z_TKDSV50174_MO_BlankRow_OS_22">Canalyst!$30:$30</definedName>
    <definedName name="z_TKDSV50174_MO_BlankRow_OS_23">Canalyst!$55:$55</definedName>
    <definedName name="z_TKDSV50174_MO_BlankRow_OS_24">Canalyst!$65:$65</definedName>
    <definedName name="z_TKDSV50174_MO_BlankRow_OS_25">Canalyst!$103:$103</definedName>
    <definedName name="z_TKDSV50174_MO_BlankRow_OS_26">Canalyst!$220:$220</definedName>
    <definedName name="z_TKDSV50174_MO_BlankRow_OS_27">Canalyst!$116:$116</definedName>
    <definedName name="z_TKDSV50174_MO_BlankRow_OS_3">Canalyst!$49:$49</definedName>
    <definedName name="z_TKDSV50174_MO_BlankRow_OS_6">Canalyst!$40:$40</definedName>
    <definedName name="z_TKDSV50174_MO_BlankRow_OS_8">Canalyst!$35:$35</definedName>
    <definedName name="z_TKDSV50174_MO_BlankRow_OS_9">Canalyst!$70:$70</definedName>
    <definedName name="z_TKDSV50174_MO_BlankRow_RIS">Canalyst!$173:$173</definedName>
    <definedName name="z_TKDSV50174_MO_BlankRow_RIS_1">Canalyst!$176:$176</definedName>
    <definedName name="z_TKDSV50174_MO_BlankRow_RIS_2">Canalyst!$181:$181</definedName>
    <definedName name="z_TKDSV50174_MO_BlankRow_RIS_3">Canalyst!$187:$187</definedName>
    <definedName name="z_TKDSV50174_MO_BlankRow_RIS_4">Canalyst!$190:$190</definedName>
    <definedName name="z_TKDSV50174_MO_BlankRow_RIS_5">Canalyst!$203:$203</definedName>
    <definedName name="z_TKDSV50174_MO_BlankRow_RIS_6">Canalyst!$206:$206</definedName>
    <definedName name="z_TKDSV50174_MO_BlankRow_RIS_7">Canalyst!$212:$212</definedName>
    <definedName name="z_TKDSV50174_MO_BlankRow_RIS_8">Canalyst!$217:$217</definedName>
    <definedName name="z_TKDSV50174_MO_BlankRow_SNA">Canalyst!$463:$463</definedName>
    <definedName name="z_TKDSV50174_MO_BlankRow_SNA_1">Canalyst!$465:$465</definedName>
    <definedName name="z_TKDSV50174_MO_BlankRow_SNA_10">Canalyst!$538:$538</definedName>
    <definedName name="z_TKDSV50174_MO_BlankRow_SNA_11">Canalyst!$545:$545</definedName>
    <definedName name="z_TKDSV50174_MO_BlankRow_SNA_12">Canalyst!$552:$552</definedName>
    <definedName name="z_TKDSV50174_MO_BlankRow_SNA_13">Canalyst!$559:$559</definedName>
    <definedName name="z_TKDSV50174_MO_BlankRow_SNA_14">Canalyst!$564:$564</definedName>
    <definedName name="z_TKDSV50174_MO_BlankRow_SNA_15">Canalyst!$582:$582</definedName>
    <definedName name="z_TKDSV50174_MO_BlankRow_SNA_16">Canalyst!$563:$563</definedName>
    <definedName name="z_TKDSV50174_MO_BlankRow_SNA_17">Canalyst!$515:$515</definedName>
    <definedName name="z_TKDSV50174_MO_BlankRow_SNA_18">Canalyst!$516:$516</definedName>
    <definedName name="z_TKDSV50174_MO_BlankRow_SNA_2">Canalyst!$484:$484</definedName>
    <definedName name="z_TKDSV50174_MO_BlankRow_SNA_3">Canalyst!$486:$486</definedName>
    <definedName name="z_TKDSV50174_MO_BlankRow_SNA_4">Canalyst!$493:$493</definedName>
    <definedName name="z_TKDSV50174_MO_BlankRow_SNA_5">Canalyst!$498:$498</definedName>
    <definedName name="z_TKDSV50174_MO_BlankRow_SNA_6">Canalyst!$506:$506</definedName>
    <definedName name="z_TKDSV50174_MO_BlankRow_SNA_7">Canalyst!$507:$507</definedName>
    <definedName name="z_TKDSV50174_MO_BlankRow_SNA_8">Canalyst!$527:$527</definedName>
    <definedName name="z_TKDSV50174_MO_BlankRow_SNA_9">Canalyst!$528:$528</definedName>
    <definedName name="z_TKDSV50174_MO_BS_Cashandcashequivalents">Canalyst!$426:$426</definedName>
    <definedName name="z_TKDSV50174_MO_BS_Contractliabilities">Canalyst!$440:$440</definedName>
    <definedName name="z_TKDSV50174_MO_BS_Contractliabilities_1">Canalyst!$448:$448</definedName>
    <definedName name="z_TKDSV50174_MO_BS_Deferredtaxasset">Canalyst!$434:$434</definedName>
    <definedName name="z_TKDSV50174_MO_BS_Incometaxpayable">Canalyst!$441:$441</definedName>
    <definedName name="z_TKDSV50174_MO_BS_Incometaxreceivable">Canalyst!$427:$427</definedName>
    <definedName name="z_TKDSV50174_MO_BS_Intangibleassets">Canalyst!$433:$433</definedName>
    <definedName name="z_TKDSV50174_MO_BS_Inventories">Canalyst!$424:$424</definedName>
    <definedName name="z_TKDSV50174_MO_BS_Issuedsharecapital">Canalyst!$456:$456</definedName>
    <definedName name="z_TKDSV50174_MO_BS_Leaseliabilities">Canalyst!$442:$442</definedName>
    <definedName name="z_TKDSV50174_MO_BS_Leaseliabilities_1">Canalyst!$449:$449</definedName>
    <definedName name="z_TKDSV50174_MO_BS_Longtermdebt">Canalyst!$450:$450</definedName>
    <definedName name="z_TKDSV50174_MO_BS_NCI">Canalyst!$461:$461</definedName>
    <definedName name="z_TKDSV50174_MO_BS_Otherliabilities">Canalyst!$451:$451</definedName>
    <definedName name="z_TKDSV50174_MO_BS_Property">Canalyst!$431:$431</definedName>
    <definedName name="z_TKDSV50174_MO_BS_Provisions">Canalyst!$443:$443</definedName>
    <definedName name="z_TKDSV50174_MO_BS_Reservesforownshares">Canalyst!$458:$458</definedName>
    <definedName name="z_TKDSV50174_MO_BS_Retainedearnings">Canalyst!$459:$459</definedName>
    <definedName name="z_TKDSV50174_MO_BS_Rightofuseassets">Canalyst!$432:$432</definedName>
    <definedName name="z_TKDSV50174_MO_BS_Sharepremiumaccount">Canalyst!$457:$457</definedName>
    <definedName name="z_TKDSV50174_MO_BS_Shorttermdebt">Canalyst!$444:$444</definedName>
    <definedName name="z_TKDSV50174_MO_BS_TotalAssets">Canalyst!$436:$436</definedName>
    <definedName name="z_TKDSV50174_MO_BS_TotalCurrentAssets">Canalyst!$428:$428</definedName>
    <definedName name="z_TKDSV50174_MO_BS_TotalCurrentLiabilities">Canalyst!$445:$445</definedName>
    <definedName name="z_TKDSV50174_MO_BS_TotalLiabilities">Canalyst!$453:$453</definedName>
    <definedName name="z_TKDSV50174_MO_BS_TotalLiabilitiesSE">Canalyst!$462:$462</definedName>
    <definedName name="z_TKDSV50174_MO_BS_TotalNonCurrentAssets">Canalyst!$435:$435</definedName>
    <definedName name="z_TKDSV50174_MO_BS_TotalNonCurrentliabilities">Canalyst!$452:$452</definedName>
    <definedName name="z_TKDSV50174_MO_BS_TotalSE">Canalyst!$460:$460</definedName>
    <definedName name="z_TKDSV50174_MO_BS_Tradeandotherpayables">Canalyst!$439:$439</definedName>
    <definedName name="z_TKDSV50174_MO_BS_Tradeandotherreceivables">Canalyst!$425:$425</definedName>
    <definedName name="z_TKDSV50174_MO_BSS_Cash">Canalyst!$252:$252</definedName>
    <definedName name="z_TKDSV50174_MO_BSS_Debt">Canalyst!$255:$255</definedName>
    <definedName name="z_TKDSV50174_MO_BSS_EBITDANetInterestExpense">Canalyst!$266:$266</definedName>
    <definedName name="z_TKDSV50174_MO_BSS_EffectiveInterestRateonCash">Canalyst!$262:$262</definedName>
    <definedName name="z_TKDSV50174_MO_BSS_EffectiveInterestRateonDebt">Canalyst!$260:$260</definedName>
    <definedName name="z_TKDSV50174_MO_BSS_EffectiveNetInterestRateonDebt">Canalyst!$264:$264</definedName>
    <definedName name="z_TKDSV50174_MO_BSS_InterestExpense">Canalyst!$259:$259</definedName>
    <definedName name="z_TKDSV50174_MO_BSS_InterestIncome">Canalyst!$261:$261</definedName>
    <definedName name="z_TKDSV50174_MO_BSS_LTDebt">Canalyst!$254:$254</definedName>
    <definedName name="z_TKDSV50174_MO_BSS_NetDebt">Canalyst!$257:$257</definedName>
    <definedName name="z_TKDSV50174_MO_BSS_NetDebtCashFlow">Canalyst!$268:$268</definedName>
    <definedName name="z_TKDSV50174_MO_BSS_NetDebtEBITDA">Canalyst!$267:$267</definedName>
    <definedName name="z_TKDSV50174_MO_BSS_NetInterestExpenseIncome">Canalyst!$263:$263</definedName>
    <definedName name="z_TKDSV50174_MO_BSS_OperatingLeaseLiabilities">Canalyst!$256:$256</definedName>
    <definedName name="z_TKDSV50174_MO_BSS_STDebt">Canalyst!$253:$253</definedName>
    <definedName name="z_TKDSV50174_MO_CFS_Acquisition">Canalyst!$335:$335</definedName>
    <definedName name="z_TKDSV50174_MO_CFS_Amortisationofintangibles">Canalyst!$318:$318</definedName>
    <definedName name="z_TKDSV50174_MO_CFS_BeginningCashBalance">Canalyst!$354:$354</definedName>
    <definedName name="z_TKDSV50174_MO_CFS_CFObeforeWC">Canalyst!$325:$325</definedName>
    <definedName name="z_TKDSV50174_MO_CFS_Costofequitysettledemployeeshareschemes">Canalyst!$322:$322</definedName>
    <definedName name="z_TKDSV50174_MO_CFS_Decreaseincreaseintradeandotherreceivables">Canalyst!$327:$327</definedName>
    <definedName name="z_TKDSV50174_MO_CFS_Decreaseinprovisions">Canalyst!$323:$323</definedName>
    <definedName name="z_TKDSV50174_MO_CFS_Deferredpurchaseshareproceeds">Canalyst!$343:$343</definedName>
    <definedName name="z_TKDSV50174_MO_CFS_Deferredtax">"Deleted"</definedName>
    <definedName name="z_TKDSV50174_MO_CFS_Depreciationofproperty">Canalyst!$316:$316</definedName>
    <definedName name="z_TKDSV50174_MO_CFS_Depreciationofrightofuseassets">Canalyst!$317:$317</definedName>
    <definedName name="z_TKDSV50174_MO_CFS_Dividendequivalentspaid">Canalyst!$321:$321</definedName>
    <definedName name="z_TKDSV50174_MO_CFS_Dividendspaid">Canalyst!$345:$345</definedName>
    <definedName name="z_TKDSV50174_MO_CFS_EndingCashBalance">Canalyst!$355:$355</definedName>
    <definedName name="z_TKDSV50174_MO_CFS_Financeincome">Canalyst!$332:$332</definedName>
    <definedName name="z_TKDSV50174_MO_CFS_FX">Canalyst!$351:$351</definedName>
    <definedName name="z_TKDSV50174_MO_CFS_Incometaxespaid">Canalyst!$324:$324</definedName>
    <definedName name="z_TKDSV50174_MO_CFS_Increasedecreaseintradeandotherpayables">Canalyst!$328:$328</definedName>
    <definedName name="z_TKDSV50174_MO_CFS_Increaseininventories">Canalyst!$326:$326</definedName>
    <definedName name="z_TKDSV50174_MO_CFS_Interestexpensepaid">Canalyst!$344:$344</definedName>
    <definedName name="z_TKDSV50174_MO_CFS_Issueofsharecapital">Canalyst!$340:$340</definedName>
    <definedName name="z_TKDSV50174_MO_CFS_Lossgainondisposaloffixedassets">Canalyst!$319:$319</definedName>
    <definedName name="z_TKDSV50174_MO_CFS_Lossgainondisposalofintangibleassets">Canalyst!$320:$320</definedName>
    <definedName name="z_TKDSV50174_MO_CFS_NetCFF">Canalyst!$349:$349</definedName>
    <definedName name="z_TKDSV50174_MO_CFS_NetCFI">Canalyst!$337:$337</definedName>
    <definedName name="z_TKDSV50174_MO_CFS_NetCFO">Canalyst!$329:$329</definedName>
    <definedName name="z_TKDSV50174_MO_CFS_NetChangeinCashBalance">Canalyst!$352:$352</definedName>
    <definedName name="z_TKDSV50174_MO_CFS_Operatingprofit">Canalyst!$315:$315</definedName>
    <definedName name="z_TKDSV50174_MO_CFS_Ownsharetransaction">Canalyst!$348:$348</definedName>
    <definedName name="z_TKDSV50174_MO_CFS_Paymentofinterestportionofleaseliabilities">Canalyst!$347:$347</definedName>
    <definedName name="z_TKDSV50174_MO_CFS_Paymentofprincipalportionofleaseliabilities">Canalyst!$346:$346</definedName>
    <definedName name="z_TKDSV50174_MO_CFS_Proceedfromdebtissuance">Canalyst!$342:$342</definedName>
    <definedName name="z_TKDSV50174_MO_CFS_Proceedsfromassetdisposals">Canalyst!$336:$336</definedName>
    <definedName name="z_TKDSV50174_MO_CFS_Purchaseofintangibleassets">Canalyst!$334:$334</definedName>
    <definedName name="z_TKDSV50174_MO_CFS_Purchaseofownshares">Canalyst!$341:$341</definedName>
    <definedName name="z_TKDSV50174_MO_CFS_Purchaseofproperty">Canalyst!$333:$333</definedName>
    <definedName name="z_TKDSV50174_MO_CFSum_Acquisitions">Canalyst!$230:$230</definedName>
    <definedName name="z_TKDSV50174_MO_CFSum_Capex">Canalyst!$228:$228</definedName>
    <definedName name="z_TKDSV50174_MO_CFSum_CashFlowPerDilutedShare">Canalyst!$226:$226</definedName>
    <definedName name="z_TKDSV50174_MO_CFSum_CashFlowPerDilutedSharebeforeWC">Canalyst!$225:$225</definedName>
    <definedName name="z_TKDSV50174_MO_CFSum_ChangeinWorkingCapital">Canalyst!$223:$223</definedName>
    <definedName name="z_TKDSV50174_MO_CFSum_ConsensusEstimatesCapex">Canalyst!$229:$229</definedName>
    <definedName name="z_TKDSV50174_MO_CFSum_ConsensusEstimatesCashFlowPerDilutedShare">Canalyst!$227:$227</definedName>
    <definedName name="z_TKDSV50174_MO_CFSum_Divestiture">Canalyst!$231:$231</definedName>
    <definedName name="z_TKDSV50174_MO_CFSum_DividendPaid">Canalyst!$232:$232</definedName>
    <definedName name="z_TKDSV50174_MO_CFSum_DividendPerShare">Canalyst!$233:$233</definedName>
    <definedName name="z_TKDSV50174_MO_CFSum_EstimatedSharePriceforIssuanceBuybacks">Canalyst!$237:$237</definedName>
    <definedName name="z_TKDSV50174_MO_CFSum_FCF">Canalyst!$242:$242</definedName>
    <definedName name="z_TKDSV50174_MO_CFSum_FCF_1">Canalyst!$243:$243</definedName>
    <definedName name="z_TKDSV50174_MO_CFSum_FCF_2">Canalyst!$244:$244</definedName>
    <definedName name="z_TKDSV50174_MO_CFSum_FCF_4">Canalyst!$246:$246</definedName>
    <definedName name="z_TKDSV50174_MO_CFSum_FCF_5">Canalyst!$247:$247</definedName>
    <definedName name="z_TKDSV50174_MO_CFSum_FCF_6">Canalyst!$248:$248</definedName>
    <definedName name="z_TKDSV50174_MO_CFSum_FCFPostDivDebtBuyback">Canalyst!$245:$245</definedName>
    <definedName name="z_TKDSV50174_MO_CFSum_FCFPostDivDebtBuyback_1">Canalyst!$249:$249</definedName>
    <definedName name="z_TKDSV50174_MO_CFSum_NetDebtIssuanceRepayment">Canalyst!$235:$235</definedName>
    <definedName name="z_TKDSV50174_MO_CFSum_NetShareIssuanceBuybacks">Canalyst!$236:$236</definedName>
    <definedName name="z_TKDSV50174_MO_CFSum_OperatingCashFlowafterWC">Canalyst!$224:$224</definedName>
    <definedName name="z_TKDSV50174_MO_CFSum_OperatingCashFlowbeforeWC">Canalyst!$222:$222</definedName>
    <definedName name="z_TKDSV50174_MO_CFSum_SBCexpense">Canalyst!$239:$239</definedName>
    <definedName name="z_TKDSV50174_MO_CFSum_SBCexpenseasofrevenue">Canalyst!$240:$240</definedName>
    <definedName name="z_TKDSV50174_MO_Checks_CFS_CFCheck">Canalyst!$357:$357</definedName>
    <definedName name="z_TKDSV50174_MO_Checks_IS_ISCheck">Canalyst!$156:$156</definedName>
    <definedName name="z_TKDSV50174_MO_Checks_SNA_AdjustedNumbersFYSumofQs">Canalyst!$475:$475</definedName>
    <definedName name="z_TKDSV50174_MO_Checks_SNA_BalanceSheetisnotRepeated">Canalyst!$472:$472</definedName>
    <definedName name="z_TKDSV50174_MO_Checks_SNA_BSCheck">Canalyst!$464:$464</definedName>
    <definedName name="z_TKDSV50174_MO_Checks_SNA_CapexisUpdated">Canalyst!$473:$473</definedName>
    <definedName name="z_TKDSV50174_MO_Checks_SNA_CashFlowisnotRepeated">Canalyst!$470:$470</definedName>
    <definedName name="z_TKDSV50174_MO_Checks_SNA_CashFlowSummarySignsareCorrect">Canalyst!$476:$476</definedName>
    <definedName name="z_TKDSV50174_MO_Checks_SNA_CFFsubtotalFYSumofQs">Canalyst!$482:$482</definedName>
    <definedName name="z_TKDSV50174_MO_Checks_SNA_CFIsubtotalFYSumofQs">Canalyst!$481:$481</definedName>
    <definedName name="z_TKDSV50174_MO_Checks_SNA_CFOBeforeWCsubtotalFYSumofQs">Canalyst!$479:$479</definedName>
    <definedName name="z_TKDSV50174_MO_Checks_SNA_CFOsubtotalFYSumofQs">Canalyst!$480:$480</definedName>
    <definedName name="z_TKDSV50174_MO_Checks_SNA_CFSummaryFYSumofQs">Canalyst!$483:$483</definedName>
    <definedName name="z_TKDSV50174_MO_Checks_SNA_IncomeStatementisnotRepeated">Canalyst!$471:$471</definedName>
    <definedName name="z_TKDSV50174_MO_Checks_SNA_MarginisUpdated">Canalyst!$474:$474</definedName>
    <definedName name="z_TKDSV50174_MO_Checks_SNA_NetIncomeonReportedISNIonRevised">Canalyst!$468:$468</definedName>
    <definedName name="z_TKDSV50174_MO_Checks_SNA_OperatingprofitonRevisedISOPonCFstatement">Canalyst!$467:$467</definedName>
    <definedName name="z_TKDSV50174_MO_Checks_SNA_RISAdjustedNIFYSumofQs">Canalyst!$478:$478</definedName>
    <definedName name="z_TKDSV50174_MO_Checks_SNA_RISNIFYSumofQs">Canalyst!$477:$477</definedName>
    <definedName name="z_TKDSV50174_MO_Checks_SNA_SegmentedRevenueRevenue">Canalyst!$469:$469</definedName>
    <definedName name="z_TKDSV50174_MO_DAF_Additionstoleaseliabilities">Canalyst!$400:$400</definedName>
    <definedName name="z_TKDSV50174_MO_DAF_AdditionstoROUassets">Canalyst!$392:$392</definedName>
    <definedName name="z_TKDSV50174_MO_DAF_AmortizationaspercentageofIntangiblesBoP">Canalyst!$382:$382</definedName>
    <definedName name="z_TKDSV50174_MO_DAF_Amortizationofintangibles">Canalyst!$376:$376</definedName>
    <definedName name="z_TKDSV50174_MO_DAF_Capexofintangibles">Canalyst!$377:$377</definedName>
    <definedName name="z_TKDSV50174_MO_DAF_CapexofPPE">Canalyst!$371:$371</definedName>
    <definedName name="z_TKDSV50174_MO_DAF_CapexofPPEandIntangibles">Canalyst!$387:$387</definedName>
    <definedName name="z_TKDSV50174_MO_DAF_Capitalrepaymentsofleaseliabilities">Canalyst!$401:$401</definedName>
    <definedName name="z_TKDSV50174_MO_DAF_CashPaidonLeases">Canalyst!$409:$409</definedName>
    <definedName name="z_TKDSV50174_MO_DAF_Cashpaymentincreasereductionassociatedwithnetleaseadditions">Canalyst!$414:$414</definedName>
    <definedName name="z_TKDSV50174_MO_DAF_Cashpaymentreductionassociatedwithprincipalrepayment">Canalyst!$413:$413</definedName>
    <definedName name="z_TKDSV50174_MO_DAF_Currentleaseliabilitiesasoftotal">Canalyst!$405:$405</definedName>
    <definedName name="z_TKDSV50174_MO_DAF_DAofPPEandIntangibles">Canalyst!$386:$386</definedName>
    <definedName name="z_TKDSV50174_MO_DAF_DepreciationasofBoPROUassets">Canalyst!$396:$396</definedName>
    <definedName name="z_TKDSV50174_MO_DAF_DepreciationaspercentageofPPEBoP">Canalyst!$381:$381</definedName>
    <definedName name="z_TKDSV50174_MO_DAF_Depreciationoffixedassets">Canalyst!$370:$370</definedName>
    <definedName name="z_TKDSV50174_MO_DAF_DepreciationofROUassets">Canalyst!$391:$391</definedName>
    <definedName name="z_TKDSV50174_MO_DAF_Estimatedobligationsaddedreduced">Canalyst!$415:$415</definedName>
    <definedName name="z_TKDSV50174_MO_DAF_HHmonthlycashpaymentchange">Canalyst!$419:$419</definedName>
    <definedName name="z_TKDSV50174_MO_DAF_ImpliedinterestrateforROUliabilities">Canalyst!$411:$411</definedName>
    <definedName name="z_TKDSV50174_MO_DAF_Impliedlifeoffixedassets">Canalyst!$383:$383</definedName>
    <definedName name="z_TKDSV50174_MO_DAF_Impliedlifeofintangibles">Canalyst!$384:$384</definedName>
    <definedName name="z_TKDSV50174_MO_DAF_IntangiblesBoP">Canalyst!$375:$375</definedName>
    <definedName name="z_TKDSV50174_MO_DAF_IntangiblesEoP">Canalyst!$379:$379</definedName>
    <definedName name="z_TKDSV50174_MO_DAF_LeaseLiabilitiesBoP">Canalyst!$399:$399</definedName>
    <definedName name="z_TKDSV50174_MO_DAF_LeaseLiabilitiesEoP">Canalyst!$404:$404</definedName>
    <definedName name="z_TKDSV50174_MO_DAF_Leaseliabilityinterestpaid">Canalyst!$407:$407</definedName>
    <definedName name="z_TKDSV50174_MO_DAF_Leaseliabilityrepaymentofcapital">Canalyst!$408:$408</definedName>
    <definedName name="z_TKDSV50174_MO_DAF_MonthlyCashPaymentsonLeases">Canalyst!$418:$418</definedName>
    <definedName name="z_TKDSV50174_MO_DAF_Netinterestaccretion">Canalyst!$402:$402</definedName>
    <definedName name="z_TKDSV50174_MO_DAF_Otherchangestoleaseliabilities">Canalyst!$403:$403</definedName>
    <definedName name="z_TKDSV50174_MO_DAF_OtherchangestoROUassets">Canalyst!$393:$393</definedName>
    <definedName name="z_TKDSV50174_MO_DAF_Othernetadditionstointangibles">Canalyst!$378:$378</definedName>
    <definedName name="z_TKDSV50174_MO_DAF_OthernetadditionstoPPE">Canalyst!$372:$372</definedName>
    <definedName name="z_TKDSV50174_MO_DAF_Percentageofcapexallocatedtointangibleassets">Canalyst!$388:$388</definedName>
    <definedName name="z_TKDSV50174_MO_DAF_PPEBoP">Canalyst!$369:$369</definedName>
    <definedName name="z_TKDSV50174_MO_DAF_PPEEoP">Canalyst!$373:$373</definedName>
    <definedName name="z_TKDSV50174_MO_DAF_PVofestimatedobligationsaddedreduced">Canalyst!$416:$416</definedName>
    <definedName name="z_TKDSV50174_MO_DAF_ROUAssetLife">Canalyst!$397:$397</definedName>
    <definedName name="z_TKDSV50174_MO_DAF_ROUAssetsBoP">Canalyst!$390:$390</definedName>
    <definedName name="z_TKDSV50174_MO_DAF_ROUAssetsEoP">Canalyst!$394:$394</definedName>
    <definedName name="z_TKDSV50174_MO_DAF_YYmonthlycashpaymentchange">Canalyst!$420:$420</definedName>
    <definedName name="z_TKDSV50174_MO_GA_GrossProfitGrowth">Canalyst!$17:$17</definedName>
    <definedName name="z_TKDSV50174_MO_GA_Hardwaregrossinvoicedincomegrowth">Canalyst!$13:$13</definedName>
    <definedName name="z_TKDSV50174_MO_GA_Hardwarerevenuegrowth">Canalyst!$8:$8</definedName>
    <definedName name="z_TKDSV50174_MO_GA_OperatingProfitGrowth">Canalyst!$18:$18</definedName>
    <definedName name="z_TKDSV50174_MO_GA_Servicesgrossinvoicedincomegrowth">Canalyst!$14:$14</definedName>
    <definedName name="z_TKDSV50174_MO_GA_Servicesrevenuegrowth">Canalyst!$9:$9</definedName>
    <definedName name="z_TKDSV50174_MO_GA_Softwaregrossinvoicedincomegrowth">Canalyst!$12:$12</definedName>
    <definedName name="z_TKDSV50174_MO_GA_Softwarerevenuegrowth">Canalyst!$7:$7</definedName>
    <definedName name="z_TKDSV50174_MO_GA_TotalGrossInvoicedIncomeGrowth">Canalyst!$15:$15</definedName>
    <definedName name="z_TKDSV50174_MO_GA_TotalRevenueGrowth">Canalyst!$10:$10</definedName>
    <definedName name="z_TKDSV50174_MO_Header_HeaderRow">Canalyst!$1:$1</definedName>
    <definedName name="z_TKDSV50174_MO_Header_HeaderRow_1">Canalyst!$2:$2</definedName>
    <definedName name="z_TKDSV50174_MO_Header_HeaderRow_2">Canalyst!$3:$3</definedName>
    <definedName name="z_TKDSV50174_MO_Header_HeaderRow_3">Canalyst!$4:$4</definedName>
    <definedName name="z_TKDSV50174_MO_Header_HeaderRow_4">Canalyst!$5:$5</definedName>
    <definedName name="z_TKDSV50174_MO_IS_Adjustmentinrespectofcurrentincometaxinpreviousyears">Canalyst!$145:$145</definedName>
    <definedName name="z_TKDSV50174_MO_IS_Adjustmentinrespectofdeferredtaxofpreviousperiods">Canalyst!$150:$150</definedName>
    <definedName name="z_TKDSV50174_MO_IS_administrativeexpenses">Canalyst!$137:$137</definedName>
    <definedName name="z_TKDSV50174_MO_IS_Bankinterestincome">Canalyst!$139:$139</definedName>
    <definedName name="z_TKDSV50174_MO_IS_Costofsales">Canalyst!$135:$135</definedName>
    <definedName name="z_TKDSV50174_MO_IS_Currenttaxfortheperiod">Canalyst!$144:$144</definedName>
    <definedName name="z_TKDSV50174_MO_IS_Deferredtaxfortheperiod">Canalyst!$149:$149</definedName>
    <definedName name="z_TKDSV50174_MO_IS_Effectofchangesintaxrateondeferredtax">Canalyst!$151:$151</definedName>
    <definedName name="z_TKDSV50174_MO_IS_Financecost">Canalyst!$142:$142</definedName>
    <definedName name="z_TKDSV50174_MO_IS_Financeincome">Canalyst!$140:$140</definedName>
    <definedName name="z_TKDSV50174_MO_IS_Foreigntaxreliefotherrelief">Canalyst!$146:$146</definedName>
    <definedName name="z_TKDSV50174_MO_IS_Foreigntaxsuffered">Canalyst!$147:$147</definedName>
    <definedName name="z_TKDSV50174_MO_IS_Grossprofit">Canalyst!$136:$136</definedName>
    <definedName name="z_TKDSV50174_MO_IS_Incometaxexpense">Canalyst!$153:$153</definedName>
    <definedName name="z_TKDSV50174_MO_IS_Leaseliabilityinterestcost">Canalyst!$141:$141</definedName>
    <definedName name="z_TKDSV50174_MO_IS_Operatingprofit">Canalyst!$138:$138</definedName>
    <definedName name="z_TKDSV50174_MO_IS_Profitandtotalcomprehensiveincomefortheperiod">Canalyst!$154:$154</definedName>
    <definedName name="z_TKDSV50174_MO_IS_Profitbeforetaxation">Canalyst!$143:$143</definedName>
    <definedName name="z_TKDSV50174_MO_IS_Revenue">Canalyst!$134:$134</definedName>
    <definedName name="z_TKDSV50174_MO_IS_Totalcurrenttax">Canalyst!$148:$148</definedName>
    <definedName name="z_TKDSV50174_MO_IS_Totaldeferredtax">Canalyst!$152:$152</definedName>
    <definedName name="z_TKDSV50174_MO_MA_AddbackDAMargin">Canalyst!$127:$127</definedName>
    <definedName name="z_TKDSV50174_MO_MA_AddbackSBCMargin">Canalyst!$128:$128</definedName>
    <definedName name="z_TKDSV50174_MO_MA_AdjustedEBITDAMargin">Canalyst!$130:$130</definedName>
    <definedName name="z_TKDSV50174_MO_MA_AdjustedEBITMargin">Canalyst!$124:$124</definedName>
    <definedName name="z_TKDSV50174_MO_MA_AverageFXRate">Canalyst!$305:$305</definedName>
    <definedName name="z_TKDSV50174_MO_MA_COGSMargin">Canalyst!$118:$118</definedName>
    <definedName name="z_TKDSV50174_MO_MA_ConsensusEstimatesAdjustedEBITDAMargin">Canalyst!$131:$131</definedName>
    <definedName name="z_TKDSV50174_MO_MA_ConsensusEstimatesAdjustedEBITMargin">Canalyst!$125:$125</definedName>
    <definedName name="z_TKDSV50174_MO_MA_ConsensusEstimatesGrossMargin">Canalyst!$120:$120</definedName>
    <definedName name="z_TKDSV50174_MO_MA_EBITDAMargin">Canalyst!$129:$129</definedName>
    <definedName name="z_TKDSV50174_MO_MA_EBITMargin">Canalyst!$123:$123</definedName>
    <definedName name="z_TKDSV50174_MO_MA_EnterpriseValueAvg">Canalyst!$293:$293</definedName>
    <definedName name="z_TKDSV50174_MO_MA_EnterpriseValueComponents">Canalyst!$308:$308</definedName>
    <definedName name="z_TKDSV50174_MO_MA_EoPFXRate">Canalyst!$306:$306</definedName>
    <definedName name="z_TKDSV50174_MO_MA_EVEBITDAAvg">Canalyst!$296:$296</definedName>
    <definedName name="z_TKDSV50174_MO_MA_FCFYieldtoAvgEnterpriseValue">Canalyst!$299:$299</definedName>
    <definedName name="z_TKDSV50174_MO_MA_FCFYieldtoAvgMarketCap">Canalyst!$298:$298</definedName>
    <definedName name="z_TKDSV50174_MO_MA_GAMargin">Canalyst!$122:$122</definedName>
    <definedName name="z_TKDSV50174_MO_MA_GrossMargin">Canalyst!$119:$119</definedName>
    <definedName name="z_TKDSV50174_MO_MA_MarketCapAvg">Canalyst!$292:$292</definedName>
    <definedName name="z_TKDSV50174_MO_MA_NoncontrollingInterest">Canalyst!$309:$309</definedName>
    <definedName name="z_TKDSV50174_MO_MA_OtherEVComponents">Canalyst!$311:$311</definedName>
    <definedName name="z_TKDSV50174_MO_MA_PCFAvg">Canalyst!$297:$297</definedName>
    <definedName name="z_TKDSV50174_MO_MA_PEAvg">Canalyst!$295:$295</definedName>
    <definedName name="z_TKDSV50174_MO_MA_PreferredShares">Canalyst!$310:$310</definedName>
    <definedName name="z_TKDSV50174_MO_MA_StockAverage">Canalyst!$303:$303</definedName>
    <definedName name="z_TKDSV50174_MO_MA_StockEoP">Canalyst!$304:$304</definedName>
    <definedName name="z_TKDSV50174_MO_MA_StockHigh">Canalyst!$301:$301</definedName>
    <definedName name="z_TKDSV50174_MO_MA_StockLow">Canalyst!$302:$302</definedName>
    <definedName name="z_TKDSV50174_MO_MA_StockPriceReportingCurAvg">Canalyst!$291:$291</definedName>
    <definedName name="z_TKDSV50174_MO_MA_StockPriceTradingCurAvg">Canalyst!$290:$290</definedName>
    <definedName name="z_TKDSV50174_MO_OS_Amortisationofintangibleassets">Canalyst!$79:$79</definedName>
    <definedName name="z_TKDSV50174_MO_OS_Amortisationofintangibles">Canalyst!$114:$114</definedName>
    <definedName name="z_TKDSV50174_MO_OS_Averagemonthlynumberofemployees">Canalyst!$100:$100</definedName>
    <definedName name="z_TKDSV50174_MO_OS_Cashconversionrate">Canalyst!$90:$90</definedName>
    <definedName name="z_TKDSV50174_MO_OS_Cashflowfromoperationsbeforetaxbutaftercapitalexpenditure">Canalyst!$88:$88</definedName>
    <definedName name="z_TKDSV50174_MO_OS_Customerbaserolling12monthbasis">Canalyst!$93:$93</definedName>
    <definedName name="z_TKDSV50174_MO_OS_Depreciationofpropertyplantandequipment">Canalyst!$111:$111</definedName>
    <definedName name="z_TKDSV50174_MO_OS_Depreciationofrightofuseassets">Canalyst!$78:$78</definedName>
    <definedName name="z_TKDSV50174_MO_OS_Depreciationofrightofuseassets_1">Canalyst!$112:$112</definedName>
    <definedName name="z_TKDSV50174_MO_OS_Depreciationoftangibleassets">Canalyst!$77:$77</definedName>
    <definedName name="z_TKDSV50174_MO_OS_Employeeheadcountendofperiod">Canalyst!$102:$102</definedName>
    <definedName name="z_TKDSV50174_MO_OS_EmployeesinAdministrative">Canalyst!$99:$99</definedName>
    <definedName name="z_TKDSV50174_MO_OS_EmployeesinSales">Canalyst!$97:$97</definedName>
    <definedName name="z_TKDSV50174_MO_OS_EmployeesinServices">Canalyst!$98:$98</definedName>
    <definedName name="z_TKDSV50174_MO_OS_EnterpriserevenuerecognisedasaofenterpriseGII">Canalyst!$62:$62</definedName>
    <definedName name="z_TKDSV50174_MO_OS_Exceptionalitems">Canalyst!$83:$83</definedName>
    <definedName name="z_TKDSV50174_MO_OS_FinanceCosts">Canalyst!$275:$275</definedName>
    <definedName name="z_TKDSV50174_MO_OS_FinanceIncome">Canalyst!$279:$279</definedName>
    <definedName name="z_TKDSV50174_MO_OS_Foreignexchangeloss">Canalyst!$82:$82</definedName>
    <definedName name="z_TKDSV50174_MO_OS_Grossinvoicedincome">Canalyst!$46:$46</definedName>
    <definedName name="z_TKDSV50174_MO_OS_GrossinvoicedincomeonEnterprise">Canalyst!$67:$67</definedName>
    <definedName name="z_TKDSV50174_MO_OS_GrossinvoicedincomeonEnterprise_1">Canalyst!$72:$72</definedName>
    <definedName name="z_TKDSV50174_MO_OS_Grossinvoicedincomeonpublicsector">Canalyst!$68:$68</definedName>
    <definedName name="z_TKDSV50174_MO_OS_Grossinvoicedincomeonpublicsector_1">Canalyst!$73:$73</definedName>
    <definedName name="z_TKDSV50174_MO_OS_Grossinvoicedincomeonsmallandmediumbusiness">Canalyst!$66:$66</definedName>
    <definedName name="z_TKDSV50174_MO_OS_Grossinvoicedincomeonsmallandmediumbusiness_1">Canalyst!$71:$71</definedName>
    <definedName name="z_TKDSV50174_MO_OS_Grossprofitpercustomerrolling12monthbasis">Canalyst!$94:$94</definedName>
    <definedName name="z_TKDSV50174_MO_OS_Hardwaregrossinvoicedincome">Canalyst!$37:$37</definedName>
    <definedName name="z_TKDSV50174_MO_OS_Hardwaregrossinvoicedincomemix">Canalyst!$42:$42</definedName>
    <definedName name="z_TKDSV50174_MO_OS_Hardwaregrossinvoicedincomerecognisedasrevenue">Canalyst!$32:$32</definedName>
    <definedName name="z_TKDSV50174_MO_OS_Hardwarerevenue">Canalyst!$22:$22</definedName>
    <definedName name="z_TKDSV50174_MO_OS_Hardwarerevenuemix">Canalyst!$27:$27</definedName>
    <definedName name="z_TKDSV50174_MO_OS_IncomerecognisedasagentunderIFRS15">Canalyst!$47:$47</definedName>
    <definedName name="z_TKDSV50174_MO_OS_InterestExpenseIncludingLeases">Canalyst!$273:$273</definedName>
    <definedName name="z_TKDSV50174_MO_OS_InterestExpenseIncludingLeases_1">Canalyst!$283:$283</definedName>
    <definedName name="z_TKDSV50174_MO_OS_InterestIncome">Canalyst!$277:$277</definedName>
    <definedName name="z_TKDSV50174_MO_OS_InterestIncome_1">Canalyst!$284:$284</definedName>
    <definedName name="z_TKDSV50174_MO_OS_InterestonBorrowings">Canalyst!$271:$271</definedName>
    <definedName name="z_TKDSV50174_MO_OS_InterestonBorrowings_1">Canalyst!$281:$281</definedName>
    <definedName name="z_TKDSV50174_MO_OS_InterestonLeaseLiabilities">Canalyst!$272:$272</definedName>
    <definedName name="z_TKDSV50174_MO_OS_InterestonLeaseLiabilities_1">Canalyst!$282:$282</definedName>
    <definedName name="z_TKDSV50174_MO_OS_Inventories_1">Canalyst!$361:$361</definedName>
    <definedName name="z_TKDSV50174_MO_OS_Inventoriesexpensedintheyear">Canalyst!$84:$84</definedName>
    <definedName name="z_TKDSV50174_MO_OS_InventoriesYYChange">Canalyst!$365:$365</definedName>
    <definedName name="z_TKDSV50174_MO_OS_Lowvalueassetandshorttermleaseexpense">Canalyst!$81:$81</definedName>
    <definedName name="z_TKDSV50174_MO_OS_Movementintradereceivablesprovisionaspotentiallyuncollectablerecoveredorwrittenoffduringtheyear">Canalyst!$85:$85</definedName>
    <definedName name="z_TKDSV50174_MO_OS_NetFinanceCosts">Canalyst!$287:$287</definedName>
    <definedName name="z_TKDSV50174_MO_OS_NetInterestExpenseIncludingLeases">Canalyst!$285:$285</definedName>
    <definedName name="z_TKDSV50174_MO_OS_NetOtherFinanceExpense">Canalyst!$286:$286</definedName>
    <definedName name="z_TKDSV50174_MO_OS_Operatingleaserentals">Canalyst!$80:$80</definedName>
    <definedName name="z_TKDSV50174_MO_OS_Operatingprofit">Canalyst!$89:$89</definedName>
    <definedName name="z_TKDSV50174_MO_OS_OrdinarysharesoutstandingEoP">Canalyst!$219:$219</definedName>
    <definedName name="z_TKDSV50174_MO_OS_OtherFinanceCosts">Canalyst!$274:$274</definedName>
    <definedName name="z_TKDSV50174_MO_OS_OtherFinanceIncome">Canalyst!$278:$278</definedName>
    <definedName name="z_TKDSV50174_MO_OS_Otherpensioncosts">Canalyst!$106:$106</definedName>
    <definedName name="z_TKDSV50174_MO_OS_PublicsectorrevenuerecognisedasaofpublicsectorGII">Canalyst!$63:$63</definedName>
    <definedName name="z_TKDSV50174_MO_OS_RevenuemixonEnterprise">Canalyst!$57:$57</definedName>
    <definedName name="z_TKDSV50174_MO_OS_Revenuemixonpublicsector">Canalyst!$58:$58</definedName>
    <definedName name="z_TKDSV50174_MO_OS_Revenuemixonsmallandmediumbusiness">Canalyst!$56:$56</definedName>
    <definedName name="z_TKDSV50174_MO_OS_RevenueonEnterprise">Canalyst!$52:$52</definedName>
    <definedName name="z_TKDSV50174_MO_OS_Revenueonpublicsector">Canalyst!$53:$53</definedName>
    <definedName name="z_TKDSV50174_MO_OS_Revenueonsmallandmediumbusiness">Canalyst!$51:$51</definedName>
    <definedName name="z_TKDSV50174_MO_OS_Servicesgrossinvoicedincome">Canalyst!$38:$38</definedName>
    <definedName name="z_TKDSV50174_MO_OS_Servicesgrossinvoicedincomemix">Canalyst!$43:$43</definedName>
    <definedName name="z_TKDSV50174_MO_OS_Servicesgrossinvoicedincomerecognisedasrevenue">Canalyst!$33:$33</definedName>
    <definedName name="z_TKDSV50174_MO_OS_Servicesrevenue">Canalyst!$23:$23</definedName>
    <definedName name="z_TKDSV50174_MO_OS_Servicesrevenuemix">Canalyst!$28:$28</definedName>
    <definedName name="z_TKDSV50174_MO_OS_Shareoptioncharge">Canalyst!$107:$107</definedName>
    <definedName name="z_TKDSV50174_MO_OS_SMBrevenuerecognisedasaofSMBGII">Canalyst!$61:$61</definedName>
    <definedName name="z_TKDSV50174_MO_OS_Socialsecuritycosts">Canalyst!$105:$105</definedName>
    <definedName name="z_TKDSV50174_MO_OS_Softwaregrossinvoicedincome">Canalyst!$36:$36</definedName>
    <definedName name="z_TKDSV50174_MO_OS_Softwaregrossinvoicedincomemix">Canalyst!$41:$41</definedName>
    <definedName name="z_TKDSV50174_MO_OS_Softwaregrossinvoicedincomerecognisedasrevenue">Canalyst!$31:$31</definedName>
    <definedName name="z_TKDSV50174_MO_OS_Softwarerevenue">Canalyst!$21:$21</definedName>
    <definedName name="z_TKDSV50174_MO_OS_Softwarerevenuemix">Canalyst!$26:$26</definedName>
    <definedName name="z_TKDSV50174_MO_OS_TotalDA">Canalyst!$115:$115</definedName>
    <definedName name="z_TKDSV50174_MO_OS_Totaldepreciation">Canalyst!$113:$113</definedName>
    <definedName name="z_TKDSV50174_MO_OS_Totalemploymentcosts">Canalyst!$108:$108</definedName>
    <definedName name="z_TKDSV50174_MO_OS_Totalgrossincomebytypeofbusiness">Canalyst!$69:$69</definedName>
    <definedName name="z_TKDSV50174_MO_OS_Totalgrossincomebytypeofbusiness_1">Canalyst!$74:$74</definedName>
    <definedName name="z_TKDSV50174_MO_OS_Totalgrossinvoicedincomebytype">Canalyst!$39:$39</definedName>
    <definedName name="z_TKDSV50174_MO_OS_Totalgrossinvoicedincomebytype_1">Canalyst!$44:$44</definedName>
    <definedName name="z_TKDSV50174_MO_OS_Totalrevenue_4">Canalyst!$48:$48</definedName>
    <definedName name="z_TKDSV50174_MO_OS_Totalrevenuebytype">Canalyst!$24:$24</definedName>
    <definedName name="z_TKDSV50174_MO_OS_Totalrevenuebytypeofbusiness">Canalyst!$54:$54</definedName>
    <definedName name="z_TKDSV50174_MO_OS_TotalrevenuebytypeofbusinessrecognisedasaoftotalGII">Canalyst!$64:$64</definedName>
    <definedName name="z_TKDSV50174_MO_OS_TotalrevenuebytyperecognisedasaoftotalGII">Canalyst!$34:$34</definedName>
    <definedName name="z_TKDSV50174_MO_OS_Totalrevenuemixbytype">Canalyst!$29:$29</definedName>
    <definedName name="z_TKDSV50174_MO_OS_Totalrevenuemixbytypeofbusiness">Canalyst!$59:$59</definedName>
    <definedName name="z_TKDSV50174_MO_OS_Tradeandotherpayables">Canalyst!$362:$362</definedName>
    <definedName name="z_TKDSV50174_MO_OS_TradeandotherpayablesYYChange">Canalyst!$366:$366</definedName>
    <definedName name="z_TKDSV50174_MO_OS_Tradeandotherreceivables">Canalyst!$360:$360</definedName>
    <definedName name="z_TKDSV50174_MO_OS_TradeandotherreceivablesYYChange">Canalyst!$364:$364</definedName>
    <definedName name="z_TKDSV50174_MO_OS_Wagesandsalaries">Canalyst!$104:$104</definedName>
    <definedName name="z_TKDSV50174_MO_RIS_AddbackDA">Canalyst!$182:$182</definedName>
    <definedName name="z_TKDSV50174_MO_RIS_AddbackSBC">Canalyst!$183:$183</definedName>
    <definedName name="z_TKDSV50174_MO_RIS_AdjustedEarningsPerShareWAB">Canalyst!$209:$209</definedName>
    <definedName name="z_TKDSV50174_MO_RIS_AdjustedEarningsPerShareWAD">Canalyst!$210:$210</definedName>
    <definedName name="z_TKDSV50174_MO_RIS_AdjustedEBIT">Canalyst!$179:$179</definedName>
    <definedName name="z_TKDSV50174_MO_RIS_AdjustedEBITDA">Canalyst!$185:$185</definedName>
    <definedName name="z_TKDSV50174_MO_RIS_AdjustedNetIncome">Canalyst!$202:$202</definedName>
    <definedName name="z_TKDSV50174_MO_RIS_AdjustedSharesOutstandingWAB">Canalyst!$215:$215</definedName>
    <definedName name="z_TKDSV50174_MO_RIS_AdjustedSharesOutstandingWAD">Canalyst!$216:$216</definedName>
    <definedName name="z_TKDSV50174_MO_RIS_AdjustmentsforConvertibleSecurities">Canalyst!$198:$198</definedName>
    <definedName name="z_TKDSV50174_MO_RIS_COGS">Canalyst!$174:$174</definedName>
    <definedName name="z_TKDSV50174_MO_RIS_ConsensusEstimatesAdjustedEarningsPerShareWAD">Canalyst!$211:$211</definedName>
    <definedName name="z_TKDSV50174_MO_RIS_ConsensusEstimatesAdjustedEBIT">Canalyst!$180:$180</definedName>
    <definedName name="z_TKDSV50174_MO_RIS_ConsensusEstimatesAdjustedEBITDA">Canalyst!$186:$186</definedName>
    <definedName name="z_TKDSV50174_MO_RIS_ConsensusEstimatesNetRevenue">Canalyst!$172:$172</definedName>
    <definedName name="z_TKDSV50174_MO_RIS_Currenttax">Canalyst!$191:$191</definedName>
    <definedName name="z_TKDSV50174_MO_RIS_Currenttaxrate">Canalyst!$204:$204</definedName>
    <definedName name="z_TKDSV50174_MO_RIS_Deferredtax">Canalyst!$192:$192</definedName>
    <definedName name="z_TKDSV50174_MO_RIS_Deferredtaxrate">Canalyst!$205:$205</definedName>
    <definedName name="z_TKDSV50174_MO_RIS_DilutedNetIncometoCommonShareholders">Canalyst!$199:$199</definedName>
    <definedName name="z_TKDSV50174_MO_RIS_DiscontinuedOperations">Canalyst!$194:$194</definedName>
    <definedName name="z_TKDSV50174_MO_RIS_EarningsPerShareWAB">Canalyst!$207:$207</definedName>
    <definedName name="z_TKDSV50174_MO_RIS_EarningsPerShareWAD">Canalyst!$208:$208</definedName>
    <definedName name="z_TKDSV50174_MO_RIS_EarningstoPreferredandOtherSecurities">Canalyst!$196:$196</definedName>
    <definedName name="z_TKDSV50174_MO_RIS_EBIT">Canalyst!$178:$178</definedName>
    <definedName name="z_TKDSV50174_MO_RIS_EBITDA">Canalyst!$184:$184</definedName>
    <definedName name="z_TKDSV50174_MO_RIS_EBT">Canalyst!$189:$189</definedName>
    <definedName name="z_TKDSV50174_MO_RIS_GA">Canalyst!$177:$177</definedName>
    <definedName name="z_TKDSV50174_MO_RIS_GrossProfit">Canalyst!$175:$175</definedName>
    <definedName name="z_TKDSV50174_MO_RIS_Netfinanceexpense">Canalyst!$188:$188</definedName>
    <definedName name="z_TKDSV50174_MO_RIS_NetIncomefromContinuedOperation">Canalyst!$193:$193</definedName>
    <definedName name="z_TKDSV50174_MO_RIS_NetIncometoCommonShareholders">Canalyst!$197:$197</definedName>
    <definedName name="z_TKDSV50174_MO_RIS_NetIncometoNCI">Canalyst!$195:$195</definedName>
    <definedName name="z_TKDSV50174_MO_RIS_NetRevenue">Canalyst!$171:$171</definedName>
    <definedName name="z_TKDSV50174_MO_RIS_NonGAAPAdjustments">Canalyst!$200:$200</definedName>
    <definedName name="z_TKDSV50174_MO_RIS_NonGAAPAdjustmentsforDilutiveSecurities">Canalyst!$201:$201</definedName>
    <definedName name="z_TKDSV50174_MO_RIS_SharesOutstandingWAB">Canalyst!$213:$213</definedName>
    <definedName name="z_TKDSV50174_MO_RIS_SharesOutstandingWAD">Canalyst!$214:$214</definedName>
    <definedName name="z_TKDSV50174_MO_Section_AN_AdjustedNumbersAsReported">Canalyst!$158:$158</definedName>
    <definedName name="z_TKDSV50174_MO_Section_BS_BalanceSheet">Canalyst!$422:$422</definedName>
    <definedName name="z_TKDSV50174_MO_Section_BSS_BalanceSheetSummary">Canalyst!$251:$251</definedName>
    <definedName name="z_TKDSV50174_MO_Section_CFS_CashFlowStatement">Canalyst!$313:$313</definedName>
    <definedName name="z_TKDSV50174_MO_Section_CFSum_CashFlowSummary">Canalyst!$221:$221</definedName>
    <definedName name="z_TKDSV50174_MO_Section_DAF_DAForecasting">Canalyst!$368:$368</definedName>
    <definedName name="z_TKDSV50174_MO_Section_GA_GrowthAnalysis">Canalyst!$6:$6</definedName>
    <definedName name="z_TKDSV50174_MO_Section_IS_IncomeStatementAsReported">Canalyst!$133:$133</definedName>
    <definedName name="z_TKDSV50174_MO_Section_MA_MarginAnalysis">Canalyst!$117:$117</definedName>
    <definedName name="z_TKDSV50174_MO_Section_MA_Valuation">Canalyst!$289:$289</definedName>
    <definedName name="z_TKDSV50174_MO_Section_OS_DABreakdownFS">Canalyst!$110:$110</definedName>
    <definedName name="z_TKDSV50174_MO_Section_OS_FinanceExpenseIncome">Canalyst!$270:$270</definedName>
    <definedName name="z_TKDSV50174_MO_Section_OS_KeyMetricsCashConversionFS">Canalyst!$87:$87</definedName>
    <definedName name="z_TKDSV50174_MO_Section_OS_KeyMetricsCustomerBaseFS">Canalyst!$92:$92</definedName>
    <definedName name="z_TKDSV50174_MO_Section_OS_KeyMetricsEmployeeFS">Canalyst!$96:$96</definedName>
    <definedName name="z_TKDSV50174_MO_Section_OS_KeyMetricsOperatingprofitAR">Canalyst!$76:$76</definedName>
    <definedName name="z_TKDSV50174_MO_Section_OS_OperatingStatsGrossInvoicedIncomeFS">Canalyst!$50:$50</definedName>
    <definedName name="z_TKDSV50174_MO_Section_OS_SegmentedResultsRevenueBreakdownFS">Canalyst!$20:$20</definedName>
    <definedName name="z_TKDSV50174_MO_Section_OS_ShareCountAnalysis">Canalyst!$218:$218</definedName>
    <definedName name="z_TKDSV50174_MO_Section_OS_WorkingCapitalForecasting">Canalyst!$359:$359</definedName>
    <definedName name="z_TKDSV50174_MO_Section_RIS_RevisedIncomeStatement">Canalyst!$170:$170</definedName>
    <definedName name="z_TKDSV50174_MO_Section_SNA_Canalyst">Canalyst!$583:$583</definedName>
    <definedName name="z_TKDSV50174_MO_Section_SNA_ModelChecks">Canalyst!$466:$466</definedName>
    <definedName name="z_TKDSV50174_MO_Section_SNA_OtherTables">Canalyst!$485:$485</definedName>
    <definedName name="z_TKDSV50174_MO_SubSection_BS_CurrentAssets">Canalyst!$423:$423</definedName>
    <definedName name="z_TKDSV50174_MO_SubSection_BS_CurrentLiabilities">Canalyst!$438:$438</definedName>
    <definedName name="z_TKDSV50174_MO_SubSection_BS_NonCurrentAssets">Canalyst!$430:$430</definedName>
    <definedName name="z_TKDSV50174_MO_SubSection_BS_NonCurrentLiabilities">Canalyst!$447:$447</definedName>
    <definedName name="z_TKDSV50174_MO_SubSection_BS_ShareholdersEquity">Canalyst!$455:$455</definedName>
    <definedName name="z_TKDSV50174_MO_SubSection_CFS_CFF">Canalyst!$339:$339</definedName>
    <definedName name="z_TKDSV50174_MO_SubSection_CFS_CFI">Canalyst!$331:$331</definedName>
    <definedName name="z_TKDSV50174_MO_SubSection_CFS_CFO">Canalyst!$314:$314</definedName>
    <definedName name="z_TKDSV50174_MO_Unstructured_SNA_AdjustedEarningsPerShareWAD">Canalyst!$503:$503</definedName>
    <definedName name="z_TKDSV50174_MO_Unstructured_SNA_AdjustedEBIT_1">Canalyst!$502:$502</definedName>
    <definedName name="z_TKDSV50174_MO_Unstructured_SNA_AdjustedEBITDA">Canalyst!$501:$501</definedName>
    <definedName name="z_TKDSV50174_MO_Unstructured_SNA_ApplyTradeCurrencyScaling">Canalyst!$570:$570</definedName>
    <definedName name="z_TKDSV50174_MO_Unstructured_SNA_Avg">Canalyst!$497:$497</definedName>
    <definedName name="z_TKDSV50174_MO_Unstructured_SNA_Bloomberg">Canalyst!$534:$534</definedName>
    <definedName name="z_TKDSV50174_MO_Unstructured_SNA_Bloomberg_1">Canalyst!$541:$541</definedName>
    <definedName name="z_TKDSV50174_MO_Unstructured_SNA_Bloomberg_2">Canalyst!$548:$548</definedName>
    <definedName name="z_TKDSV50174_MO_Unstructured_SNA_Bloomberg_3">Canalyst!$555:$555</definedName>
    <definedName name="z_TKDSV50174_MO_Unstructured_SNA_CapitalIQ">Canalyst!$535:$535</definedName>
    <definedName name="z_TKDSV50174_MO_Unstructured_SNA_CapitalIQ_1">Canalyst!$542:$542</definedName>
    <definedName name="z_TKDSV50174_MO_Unstructured_SNA_CapitalIQ_2">Canalyst!$549:$549</definedName>
    <definedName name="z_TKDSV50174_MO_Unstructured_SNA_CapitalIQ_3">Canalyst!$556:$556</definedName>
    <definedName name="z_TKDSV50174_MO_Unstructured_SNA_ConsensusEstimatesAdjustedEarningsPerShareWAD">Canalyst!$524:$524</definedName>
    <definedName name="z_TKDSV50174_MO_Unstructured_SNA_ConsensusEstimatesAdjustedEBIT_1">Canalyst!$523:$523</definedName>
    <definedName name="z_TKDSV50174_MO_Unstructured_SNA_ConsensusEstimatesAdjustedEBITDA">Canalyst!$522:$522</definedName>
    <definedName name="z_TKDSV50174_MO_Unstructured_SNA_ConsensusEstimatesCapex">Canalyst!$526:$526</definedName>
    <definedName name="z_TKDSV50174_MO_Unstructured_SNA_ConsensusEstimatesCashFlowPerDilutedShare">Canalyst!$525:$525</definedName>
    <definedName name="z_TKDSV50174_MO_Unstructured_SNA_ConsensusEstimatesGrossMargin">Canalyst!$520:$520</definedName>
    <definedName name="z_TKDSV50174_MO_Unstructured_SNA_ConsensusEstimatesNetRevenue">Canalyst!$521:$521</definedName>
    <definedName name="z_TKDSV50174_MO_Unstructured_SNA_ConsensusEstimateTable">Canalyst!$517:$517</definedName>
    <definedName name="z_TKDSV50174_MO_Unstructured_SNA_CurrentFiscalYear">Canalyst!$578:$578</definedName>
    <definedName name="z_TKDSV50174_MO_Unstructured_SNA_DataSourceIndex">Canalyst!$581:$581</definedName>
    <definedName name="z_TKDSV50174_MO_Unstructured_SNA_EVEBITDAAvg">Canalyst!$504:$504</definedName>
    <definedName name="z_TKDSV50174_MO_Unstructured_SNA_FactSet">Canalyst!$536:$536</definedName>
    <definedName name="z_TKDSV50174_MO_Unstructured_SNA_FactSet_1">Canalyst!$543:$543</definedName>
    <definedName name="z_TKDSV50174_MO_Unstructured_SNA_FactSet_2">Canalyst!$550:$550</definedName>
    <definedName name="z_TKDSV50174_MO_Unstructured_SNA_FactSet_3">Canalyst!$557:$557</definedName>
    <definedName name="z_TKDSV50174_MO_Unstructured_SNA_FirstForecastFiscalYear">Canalyst!$579:$579</definedName>
    <definedName name="z_TKDSV50174_MO_Unstructured_SNA_FiscalPeriodStartDate">Canalyst!$530:$530</definedName>
    <definedName name="z_TKDSV50174_MO_Unstructured_SNA_FXAverageRealTimeOffSource">Canalyst!$553:$553</definedName>
    <definedName name="z_TKDSV50174_MO_Unstructured_SNA_FXEoP">Canalyst!$562:$562</definedName>
    <definedName name="z_TKDSV50174_MO_Unstructured_SNA_FYorFQ">Canalyst!$518:$518</definedName>
    <definedName name="z_TKDSV50174_MO_Unstructured_SNA_GeneralTable">Canalyst!$565:$565</definedName>
    <definedName name="z_TKDSV50174_MO_Unstructured_SNA_High">Canalyst!$495:$495</definedName>
    <definedName name="z_TKDSV50174_MO_Unstructured_SNA_IsHistoricalPeriod">Canalyst!$531:$531</definedName>
    <definedName name="z_TKDSV50174_MO_Unstructured_SNA_KeyOutputs">Canalyst!$499:$499</definedName>
    <definedName name="z_TKDSV50174_MO_Unstructured_SNA_KPICount">Canalyst!$580:$580</definedName>
    <definedName name="z_TKDSV50174_MO_Unstructured_SNA_KPIData">Canalyst!$508:$508</definedName>
    <definedName name="z_TKDSV50174_MO_Unstructured_SNA_LastPrice">Canalyst!$566:$566</definedName>
    <definedName name="z_TKDSV50174_MO_Unstructured_SNA_LastPriceDate">Canalyst!$567:$567</definedName>
    <definedName name="z_TKDSV50174_MO_Unstructured_SNA_LastPriceFormula">Canalyst!$569:$569</definedName>
    <definedName name="z_TKDSV50174_MO_Unstructured_SNA_LastWorkingDayInPeriod">Canalyst!$560:$560</definedName>
    <definedName name="z_TKDSV50174_MO_Unstructured_SNA_LONSCT">Canalyst!$490:$490</definedName>
    <definedName name="z_TKDSV50174_MO_Unstructured_SNA_Low">Canalyst!$496:$496</definedName>
    <definedName name="z_TKDSV50174_MO_Unstructured_SNA_ModelSheetCurrencyHardcoded">Canalyst!$573:$573</definedName>
    <definedName name="z_TKDSV50174_MO_Unstructured_SNA_MOMAEBITDAAdj">Canalyst!$513:$513</definedName>
    <definedName name="z_TKDSV50174_MO_Unstructured_SNA_MOOSEmployeeCount">Canalyst!$514:$514</definedName>
    <definedName name="z_TKDSV50174_MO_Unstructured_SNA_MORISEBITDAAdj">Canalyst!$512:$512</definedName>
    <definedName name="z_TKDSV50174_MO_Unstructured_SNA_MORISEPSWADAdj">Canalyst!$511:$511</definedName>
    <definedName name="z_TKDSV50174_MO_Unstructured_SNA_MORISNINONGAAPDiluted">Canalyst!$510:$510</definedName>
    <definedName name="z_TKDSV50174_MO_Unstructured_SNA_MORISREV">Canalyst!$509:$509</definedName>
    <definedName name="z_TKDSV50174_MO_Unstructured_SNA_MostRecentFiscalPeriodMRFP">Canalyst!$577:$577</definedName>
    <definedName name="z_TKDSV50174_MO_Unstructured_SNA_MostRecentFX">Canalyst!$574:$574</definedName>
    <definedName name="z_TKDSV50174_MO_Unstructured_SNA_MostRecentFXHardcoded">Canalyst!$575:$575</definedName>
    <definedName name="z_TKDSV50174_MO_Unstructured_SNA_MRFPColumnNumber">Canalyst!$576:$576</definedName>
    <definedName name="z_TKDSV50174_MO_Unstructured_SNA_NetRevenue">Canalyst!$500:$500</definedName>
    <definedName name="z_TKDSV50174_MO_Unstructured_SNA_PEAvg">Canalyst!$505:$505</definedName>
    <definedName name="z_TKDSV50174_MO_Unstructured_SNA_Period">Canalyst!$519:$519</definedName>
    <definedName name="z_TKDSV50174_MO_Unstructured_SNA_RealTimeOffSource">Canalyst!$533:$533</definedName>
    <definedName name="z_TKDSV50174_MO_Unstructured_SNA_RealTimeOffSource_1">Canalyst!$540:$540</definedName>
    <definedName name="z_TKDSV50174_MO_Unstructured_SNA_RealTimeOffSource_2">Canalyst!$547:$547</definedName>
    <definedName name="z_TKDSV50174_MO_Unstructured_SNA_RealTimeOffSource_3">Canalyst!$554:$554</definedName>
    <definedName name="z_TKDSV50174_MO_Unstructured_SNA_RealTimeStockPrice">Canalyst!$568:$568</definedName>
    <definedName name="z_TKDSV50174_MO_Unstructured_SNA_Refinitiv">Canalyst!$537:$537</definedName>
    <definedName name="z_TKDSV50174_MO_Unstructured_SNA_Refinitiv_1">Canalyst!$544:$544</definedName>
    <definedName name="z_TKDSV50174_MO_Unstructured_SNA_Refinitiv_2">Canalyst!$551:$551</definedName>
    <definedName name="z_TKDSV50174_MO_Unstructured_SNA_Refinitiv_3">Canalyst!$558:$558</definedName>
    <definedName name="z_TKDSV50174_MO_Unstructured_SNA_SCTGB">Canalyst!$488:$488</definedName>
    <definedName name="z_TKDSV50174_MO_Unstructured_SNA_SCTLEU">Canalyst!$491:$491</definedName>
    <definedName name="z_TKDSV50174_MO_Unstructured_SNA_SCTLN">Canalyst!$489:$489</definedName>
    <definedName name="z_TKDSV50174_MO_Unstructured_SNA_SCTSL">Canalyst!$492:$492</definedName>
    <definedName name="z_TKDSV50174_MO_Unstructured_SNA_StockAverageRealTimeOffSource">Canalyst!$546:$546</definedName>
    <definedName name="z_TKDSV50174_MO_Unstructured_SNA_StockHighRealTimeOffSource">Canalyst!$532:$532</definedName>
    <definedName name="z_TKDSV50174_MO_Unstructured_SNA_StockLowRealTimeOffSource">Canalyst!$539:$539</definedName>
    <definedName name="z_TKDSV50174_MO_Unstructured_SNA_StockPriceEoP">Canalyst!$561:$561</definedName>
    <definedName name="z_TKDSV50174_MO_Unstructured_SNA_StockPriceTable">Canalyst!$529:$529</definedName>
    <definedName name="z_TKDSV50174_MO_Unstructured_SNA_TickerSymbol">Canalyst!$487:$487</definedName>
    <definedName name="z_TKDSV50174_MO_Unstructured_SNA_TradeCurrency">Canalyst!$571:$571</definedName>
    <definedName name="z_TKDSV50174_MO_Unstructured_SNA_TradeCurrencyHardcoded">Canalyst!$572:$572</definedName>
    <definedName name="z_TKDSV50174_MO_Unstructured_SNA_ValuationToggleTable">Canalyst!$494:$494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93" i="4" l="1"/>
  <c r="X93" i="4"/>
  <c r="O4" i="4"/>
  <c r="Z1" i="4"/>
  <c r="A4" i="2"/>
  <c r="A6" i="2"/>
  <c r="B17" i="2"/>
  <c r="B20" i="2"/>
  <c r="D18" i="2"/>
  <c r="H18" i="2" s="1"/>
  <c r="D19" i="2"/>
  <c r="H19" i="2" s="1"/>
  <c r="D20" i="2"/>
  <c r="H20" i="2" s="1"/>
  <c r="D21" i="2"/>
  <c r="H21" i="2" s="1"/>
  <c r="F18" i="2"/>
  <c r="F19" i="2"/>
  <c r="F20" i="2"/>
  <c r="F21" i="2"/>
  <c r="K18" i="2"/>
  <c r="O18" i="2" s="1"/>
  <c r="L18" i="2"/>
  <c r="K19" i="2"/>
  <c r="O19" i="2" s="1"/>
  <c r="L19" i="2"/>
  <c r="K20" i="2"/>
  <c r="O20" i="2" s="1"/>
  <c r="L20" i="2"/>
  <c r="K21" i="2"/>
  <c r="O21" i="2" s="1"/>
  <c r="L21" i="2"/>
  <c r="A24" i="2"/>
  <c r="B27" i="2"/>
  <c r="C27" i="2"/>
  <c r="B28" i="2"/>
  <c r="S27" i="2"/>
  <c r="S28" i="2"/>
  <c r="B30" i="2"/>
  <c r="C30" i="2"/>
  <c r="B31" i="2"/>
  <c r="C31" i="2"/>
  <c r="B32" i="2"/>
  <c r="C32" i="2"/>
  <c r="B33" i="2"/>
  <c r="C33" i="2"/>
  <c r="S30" i="2"/>
  <c r="S31" i="2"/>
  <c r="S32" i="2"/>
  <c r="S33" i="2"/>
  <c r="A38" i="2"/>
  <c r="B43" i="2"/>
  <c r="C43" i="2"/>
  <c r="D43" i="2"/>
  <c r="E43" i="2"/>
  <c r="F43" i="2"/>
  <c r="G43" i="2"/>
  <c r="H43" i="2"/>
  <c r="I43" i="2"/>
  <c r="J43" i="2"/>
  <c r="K43" i="2"/>
  <c r="L43" i="2"/>
  <c r="M43" i="2"/>
  <c r="O43" i="2"/>
  <c r="P43" i="2"/>
  <c r="Q43" i="2"/>
  <c r="B45" i="2"/>
  <c r="C45" i="2"/>
  <c r="D45" i="2"/>
  <c r="E45" i="2"/>
  <c r="F45" i="2"/>
  <c r="G45" i="2"/>
  <c r="H45" i="2"/>
  <c r="I45" i="2"/>
  <c r="J45" i="2"/>
  <c r="K45" i="2"/>
  <c r="L45" i="2"/>
  <c r="M45" i="2"/>
  <c r="B49" i="2"/>
  <c r="C49" i="2"/>
  <c r="D49" i="2"/>
  <c r="E49" i="2"/>
  <c r="F49" i="2"/>
  <c r="G49" i="2"/>
  <c r="H49" i="2"/>
  <c r="I49" i="2"/>
  <c r="J49" i="2"/>
  <c r="K49" i="2"/>
  <c r="L49" i="2"/>
  <c r="M49" i="2"/>
  <c r="O50" i="2"/>
  <c r="P50" i="2"/>
  <c r="Q50" i="2"/>
  <c r="B55" i="2"/>
  <c r="C55" i="2"/>
  <c r="D55" i="2"/>
  <c r="E55" i="2"/>
  <c r="F55" i="2"/>
  <c r="G55" i="2"/>
  <c r="H55" i="2"/>
  <c r="I55" i="2"/>
  <c r="J55" i="2"/>
  <c r="K55" i="2"/>
  <c r="L55" i="2"/>
  <c r="M55" i="2"/>
  <c r="O55" i="2"/>
  <c r="P55" i="2"/>
  <c r="Q55" i="2"/>
  <c r="O60" i="2"/>
  <c r="P60" i="2"/>
  <c r="Q60" i="2"/>
  <c r="B66" i="2"/>
  <c r="C66" i="2"/>
  <c r="D66" i="2"/>
  <c r="E66" i="2"/>
  <c r="F66" i="2"/>
  <c r="G66" i="2"/>
  <c r="H66" i="2"/>
  <c r="I66" i="2"/>
  <c r="J66" i="2"/>
  <c r="K66" i="2"/>
  <c r="L66" i="2"/>
  <c r="M66" i="2"/>
  <c r="O69" i="2"/>
  <c r="P69" i="2"/>
  <c r="Q69" i="2"/>
  <c r="L71" i="2"/>
  <c r="O71" i="2"/>
  <c r="P71" i="2"/>
  <c r="Q71" i="2"/>
  <c r="O81" i="2"/>
  <c r="P81" i="2"/>
  <c r="Q81" i="2"/>
  <c r="B81" i="2"/>
  <c r="C81" i="2"/>
  <c r="D81" i="2"/>
  <c r="E81" i="2"/>
  <c r="F81" i="2"/>
  <c r="G81" i="2"/>
  <c r="H81" i="2"/>
  <c r="I81" i="2"/>
  <c r="J81" i="2"/>
  <c r="K81" i="2"/>
  <c r="L81" i="2"/>
  <c r="M81" i="2"/>
  <c r="B82" i="2"/>
  <c r="C82" i="2"/>
  <c r="D82" i="2"/>
  <c r="E82" i="2"/>
  <c r="F82" i="2"/>
  <c r="G82" i="2"/>
  <c r="H82" i="2"/>
  <c r="I82" i="2"/>
  <c r="J82" i="2"/>
  <c r="K82" i="2"/>
  <c r="L82" i="2"/>
  <c r="M82" i="2"/>
  <c r="S82" i="2"/>
  <c r="B95" i="2"/>
  <c r="C95" i="2"/>
  <c r="D95" i="2"/>
  <c r="E95" i="2"/>
  <c r="F95" i="2"/>
  <c r="G95" i="2"/>
  <c r="H95" i="2"/>
  <c r="I95" i="2"/>
  <c r="J95" i="2"/>
  <c r="K95" i="2"/>
  <c r="L95" i="2"/>
  <c r="M95" i="2"/>
  <c r="B96" i="2"/>
  <c r="C96" i="2"/>
  <c r="D96" i="2"/>
  <c r="E96" i="2"/>
  <c r="F96" i="2"/>
  <c r="G96" i="2"/>
  <c r="H96" i="2"/>
  <c r="I96" i="2"/>
  <c r="J96" i="2"/>
  <c r="K96" i="2"/>
  <c r="L96" i="2"/>
  <c r="M96" i="2"/>
  <c r="O97" i="2"/>
  <c r="P97" i="2"/>
  <c r="Q97" i="2"/>
  <c r="B104" i="2"/>
  <c r="C104" i="2"/>
  <c r="D104" i="2"/>
  <c r="E104" i="2"/>
  <c r="F104" i="2"/>
  <c r="G104" i="2"/>
  <c r="H104" i="2"/>
  <c r="I104" i="2"/>
  <c r="J104" i="2"/>
  <c r="K104" i="2"/>
  <c r="L104" i="2"/>
  <c r="M104" i="2"/>
  <c r="O104" i="2"/>
  <c r="P104" i="2"/>
  <c r="Q104" i="2"/>
  <c r="B107" i="2"/>
  <c r="C107" i="2"/>
  <c r="D107" i="2"/>
  <c r="E107" i="2"/>
  <c r="F107" i="2"/>
  <c r="G107" i="2"/>
  <c r="H107" i="2"/>
  <c r="I107" i="2"/>
  <c r="J107" i="2"/>
  <c r="K107" i="2"/>
  <c r="L107" i="2"/>
  <c r="M107" i="2"/>
  <c r="B108" i="2"/>
  <c r="C108" i="2"/>
  <c r="D108" i="2"/>
  <c r="E108" i="2"/>
  <c r="F108" i="2"/>
  <c r="G108" i="2"/>
  <c r="H108" i="2"/>
  <c r="I108" i="2"/>
  <c r="J108" i="2"/>
  <c r="K108" i="2"/>
  <c r="L108" i="2"/>
  <c r="M108" i="2"/>
  <c r="B109" i="2"/>
  <c r="C109" i="2"/>
  <c r="D109" i="2"/>
  <c r="E109" i="2"/>
  <c r="F109" i="2"/>
  <c r="G109" i="2"/>
  <c r="H109" i="2"/>
  <c r="I109" i="2"/>
  <c r="J109" i="2"/>
  <c r="K109" i="2"/>
  <c r="L109" i="2"/>
  <c r="M109" i="2"/>
  <c r="B110" i="2"/>
  <c r="C110" i="2"/>
  <c r="D110" i="2"/>
  <c r="E110" i="2"/>
  <c r="F110" i="2"/>
  <c r="G110" i="2"/>
  <c r="H110" i="2"/>
  <c r="I110" i="2"/>
  <c r="J110" i="2"/>
  <c r="K110" i="2"/>
  <c r="L110" i="2"/>
  <c r="M110" i="2"/>
  <c r="B111" i="2"/>
  <c r="C111" i="2"/>
  <c r="D111" i="2"/>
  <c r="E111" i="2"/>
  <c r="F111" i="2"/>
  <c r="G111" i="2"/>
  <c r="H111" i="2"/>
  <c r="I111" i="2"/>
  <c r="J111" i="2"/>
  <c r="K111" i="2"/>
  <c r="L111" i="2"/>
  <c r="M111" i="2"/>
  <c r="B112" i="2"/>
  <c r="C112" i="2"/>
  <c r="D112" i="2"/>
  <c r="E112" i="2"/>
  <c r="F112" i="2"/>
  <c r="G112" i="2"/>
  <c r="H112" i="2"/>
  <c r="I112" i="2"/>
  <c r="J112" i="2"/>
  <c r="K112" i="2"/>
  <c r="L112" i="2"/>
  <c r="M112" i="2"/>
  <c r="B113" i="2"/>
  <c r="C113" i="2"/>
  <c r="D113" i="2"/>
  <c r="E113" i="2"/>
  <c r="F113" i="2"/>
  <c r="G113" i="2"/>
  <c r="H113" i="2"/>
  <c r="I113" i="2"/>
  <c r="J113" i="2"/>
  <c r="K113" i="2"/>
  <c r="L113" i="2"/>
  <c r="M113" i="2"/>
  <c r="Y95" i="23"/>
  <c r="M96" i="23"/>
  <c r="P520" i="18"/>
  <c r="Q520" i="18"/>
  <c r="R520" i="18"/>
  <c r="P521" i="18"/>
  <c r="Q521" i="18"/>
  <c r="R521" i="18"/>
  <c r="P522" i="18"/>
  <c r="Q522" i="18"/>
  <c r="R522" i="18"/>
  <c r="P523" i="18"/>
  <c r="Q523" i="18"/>
  <c r="R523" i="18"/>
  <c r="P524" i="18"/>
  <c r="Q524" i="18"/>
  <c r="R524" i="18"/>
  <c r="P525" i="18"/>
  <c r="Q525" i="18"/>
  <c r="R525" i="18"/>
  <c r="P526" i="18"/>
  <c r="Q526" i="18"/>
  <c r="R526" i="18"/>
  <c r="AN520" i="18"/>
  <c r="AO520" i="18"/>
  <c r="AP520" i="18"/>
  <c r="AQ520" i="18"/>
  <c r="AR520" i="18"/>
  <c r="AN521" i="18"/>
  <c r="AO521" i="18"/>
  <c r="AP521" i="18"/>
  <c r="AQ521" i="18"/>
  <c r="AR521" i="18"/>
  <c r="AN522" i="18"/>
  <c r="AO522" i="18"/>
  <c r="AP522" i="18"/>
  <c r="AQ522" i="18"/>
  <c r="AR522" i="18"/>
  <c r="AN523" i="18"/>
  <c r="AO523" i="18"/>
  <c r="AP523" i="18"/>
  <c r="AQ523" i="18"/>
  <c r="AR523" i="18"/>
  <c r="AN524" i="18"/>
  <c r="AO524" i="18"/>
  <c r="AP524" i="18"/>
  <c r="AQ524" i="18"/>
  <c r="AR524" i="18"/>
  <c r="AN525" i="18"/>
  <c r="AO525" i="18"/>
  <c r="AP525" i="18"/>
  <c r="AQ525" i="18"/>
  <c r="AR525" i="18"/>
  <c r="AN526" i="18"/>
  <c r="AO526" i="18"/>
  <c r="AP526" i="18"/>
  <c r="AQ526" i="18"/>
  <c r="AR526" i="18"/>
  <c r="B571" i="18"/>
  <c r="B569" i="18"/>
  <c r="AP556" i="18"/>
  <c r="AR556" i="18"/>
  <c r="AQ556" i="18"/>
  <c r="AY71" i="3" l="1"/>
  <c r="AX71" i="3"/>
  <c r="AW71" i="3"/>
  <c r="AV71" i="3"/>
  <c r="AU71" i="3"/>
  <c r="AT71" i="3"/>
  <c r="AS71" i="3"/>
  <c r="AR71" i="3"/>
  <c r="AQ71" i="3"/>
  <c r="AP71" i="3"/>
  <c r="AO71" i="3"/>
  <c r="AN71" i="3"/>
  <c r="AM71" i="3"/>
  <c r="AL71" i="3"/>
  <c r="AK71" i="3"/>
  <c r="AJ71" i="3"/>
  <c r="AI71" i="3"/>
  <c r="AH71" i="3"/>
  <c r="AG71" i="3"/>
  <c r="AF71" i="3"/>
  <c r="AE71" i="3"/>
  <c r="AD71" i="3"/>
  <c r="AC71" i="3"/>
  <c r="AB71" i="3"/>
  <c r="AA71" i="3"/>
  <c r="Z71" i="3"/>
  <c r="X71" i="3"/>
  <c r="W71" i="3"/>
  <c r="V71" i="3"/>
  <c r="U71" i="3"/>
  <c r="T71" i="3"/>
  <c r="S71" i="3"/>
  <c r="R71" i="3"/>
  <c r="Q71" i="3"/>
  <c r="P71" i="3"/>
  <c r="O71" i="3"/>
  <c r="N71" i="3"/>
  <c r="M71" i="3"/>
  <c r="L71" i="3"/>
  <c r="K71" i="3"/>
  <c r="J71" i="3"/>
  <c r="I71" i="3"/>
  <c r="H71" i="3"/>
  <c r="G71" i="3"/>
  <c r="F71" i="3"/>
  <c r="E71" i="3"/>
  <c r="D71" i="3"/>
  <c r="C71" i="3"/>
  <c r="AY63" i="3"/>
  <c r="AX63" i="3"/>
  <c r="AW63" i="3"/>
  <c r="AV63" i="3"/>
  <c r="AU63" i="3"/>
  <c r="AT63" i="3"/>
  <c r="AS63" i="3"/>
  <c r="AR63" i="3"/>
  <c r="AQ63" i="3"/>
  <c r="AP63" i="3"/>
  <c r="AO63" i="3"/>
  <c r="AN63" i="3"/>
  <c r="AM63" i="3"/>
  <c r="AL63" i="3"/>
  <c r="AK63" i="3"/>
  <c r="AJ63" i="3"/>
  <c r="AI63" i="3"/>
  <c r="AH63" i="3"/>
  <c r="AG63" i="3"/>
  <c r="AF63" i="3"/>
  <c r="AE63" i="3"/>
  <c r="AD63" i="3"/>
  <c r="AC63" i="3"/>
  <c r="AB63" i="3"/>
  <c r="AA63" i="3"/>
  <c r="Z63" i="3"/>
  <c r="X63" i="3"/>
  <c r="W63" i="3"/>
  <c r="V63" i="3"/>
  <c r="U63" i="3"/>
  <c r="T63" i="3"/>
  <c r="S63" i="3"/>
  <c r="R63" i="3"/>
  <c r="Q63" i="3"/>
  <c r="P63" i="3"/>
  <c r="O63" i="3"/>
  <c r="N63" i="3"/>
  <c r="M63" i="3"/>
  <c r="L63" i="3"/>
  <c r="K63" i="3"/>
  <c r="J63" i="3"/>
  <c r="I63" i="3"/>
  <c r="H63" i="3"/>
  <c r="G63" i="3"/>
  <c r="F63" i="3"/>
  <c r="E63" i="3"/>
  <c r="D63" i="3"/>
  <c r="C63" i="3"/>
  <c r="AY56" i="3"/>
  <c r="AX56" i="3"/>
  <c r="AW56" i="3"/>
  <c r="AV56" i="3"/>
  <c r="AU56" i="3"/>
  <c r="AT56" i="3"/>
  <c r="AS56" i="3"/>
  <c r="AR56" i="3"/>
  <c r="AQ56" i="3"/>
  <c r="AP56" i="3"/>
  <c r="AO56" i="3"/>
  <c r="AN56" i="3"/>
  <c r="AM56" i="3"/>
  <c r="AL56" i="3"/>
  <c r="AK56" i="3"/>
  <c r="AJ56" i="3"/>
  <c r="AI56" i="3"/>
  <c r="AH56" i="3"/>
  <c r="AG56" i="3"/>
  <c r="AF56" i="3"/>
  <c r="AE56" i="3"/>
  <c r="AD56" i="3"/>
  <c r="AC56" i="3"/>
  <c r="AB56" i="3"/>
  <c r="AA56" i="3"/>
  <c r="Z56" i="3"/>
  <c r="X56" i="3"/>
  <c r="W56" i="3"/>
  <c r="V56" i="3"/>
  <c r="U56" i="3"/>
  <c r="T56" i="3"/>
  <c r="S56" i="3"/>
  <c r="R56" i="3"/>
  <c r="Q56" i="3"/>
  <c r="P56" i="3"/>
  <c r="O56" i="3"/>
  <c r="N56" i="3"/>
  <c r="M56" i="3"/>
  <c r="L56" i="3"/>
  <c r="K56" i="3"/>
  <c r="J56" i="3"/>
  <c r="I56" i="3"/>
  <c r="H56" i="3"/>
  <c r="G56" i="3"/>
  <c r="F56" i="3"/>
  <c r="E56" i="3"/>
  <c r="D56" i="3"/>
  <c r="C56" i="3"/>
  <c r="AY47" i="3"/>
  <c r="AX47" i="3"/>
  <c r="AW47" i="3"/>
  <c r="AV47" i="3"/>
  <c r="AU47" i="3"/>
  <c r="AT47" i="3"/>
  <c r="AS47" i="3"/>
  <c r="AR47" i="3"/>
  <c r="AQ47" i="3"/>
  <c r="AP47" i="3"/>
  <c r="AO47" i="3"/>
  <c r="AN47" i="3"/>
  <c r="AM47" i="3"/>
  <c r="AL47" i="3"/>
  <c r="AK47" i="3"/>
  <c r="AJ47" i="3"/>
  <c r="AI47" i="3"/>
  <c r="AH47" i="3"/>
  <c r="AG47" i="3"/>
  <c r="AF47" i="3"/>
  <c r="AE47" i="3"/>
  <c r="AD47" i="3"/>
  <c r="AC47" i="3"/>
  <c r="AB47" i="3"/>
  <c r="AA47" i="3"/>
  <c r="Z47" i="3"/>
  <c r="X47" i="3"/>
  <c r="W47" i="3"/>
  <c r="V47" i="3"/>
  <c r="U47" i="3"/>
  <c r="T47" i="3"/>
  <c r="S47" i="3"/>
  <c r="R47" i="3"/>
  <c r="Q47" i="3"/>
  <c r="P47" i="3"/>
  <c r="O47" i="3"/>
  <c r="N47" i="3"/>
  <c r="M47" i="3"/>
  <c r="L47" i="3"/>
  <c r="K47" i="3"/>
  <c r="J47" i="3"/>
  <c r="I47" i="3"/>
  <c r="H47" i="3"/>
  <c r="G47" i="3"/>
  <c r="F47" i="3"/>
  <c r="E47" i="3"/>
  <c r="D47" i="3"/>
  <c r="C47" i="3"/>
  <c r="AY32" i="3"/>
  <c r="AX32" i="3"/>
  <c r="AW32" i="3"/>
  <c r="AV32" i="3"/>
  <c r="AU32" i="3"/>
  <c r="AT32" i="3"/>
  <c r="AS32" i="3"/>
  <c r="AR32" i="3"/>
  <c r="AQ32" i="3"/>
  <c r="AP32" i="3"/>
  <c r="AO32" i="3"/>
  <c r="AN32" i="3"/>
  <c r="AM32" i="3"/>
  <c r="AL32" i="3"/>
  <c r="AK32" i="3"/>
  <c r="AJ32" i="3"/>
  <c r="AI32" i="3"/>
  <c r="AH32" i="3"/>
  <c r="AG32" i="3"/>
  <c r="AF32" i="3"/>
  <c r="AE32" i="3"/>
  <c r="AD32" i="3"/>
  <c r="AC32" i="3"/>
  <c r="AB32" i="3"/>
  <c r="AA32" i="3"/>
  <c r="Z32" i="3"/>
  <c r="X32" i="3"/>
  <c r="W32" i="3"/>
  <c r="V32" i="3"/>
  <c r="U32" i="3"/>
  <c r="T32" i="3"/>
  <c r="S32" i="3"/>
  <c r="R32" i="3"/>
  <c r="Q32" i="3"/>
  <c r="P32" i="3"/>
  <c r="O32" i="3"/>
  <c r="N32" i="3"/>
  <c r="M32" i="3"/>
  <c r="L32" i="3"/>
  <c r="K32" i="3"/>
  <c r="J32" i="3"/>
  <c r="I32" i="3"/>
  <c r="H32" i="3"/>
  <c r="G32" i="3"/>
  <c r="F32" i="3"/>
  <c r="E32" i="3"/>
  <c r="D32" i="3"/>
  <c r="C32" i="3"/>
  <c r="AY24" i="3"/>
  <c r="AX24" i="3"/>
  <c r="AW24" i="3"/>
  <c r="AV24" i="3"/>
  <c r="AU24" i="3"/>
  <c r="AT24" i="3"/>
  <c r="AS24" i="3"/>
  <c r="AR24" i="3"/>
  <c r="AQ24" i="3"/>
  <c r="AP24" i="3"/>
  <c r="AO24" i="3"/>
  <c r="AN24" i="3"/>
  <c r="AM24" i="3"/>
  <c r="AL24" i="3"/>
  <c r="AK24" i="3"/>
  <c r="AJ24" i="3"/>
  <c r="AI24" i="3"/>
  <c r="AH24" i="3"/>
  <c r="AG24" i="3"/>
  <c r="AF24" i="3"/>
  <c r="AE24" i="3"/>
  <c r="AD24" i="3"/>
  <c r="AC24" i="3"/>
  <c r="AB24" i="3"/>
  <c r="AA24" i="3"/>
  <c r="Z24" i="3"/>
  <c r="X24" i="3"/>
  <c r="W24" i="3"/>
  <c r="V24" i="3"/>
  <c r="U24" i="3"/>
  <c r="T24" i="3"/>
  <c r="S24" i="3"/>
  <c r="R24" i="3"/>
  <c r="Q24" i="3"/>
  <c r="P24" i="3"/>
  <c r="O24" i="3"/>
  <c r="N24" i="3"/>
  <c r="M24" i="3"/>
  <c r="L24" i="3"/>
  <c r="K24" i="3"/>
  <c r="J24" i="3"/>
  <c r="I24" i="3"/>
  <c r="H24" i="3"/>
  <c r="G24" i="3"/>
  <c r="F24" i="3"/>
  <c r="E24" i="3"/>
  <c r="D24" i="3"/>
  <c r="C24" i="3"/>
  <c r="AY11" i="3"/>
  <c r="AX11" i="3"/>
  <c r="AW11" i="3"/>
  <c r="AV11" i="3"/>
  <c r="AU11" i="3"/>
  <c r="AT11" i="3"/>
  <c r="AS11" i="3"/>
  <c r="AR11" i="3"/>
  <c r="AQ11" i="3"/>
  <c r="AP11" i="3"/>
  <c r="AO11" i="3"/>
  <c r="AN11" i="3"/>
  <c r="AM11" i="3"/>
  <c r="AL11" i="3"/>
  <c r="AK11" i="3"/>
  <c r="AJ11" i="3"/>
  <c r="AI11" i="3"/>
  <c r="AH11" i="3"/>
  <c r="AG11" i="3"/>
  <c r="AF11" i="3"/>
  <c r="AE11" i="3"/>
  <c r="AD11" i="3"/>
  <c r="AC11" i="3"/>
  <c r="AB11" i="3"/>
  <c r="AA11" i="3"/>
  <c r="Z11" i="3"/>
  <c r="X11" i="3"/>
  <c r="W11" i="3"/>
  <c r="V11" i="3"/>
  <c r="U11" i="3"/>
  <c r="T11" i="3"/>
  <c r="S11" i="3"/>
  <c r="R11" i="3"/>
  <c r="Q11" i="3"/>
  <c r="P11" i="3"/>
  <c r="O11" i="3"/>
  <c r="N11" i="3"/>
  <c r="M11" i="3"/>
  <c r="L11" i="3"/>
  <c r="K11" i="3"/>
  <c r="J11" i="3"/>
  <c r="I11" i="3"/>
  <c r="H11" i="3"/>
  <c r="G11" i="3"/>
  <c r="F11" i="3"/>
  <c r="D11" i="3"/>
  <c r="C11" i="3"/>
  <c r="E11" i="3"/>
  <c r="O4" i="23"/>
  <c r="Y93" i="23"/>
  <c r="X93" i="23" s="1"/>
  <c r="W416" i="8"/>
  <c r="W135" i="8" s="1"/>
  <c r="W406" i="8"/>
  <c r="W134" i="8" s="1"/>
  <c r="W59" i="8"/>
  <c r="W58" i="8"/>
  <c r="W57" i="8"/>
  <c r="W47" i="8"/>
  <c r="W46" i="8"/>
  <c r="W45" i="8"/>
  <c r="W42" i="8"/>
  <c r="W391" i="8"/>
  <c r="W395" i="8" s="1"/>
  <c r="W397" i="8" s="1"/>
  <c r="W369" i="8"/>
  <c r="W368" i="8"/>
  <c r="W370" i="8" s="1"/>
  <c r="W351" i="8"/>
  <c r="W352" i="8" s="1"/>
  <c r="W347" i="8"/>
  <c r="W348" i="8" s="1"/>
  <c r="W354" i="8" s="1"/>
  <c r="W346" i="8"/>
  <c r="W339" i="8"/>
  <c r="W341" i="8"/>
  <c r="W332" i="8"/>
  <c r="W333" i="8" s="1"/>
  <c r="W323" i="8"/>
  <c r="W125" i="8" s="1"/>
  <c r="W313" i="8"/>
  <c r="W308" i="8"/>
  <c r="W120" i="8" s="1"/>
  <c r="W285" i="8"/>
  <c r="W276" i="8"/>
  <c r="W145" i="8" s="1"/>
  <c r="W264" i="8"/>
  <c r="W213" i="8" s="1"/>
  <c r="W259" i="8"/>
  <c r="W208" i="8" s="1"/>
  <c r="W245" i="8"/>
  <c r="W223" i="8" s="1"/>
  <c r="W243" i="8"/>
  <c r="W275" i="8" s="1"/>
  <c r="W239" i="8"/>
  <c r="W234" i="8"/>
  <c r="W225" i="8"/>
  <c r="W152" i="8" s="1"/>
  <c r="W222" i="8"/>
  <c r="W144" i="8" s="1"/>
  <c r="W188" i="8"/>
  <c r="W178" i="8"/>
  <c r="W137" i="8"/>
  <c r="W95" i="8"/>
  <c r="W94" i="8"/>
  <c r="W93" i="8"/>
  <c r="W89" i="8"/>
  <c r="W88" i="8"/>
  <c r="W87" i="8"/>
  <c r="W83" i="8"/>
  <c r="W82" i="8"/>
  <c r="W81" i="8"/>
  <c r="W77" i="8"/>
  <c r="W76" i="8"/>
  <c r="W75" i="8"/>
  <c r="W72" i="8"/>
  <c r="W29" i="8"/>
  <c r="W28" i="8"/>
  <c r="W27" i="8"/>
  <c r="W17" i="8"/>
  <c r="W16" i="8"/>
  <c r="W15" i="8"/>
  <c r="W12" i="8"/>
  <c r="W126" i="8" l="1"/>
  <c r="W133" i="8"/>
  <c r="W418" i="8"/>
  <c r="W63" i="8"/>
  <c r="W246" i="8"/>
  <c r="W248" i="8" s="1"/>
  <c r="W250" i="8" s="1"/>
  <c r="W251" i="8" s="1"/>
  <c r="W64" i="8"/>
  <c r="W269" i="8"/>
  <c r="W65" i="8"/>
  <c r="W314" i="8"/>
  <c r="W334" i="8" s="1"/>
  <c r="W255" i="8"/>
  <c r="W136" i="8"/>
  <c r="W277" i="8"/>
  <c r="W278" i="8" s="1"/>
  <c r="W355" i="8"/>
  <c r="W372" i="8"/>
  <c r="W373" i="8" s="1"/>
  <c r="W342" i="8"/>
  <c r="W121" i="8"/>
  <c r="W122" i="8"/>
  <c r="W127" i="8"/>
  <c r="W215" i="8"/>
  <c r="W84" i="8"/>
  <c r="W100" i="8"/>
  <c r="W96" i="8"/>
  <c r="W99" i="8"/>
  <c r="W101" i="8"/>
  <c r="W33" i="8"/>
  <c r="W34" i="8"/>
  <c r="W35" i="8"/>
  <c r="W271" i="8" l="1"/>
  <c r="W205" i="8"/>
  <c r="W261" i="8"/>
  <c r="W266" i="8"/>
  <c r="W272" i="8"/>
  <c r="W143" i="8"/>
  <c r="W268" i="8"/>
  <c r="W218" i="8" s="1"/>
  <c r="W106" i="8"/>
  <c r="W219" i="8"/>
  <c r="W230" i="8"/>
  <c r="W258" i="8"/>
  <c r="W66" i="8"/>
  <c r="W158" i="8"/>
  <c r="W128" i="8"/>
  <c r="W129" i="8" s="1"/>
  <c r="W154" i="8" s="1"/>
  <c r="W281" i="8"/>
  <c r="W280" i="8"/>
  <c r="W159" i="8"/>
  <c r="W235" i="8"/>
  <c r="W240" i="8"/>
  <c r="W102" i="8"/>
  <c r="W36" i="8"/>
  <c r="W114" i="8" l="1"/>
  <c r="W360" i="8"/>
  <c r="W359" i="8"/>
  <c r="W224" i="8"/>
  <c r="W226" i="8" s="1"/>
  <c r="W220" i="8"/>
  <c r="W107" i="8" s="1"/>
  <c r="W115" i="8" s="1"/>
  <c r="W146" i="8"/>
  <c r="W151" i="8"/>
  <c r="W153" i="8" s="1"/>
  <c r="W155" i="8" s="1"/>
  <c r="W216" i="8"/>
  <c r="W210" i="8"/>
  <c r="W161" i="8"/>
  <c r="W160" i="8"/>
  <c r="W149" i="8" l="1"/>
  <c r="W148" i="8"/>
  <c r="W9" i="24"/>
  <c r="W15" i="24" s="1"/>
  <c r="W10" i="24"/>
  <c r="W17" i="24" l="1"/>
  <c r="AV40" i="27"/>
  <c r="AU40" i="27"/>
  <c r="AT40" i="27"/>
  <c r="AS40" i="27"/>
  <c r="AR40" i="27"/>
  <c r="AQ40" i="27"/>
  <c r="AP40" i="27"/>
  <c r="A40" i="27"/>
  <c r="A39" i="27"/>
  <c r="C31" i="27"/>
  <c r="AO31" i="27" s="1"/>
  <c r="E31" i="27"/>
  <c r="V31" i="27"/>
  <c r="T31" i="27"/>
  <c r="S31" i="27"/>
  <c r="R31" i="27"/>
  <c r="Q31" i="27"/>
  <c r="P31" i="27"/>
  <c r="O31" i="27"/>
  <c r="N31" i="27"/>
  <c r="M31" i="27"/>
  <c r="L31" i="27"/>
  <c r="K31" i="27"/>
  <c r="J31" i="27"/>
  <c r="I31" i="27"/>
  <c r="H31" i="27"/>
  <c r="G31" i="27"/>
  <c r="F31" i="27"/>
  <c r="F39" i="27" s="1"/>
  <c r="AE26" i="27"/>
  <c r="AD26" i="27"/>
  <c r="AC26" i="27"/>
  <c r="AB26" i="27"/>
  <c r="AA26" i="27"/>
  <c r="Z26" i="27"/>
  <c r="A26" i="27"/>
  <c r="AE25" i="27"/>
  <c r="AD25" i="27"/>
  <c r="AC25" i="27"/>
  <c r="AB25" i="27"/>
  <c r="AA25" i="27"/>
  <c r="Z25" i="27"/>
  <c r="A25" i="27"/>
  <c r="AP24" i="27"/>
  <c r="AO24" i="27"/>
  <c r="AN24" i="27"/>
  <c r="AM24" i="27"/>
  <c r="AL24" i="27"/>
  <c r="AK24" i="27"/>
  <c r="AJ24" i="27"/>
  <c r="AI24" i="27"/>
  <c r="AH24" i="27"/>
  <c r="AG24" i="27"/>
  <c r="AF24" i="27"/>
  <c r="AE24" i="27"/>
  <c r="AD24" i="27"/>
  <c r="AC24" i="27"/>
  <c r="AB24" i="27"/>
  <c r="AA24" i="27"/>
  <c r="Z24" i="27"/>
  <c r="H24" i="27"/>
  <c r="G24" i="27"/>
  <c r="F24" i="27"/>
  <c r="E24" i="27"/>
  <c r="D24" i="27"/>
  <c r="C24" i="27"/>
  <c r="A24" i="27"/>
  <c r="A23" i="27"/>
  <c r="A38" i="27" s="1"/>
  <c r="A22" i="27"/>
  <c r="AE13" i="27"/>
  <c r="AD13" i="27"/>
  <c r="AC13" i="27"/>
  <c r="AB13" i="27"/>
  <c r="AA13" i="27"/>
  <c r="Z13" i="27"/>
  <c r="A13" i="27"/>
  <c r="Z12" i="27"/>
  <c r="A12" i="27"/>
  <c r="A11" i="27"/>
  <c r="AE6" i="27"/>
  <c r="AF6" i="27" s="1"/>
  <c r="AG6" i="27" s="1"/>
  <c r="AH6" i="27" s="1"/>
  <c r="AI6" i="27" s="1"/>
  <c r="AJ6" i="27" s="1"/>
  <c r="AK6" i="27" s="1"/>
  <c r="AL6" i="27" s="1"/>
  <c r="AM6" i="27" s="1"/>
  <c r="AN6" i="27" s="1"/>
  <c r="AO6" i="27" s="1"/>
  <c r="AC6" i="27"/>
  <c r="AB6" i="27" s="1"/>
  <c r="AA6" i="27" s="1"/>
  <c r="Z6" i="27" s="1"/>
  <c r="V16" i="24"/>
  <c r="V15" i="24"/>
  <c r="AT31" i="27" l="1"/>
  <c r="T39" i="27"/>
  <c r="R39" i="27"/>
  <c r="AR31" i="27"/>
  <c r="AV31" i="27"/>
  <c r="AQ31" i="27"/>
  <c r="AU31" i="27"/>
  <c r="AS31" i="27"/>
  <c r="H39" i="27"/>
  <c r="J39" i="27"/>
  <c r="N39" i="27"/>
  <c r="L39" i="27"/>
  <c r="S39" i="27"/>
  <c r="V39" i="27"/>
  <c r="AP31" i="27"/>
  <c r="AP39" i="27" s="1"/>
  <c r="E39" i="27"/>
  <c r="I39" i="27"/>
  <c r="K39" i="27"/>
  <c r="AW31" i="27"/>
  <c r="G39" i="27"/>
  <c r="M39" i="27"/>
  <c r="O39" i="27"/>
  <c r="P39" i="27"/>
  <c r="Q39" i="27"/>
  <c r="V136" i="3"/>
  <c r="X136" i="3" s="1"/>
  <c r="AX104" i="3"/>
  <c r="AX103" i="3"/>
  <c r="N7" i="21"/>
  <c r="M7" i="21"/>
  <c r="AU39" i="27" l="1"/>
  <c r="AV39" i="27"/>
  <c r="AR39" i="27"/>
  <c r="AW39" i="27"/>
  <c r="AS39" i="27"/>
  <c r="AT39" i="27"/>
  <c r="AQ39" i="27"/>
  <c r="P52" i="4"/>
  <c r="V106" i="3"/>
  <c r="V38" i="3"/>
  <c r="BC186" i="8"/>
  <c r="BC187" i="8" s="1"/>
  <c r="BC178" i="8"/>
  <c r="BC180" i="8" s="1"/>
  <c r="V41" i="8"/>
  <c r="V40" i="8"/>
  <c r="W52" i="8" s="1"/>
  <c r="V39" i="8"/>
  <c r="W51" i="8" s="1"/>
  <c r="V11" i="8"/>
  <c r="W23" i="8" s="1"/>
  <c r="V10" i="8"/>
  <c r="W22" i="8" s="1"/>
  <c r="V9" i="8"/>
  <c r="W21" i="8" s="1"/>
  <c r="BC42" i="8"/>
  <c r="BC65" i="8" s="1"/>
  <c r="BC53" i="8"/>
  <c r="BC59" i="8" s="1"/>
  <c r="BC52" i="8"/>
  <c r="BC58" i="8" s="1"/>
  <c r="BC51" i="8"/>
  <c r="BC57" i="8" s="1"/>
  <c r="BC47" i="8"/>
  <c r="BC46" i="8"/>
  <c r="BC45" i="8"/>
  <c r="V285" i="8"/>
  <c r="V83" i="3" s="1"/>
  <c r="M99" i="23" s="1"/>
  <c r="V284" i="8"/>
  <c r="V283" i="8"/>
  <c r="V288" i="8"/>
  <c r="V287" i="8"/>
  <c r="V249" i="8"/>
  <c r="V221" i="8"/>
  <c r="BC247" i="8"/>
  <c r="V247" i="8" s="1"/>
  <c r="BC222" i="8"/>
  <c r="BC219" i="8"/>
  <c r="BC218" i="8"/>
  <c r="BC223" i="8"/>
  <c r="BC245" i="8" s="1"/>
  <c r="BC276" i="8"/>
  <c r="V340" i="8"/>
  <c r="V338" i="8"/>
  <c r="V337" i="8"/>
  <c r="V331" i="8"/>
  <c r="V330" i="8"/>
  <c r="V329" i="8"/>
  <c r="V328" i="8"/>
  <c r="V327" i="8"/>
  <c r="V326" i="8"/>
  <c r="V325" i="8"/>
  <c r="V324" i="8"/>
  <c r="V322" i="8"/>
  <c r="V321" i="8"/>
  <c r="V320" i="8"/>
  <c r="V319" i="8"/>
  <c r="V318" i="8"/>
  <c r="V317" i="8"/>
  <c r="V312" i="8"/>
  <c r="V311" i="8"/>
  <c r="V310" i="8"/>
  <c r="V346" i="8" s="1"/>
  <c r="V309" i="8"/>
  <c r="V347" i="8" s="1"/>
  <c r="W363" i="8" s="1"/>
  <c r="V307" i="8"/>
  <c r="V306" i="8"/>
  <c r="V305" i="8"/>
  <c r="V304" i="8"/>
  <c r="V303" i="8"/>
  <c r="V368" i="8" s="1"/>
  <c r="BC369" i="8"/>
  <c r="BC368" i="8"/>
  <c r="BC351" i="8"/>
  <c r="BC347" i="8"/>
  <c r="BC346" i="8"/>
  <c r="BC339" i="8"/>
  <c r="V339" i="8" s="1"/>
  <c r="BC332" i="8"/>
  <c r="BC323" i="8"/>
  <c r="V323" i="8" s="1"/>
  <c r="V125" i="8" s="1"/>
  <c r="BC313" i="8"/>
  <c r="V313" i="8" s="1"/>
  <c r="V121" i="8" s="1"/>
  <c r="BC308" i="8"/>
  <c r="V308" i="8" s="1"/>
  <c r="V120" i="8" s="1"/>
  <c r="V417" i="8"/>
  <c r="V137" i="8" s="1"/>
  <c r="V415" i="8"/>
  <c r="V414" i="8"/>
  <c r="V413" i="8"/>
  <c r="V412" i="8"/>
  <c r="V105" i="3" s="1"/>
  <c r="V411" i="8"/>
  <c r="V410" i="8"/>
  <c r="V409" i="8"/>
  <c r="V405" i="8"/>
  <c r="V404" i="8"/>
  <c r="V403" i="8"/>
  <c r="V402" i="8"/>
  <c r="V401" i="8"/>
  <c r="V400" i="8"/>
  <c r="V396" i="8"/>
  <c r="V102" i="3" s="1"/>
  <c r="V394" i="8"/>
  <c r="V393" i="8"/>
  <c r="V392" i="8"/>
  <c r="V390" i="8"/>
  <c r="V389" i="8"/>
  <c r="V388" i="8"/>
  <c r="V387" i="8"/>
  <c r="V386" i="8"/>
  <c r="V385" i="8"/>
  <c r="V384" i="8"/>
  <c r="V383" i="8"/>
  <c r="V382" i="8"/>
  <c r="V381" i="8"/>
  <c r="V380" i="8"/>
  <c r="V379" i="8"/>
  <c r="BC391" i="8"/>
  <c r="BC395" i="8" s="1"/>
  <c r="BC416" i="8"/>
  <c r="BC406" i="8"/>
  <c r="BC242" i="8"/>
  <c r="V242" i="8" s="1"/>
  <c r="BC272" i="8"/>
  <c r="BC270" i="8"/>
  <c r="BC213" i="8"/>
  <c r="BC208" i="8"/>
  <c r="BC233" i="8" s="1"/>
  <c r="BC265" i="8"/>
  <c r="BC260" i="8"/>
  <c r="V169" i="8"/>
  <c r="V120" i="3" s="1"/>
  <c r="BC170" i="8"/>
  <c r="BC23" i="8"/>
  <c r="BC29" i="8" s="1"/>
  <c r="BC22" i="8"/>
  <c r="BC28" i="8" s="1"/>
  <c r="BC21" i="8"/>
  <c r="BC27" i="8" s="1"/>
  <c r="BC12" i="8"/>
  <c r="BC18" i="8" s="1"/>
  <c r="BC17" i="8"/>
  <c r="BC16" i="8"/>
  <c r="BC15" i="8"/>
  <c r="BC1" i="8"/>
  <c r="V53" i="8" l="1"/>
  <c r="W53" i="8"/>
  <c r="V122" i="8"/>
  <c r="BC370" i="8"/>
  <c r="BC63" i="8"/>
  <c r="BC348" i="8"/>
  <c r="V53" i="3"/>
  <c r="V369" i="8"/>
  <c r="V370" i="8" s="1"/>
  <c r="BC48" i="8"/>
  <c r="V348" i="8"/>
  <c r="BC64" i="8"/>
  <c r="BC54" i="8"/>
  <c r="BC60" i="8" s="1"/>
  <c r="BC418" i="8"/>
  <c r="V108" i="3"/>
  <c r="L97" i="23" s="1"/>
  <c r="V351" i="8"/>
  <c r="V21" i="8"/>
  <c r="V66" i="3"/>
  <c r="V89" i="3" s="1"/>
  <c r="V22" i="8"/>
  <c r="BC220" i="8"/>
  <c r="BC33" i="8"/>
  <c r="BC35" i="8"/>
  <c r="BC230" i="8"/>
  <c r="BC255" i="8"/>
  <c r="BC24" i="8"/>
  <c r="BC30" i="8" s="1"/>
  <c r="BC224" i="8"/>
  <c r="BC226" i="8" s="1"/>
  <c r="BC34" i="8"/>
  <c r="BC333" i="8"/>
  <c r="V332" i="8"/>
  <c r="V126" i="8" s="1"/>
  <c r="V127" i="8" s="1"/>
  <c r="V51" i="8"/>
  <c r="BC179" i="8"/>
  <c r="V23" i="8"/>
  <c r="BC314" i="8"/>
  <c r="V314" i="8" s="1"/>
  <c r="BC341" i="8"/>
  <c r="V341" i="8" s="1"/>
  <c r="V52" i="8"/>
  <c r="BC188" i="8"/>
  <c r="V233" i="8"/>
  <c r="BC277" i="8"/>
  <c r="BC352" i="8"/>
  <c r="BC238" i="8"/>
  <c r="BC243" i="8" s="1"/>
  <c r="BC215" i="8"/>
  <c r="AF116" i="4"/>
  <c r="AF117" i="4" s="1"/>
  <c r="AF118" i="4" s="1"/>
  <c r="V352" i="8" l="1"/>
  <c r="W364" i="8"/>
  <c r="V128" i="8"/>
  <c r="V129" i="8" s="1"/>
  <c r="V154" i="8" s="1"/>
  <c r="V354" i="8"/>
  <c r="BC66" i="8"/>
  <c r="BC354" i="8"/>
  <c r="BC355" i="8" s="1"/>
  <c r="BC36" i="8"/>
  <c r="BC359" i="8"/>
  <c r="BC231" i="8"/>
  <c r="BC205" i="8"/>
  <c r="BC261" i="8"/>
  <c r="BC256" i="8"/>
  <c r="BC258" i="8"/>
  <c r="BC271" i="8"/>
  <c r="BC266" i="8"/>
  <c r="BC334" i="8"/>
  <c r="V334" i="8" s="1"/>
  <c r="V342" i="8" s="1"/>
  <c r="V333" i="8"/>
  <c r="BC235" i="8"/>
  <c r="BC275" i="8"/>
  <c r="BC240" i="8"/>
  <c r="V238" i="8"/>
  <c r="BC360" i="8"/>
  <c r="BC246" i="8"/>
  <c r="BC278" i="8"/>
  <c r="Y106" i="4"/>
  <c r="Y107" i="4" s="1"/>
  <c r="Y109" i="4" s="1"/>
  <c r="V372" i="8" l="1"/>
  <c r="W356" i="8"/>
  <c r="BC372" i="8"/>
  <c r="BC373" i="8" s="1"/>
  <c r="BC216" i="8"/>
  <c r="BC210" i="8"/>
  <c r="BC342" i="8"/>
  <c r="BC281" i="8"/>
  <c r="BC280" i="8"/>
  <c r="V355" i="8"/>
  <c r="BC248" i="8"/>
  <c r="V17" i="24"/>
  <c r="U17" i="24"/>
  <c r="T17" i="24"/>
  <c r="S17" i="24"/>
  <c r="R17" i="24"/>
  <c r="Q17" i="24"/>
  <c r="P17" i="24"/>
  <c r="O17" i="24"/>
  <c r="N17" i="24"/>
  <c r="M17" i="24"/>
  <c r="A17" i="24"/>
  <c r="BC250" i="8" l="1"/>
  <c r="C43" i="25"/>
  <c r="C39" i="25" s="1"/>
  <c r="D43" i="25"/>
  <c r="D39" i="25" s="1"/>
  <c r="E43" i="25"/>
  <c r="E39" i="25" s="1"/>
  <c r="F43" i="25"/>
  <c r="F39" i="25" s="1"/>
  <c r="G43" i="25"/>
  <c r="G39" i="25" s="1"/>
  <c r="H43" i="25"/>
  <c r="H39" i="25" s="1"/>
  <c r="I43" i="25"/>
  <c r="I39" i="25" s="1"/>
  <c r="J43" i="25"/>
  <c r="J39" i="25" s="1"/>
  <c r="K43" i="25"/>
  <c r="K39" i="25" s="1"/>
  <c r="L43" i="25"/>
  <c r="L39" i="25" s="1"/>
  <c r="M43" i="25"/>
  <c r="M39" i="25" s="1"/>
  <c r="N43" i="25"/>
  <c r="N39" i="25" s="1"/>
  <c r="O43" i="25"/>
  <c r="O39" i="25" s="1"/>
  <c r="P43" i="25"/>
  <c r="P39" i="25" s="1"/>
  <c r="Q43" i="25"/>
  <c r="Q39" i="25" s="1"/>
  <c r="R43" i="25"/>
  <c r="R39" i="25" s="1"/>
  <c r="BC251" i="8" l="1"/>
  <c r="F98" i="25"/>
  <c r="J98" i="25" l="1"/>
  <c r="D95" i="25"/>
  <c r="E95" i="25" s="1"/>
  <c r="F95" i="25" s="1"/>
  <c r="H10" i="25"/>
  <c r="G10" i="25"/>
  <c r="F10" i="25"/>
  <c r="E10" i="25"/>
  <c r="D10" i="25"/>
  <c r="C10" i="25"/>
  <c r="AD263" i="8"/>
  <c r="AC263" i="8"/>
  <c r="AB263" i="8"/>
  <c r="AA263" i="8"/>
  <c r="Z263" i="8"/>
  <c r="AD255" i="8"/>
  <c r="F7" i="25" s="1"/>
  <c r="AC255" i="8"/>
  <c r="E7" i="25" s="1"/>
  <c r="AB255" i="8"/>
  <c r="D7" i="25" s="1"/>
  <c r="AA255" i="8"/>
  <c r="C7" i="25" s="1"/>
  <c r="Z255" i="8"/>
  <c r="B7" i="25" s="1"/>
  <c r="B6" i="25"/>
  <c r="AD7" i="25"/>
  <c r="Y7" i="25"/>
  <c r="X7" i="25"/>
  <c r="W7" i="25"/>
  <c r="V7" i="25"/>
  <c r="U7" i="25"/>
  <c r="T7" i="25"/>
  <c r="C4" i="25"/>
  <c r="D4" i="25" s="1"/>
  <c r="E4" i="25" s="1"/>
  <c r="F4" i="25" s="1"/>
  <c r="G4" i="25" s="1"/>
  <c r="H4" i="25" s="1"/>
  <c r="I4" i="25" s="1"/>
  <c r="J4" i="25" s="1"/>
  <c r="K4" i="25" s="1"/>
  <c r="L4" i="25" s="1"/>
  <c r="M4" i="25" s="1"/>
  <c r="N4" i="25" s="1"/>
  <c r="O4" i="25" s="1"/>
  <c r="P4" i="25" s="1"/>
  <c r="Q4" i="25" s="1"/>
  <c r="R4" i="25" s="1"/>
  <c r="S4" i="25" s="1"/>
  <c r="T4" i="25" s="1"/>
  <c r="U4" i="25" s="1"/>
  <c r="V4" i="25" s="1"/>
  <c r="W4" i="25" s="1"/>
  <c r="X4" i="25" s="1"/>
  <c r="Y4" i="25" s="1"/>
  <c r="Z4" i="25" s="1"/>
  <c r="AA4" i="25" s="1"/>
  <c r="AB4" i="25" s="1"/>
  <c r="AC4" i="25" s="1"/>
  <c r="AD4" i="25" s="1"/>
  <c r="C5" i="25"/>
  <c r="D5" i="25" s="1"/>
  <c r="E5" i="25" s="1"/>
  <c r="F5" i="25" s="1"/>
  <c r="G5" i="25" s="1"/>
  <c r="H5" i="25" s="1"/>
  <c r="I5" i="25" s="1"/>
  <c r="J5" i="25" s="1"/>
  <c r="K5" i="25" s="1"/>
  <c r="L5" i="25" s="1"/>
  <c r="M5" i="25" s="1"/>
  <c r="N5" i="25" s="1"/>
  <c r="O5" i="25" s="1"/>
  <c r="P5" i="25" s="1"/>
  <c r="Q5" i="25" s="1"/>
  <c r="R5" i="25" s="1"/>
  <c r="S5" i="25" s="1"/>
  <c r="T5" i="25" s="1"/>
  <c r="U5" i="25" s="1"/>
  <c r="V5" i="25" s="1"/>
  <c r="W5" i="25" s="1"/>
  <c r="X5" i="25" s="1"/>
  <c r="Y5" i="25" s="1"/>
  <c r="Z5" i="25" s="1"/>
  <c r="AA5" i="25" s="1"/>
  <c r="AB5" i="25" s="1"/>
  <c r="AC5" i="25" s="1"/>
  <c r="AD5" i="25" s="1"/>
  <c r="AD6" i="25" l="1"/>
  <c r="AD9" i="25" s="1"/>
  <c r="AD14" i="25" s="1"/>
  <c r="P20" i="25" s="1"/>
  <c r="AC264" i="8"/>
  <c r="AB264" i="8"/>
  <c r="AD264" i="8"/>
  <c r="AA264" i="8"/>
  <c r="C6" i="25"/>
  <c r="C9" i="25" s="1"/>
  <c r="C14" i="25" s="1"/>
  <c r="D6" i="25"/>
  <c r="D9" i="25" s="1"/>
  <c r="D14" i="25" s="1"/>
  <c r="E6" i="25"/>
  <c r="E9" i="25" s="1"/>
  <c r="E14" i="25" s="1"/>
  <c r="F6" i="25"/>
  <c r="F9" i="25" s="1"/>
  <c r="F14" i="25" s="1"/>
  <c r="G6" i="25"/>
  <c r="G9" i="25" s="1"/>
  <c r="G14" i="25" s="1"/>
  <c r="H6" i="25"/>
  <c r="H9" i="25" s="1"/>
  <c r="H14" i="25" s="1"/>
  <c r="I6" i="25"/>
  <c r="I9" i="25" s="1"/>
  <c r="I14" i="25" s="1"/>
  <c r="J6" i="25"/>
  <c r="J9" i="25" s="1"/>
  <c r="J14" i="25" s="1"/>
  <c r="K6" i="25"/>
  <c r="K9" i="25" s="1"/>
  <c r="K14" i="25" s="1"/>
  <c r="L6" i="25"/>
  <c r="L9" i="25" s="1"/>
  <c r="L14" i="25" s="1"/>
  <c r="M6" i="25"/>
  <c r="M9" i="25" s="1"/>
  <c r="M14" i="25" s="1"/>
  <c r="N6" i="25"/>
  <c r="N9" i="25" s="1"/>
  <c r="N14" i="25" s="1"/>
  <c r="O6" i="25"/>
  <c r="O9" i="25" s="1"/>
  <c r="O14" i="25" s="1"/>
  <c r="P6" i="25"/>
  <c r="P9" i="25" s="1"/>
  <c r="P14" i="25" s="1"/>
  <c r="Q6" i="25"/>
  <c r="Q9" i="25" s="1"/>
  <c r="Q14" i="25" s="1"/>
  <c r="C20" i="25" s="1"/>
  <c r="R6" i="25"/>
  <c r="R9" i="25" s="1"/>
  <c r="R14" i="25" s="1"/>
  <c r="D20" i="25" s="1"/>
  <c r="S6" i="25"/>
  <c r="S9" i="25" s="1"/>
  <c r="S14" i="25" s="1"/>
  <c r="E20" i="25" s="1"/>
  <c r="T6" i="25"/>
  <c r="T9" i="25" s="1"/>
  <c r="T14" i="25" s="1"/>
  <c r="F20" i="25" s="1"/>
  <c r="U6" i="25"/>
  <c r="U9" i="25" s="1"/>
  <c r="U14" i="25" s="1"/>
  <c r="G20" i="25" s="1"/>
  <c r="V6" i="25"/>
  <c r="V9" i="25" s="1"/>
  <c r="V14" i="25" s="1"/>
  <c r="H20" i="25" s="1"/>
  <c r="W6" i="25"/>
  <c r="W9" i="25" s="1"/>
  <c r="W14" i="25" s="1"/>
  <c r="I20" i="25" s="1"/>
  <c r="X6" i="25"/>
  <c r="X9" i="25" s="1"/>
  <c r="X14" i="25" s="1"/>
  <c r="J20" i="25" s="1"/>
  <c r="Y6" i="25"/>
  <c r="Y9" i="25" s="1"/>
  <c r="Y14" i="25" s="1"/>
  <c r="K20" i="25" s="1"/>
  <c r="Z6" i="25"/>
  <c r="Z9" i="25" s="1"/>
  <c r="Z14" i="25" s="1"/>
  <c r="L20" i="25" s="1"/>
  <c r="AA6" i="25"/>
  <c r="AA9" i="25" s="1"/>
  <c r="AA14" i="25" s="1"/>
  <c r="M20" i="25" s="1"/>
  <c r="AB6" i="25"/>
  <c r="AB9" i="25" s="1"/>
  <c r="AB14" i="25" s="1"/>
  <c r="N20" i="25" s="1"/>
  <c r="AC6" i="25"/>
  <c r="AC9" i="25" s="1"/>
  <c r="AC14" i="25" s="1"/>
  <c r="O20" i="25" s="1"/>
  <c r="AY44" i="3"/>
  <c r="AY21" i="3"/>
  <c r="O30" i="4"/>
  <c r="O17" i="4"/>
  <c r="AY79" i="3"/>
  <c r="X90" i="3"/>
  <c r="W90" i="3"/>
  <c r="AY1" i="3"/>
  <c r="U137" i="8"/>
  <c r="U72" i="8"/>
  <c r="U95" i="8"/>
  <c r="U94" i="8"/>
  <c r="U93" i="8"/>
  <c r="U108" i="3"/>
  <c r="U106" i="3"/>
  <c r="AX106" i="3" s="1"/>
  <c r="U105" i="3"/>
  <c r="AX105" i="3" s="1"/>
  <c r="U102" i="3"/>
  <c r="AX102" i="3" s="1"/>
  <c r="U66" i="3"/>
  <c r="U53" i="3"/>
  <c r="U416" i="8"/>
  <c r="U406" i="8"/>
  <c r="U391" i="8"/>
  <c r="U369" i="8"/>
  <c r="U368" i="8"/>
  <c r="U351" i="8"/>
  <c r="U347" i="8"/>
  <c r="U346" i="8"/>
  <c r="U339" i="8"/>
  <c r="U341" i="8" s="1"/>
  <c r="U332" i="8"/>
  <c r="U126" i="8" s="1"/>
  <c r="U323" i="8"/>
  <c r="U125" i="8" s="1"/>
  <c r="U308" i="8"/>
  <c r="U120" i="8" s="1"/>
  <c r="U313" i="8"/>
  <c r="U121" i="8" s="1"/>
  <c r="U42" i="8"/>
  <c r="T285" i="8"/>
  <c r="U285" i="8"/>
  <c r="U83" i="3" s="1"/>
  <c r="U276" i="8"/>
  <c r="U264" i="8"/>
  <c r="U259" i="8"/>
  <c r="T249" i="8"/>
  <c r="U245" i="8"/>
  <c r="V245" i="8" s="1"/>
  <c r="U225" i="8"/>
  <c r="U222" i="8"/>
  <c r="U243" i="8"/>
  <c r="U12" i="8"/>
  <c r="L16" i="24"/>
  <c r="K16" i="24"/>
  <c r="M16" i="24"/>
  <c r="U10" i="24"/>
  <c r="W16" i="24" s="1"/>
  <c r="W260" i="8" l="1"/>
  <c r="V264" i="8"/>
  <c r="W265" i="8"/>
  <c r="W18" i="8"/>
  <c r="W30" i="8"/>
  <c r="W48" i="8"/>
  <c r="W60" i="8"/>
  <c r="W90" i="8"/>
  <c r="W78" i="8"/>
  <c r="U16" i="24"/>
  <c r="U31" i="27"/>
  <c r="U269" i="8"/>
  <c r="V243" i="8"/>
  <c r="V373" i="8" s="1"/>
  <c r="U277" i="8"/>
  <c r="V277" i="8" s="1"/>
  <c r="V222" i="8"/>
  <c r="V144" i="8" s="1"/>
  <c r="V60" i="3" s="1"/>
  <c r="U395" i="8"/>
  <c r="V391" i="8"/>
  <c r="U135" i="8"/>
  <c r="V416" i="8"/>
  <c r="V135" i="8" s="1"/>
  <c r="U152" i="8"/>
  <c r="V225" i="8"/>
  <c r="V152" i="8" s="1"/>
  <c r="V22" i="3"/>
  <c r="V22" i="27" s="1"/>
  <c r="U134" i="8"/>
  <c r="V406" i="8"/>
  <c r="V134" i="8" s="1"/>
  <c r="U255" i="8"/>
  <c r="W256" i="8" s="1"/>
  <c r="V12" i="8"/>
  <c r="W24" i="8" s="1"/>
  <c r="U15" i="3"/>
  <c r="V259" i="8"/>
  <c r="O52" i="23"/>
  <c r="O52" i="4"/>
  <c r="U65" i="8"/>
  <c r="V42" i="8"/>
  <c r="W54" i="8" s="1"/>
  <c r="U145" i="8"/>
  <c r="V276" i="8"/>
  <c r="V145" i="8" s="1"/>
  <c r="U34" i="8"/>
  <c r="U127" i="8"/>
  <c r="U348" i="8"/>
  <c r="U122" i="8"/>
  <c r="U33" i="8"/>
  <c r="AY90" i="3"/>
  <c r="U370" i="8"/>
  <c r="U246" i="8"/>
  <c r="U63" i="8"/>
  <c r="U208" i="8"/>
  <c r="U213" i="8"/>
  <c r="U64" i="8"/>
  <c r="U22" i="3"/>
  <c r="U22" i="27" s="1"/>
  <c r="U333" i="8"/>
  <c r="U144" i="8"/>
  <c r="U60" i="3" s="1"/>
  <c r="U275" i="8"/>
  <c r="V275" i="8" s="1"/>
  <c r="U96" i="8"/>
  <c r="U99" i="8"/>
  <c r="U100" i="8"/>
  <c r="U101" i="8"/>
  <c r="U89" i="3"/>
  <c r="U352" i="8"/>
  <c r="U314" i="8"/>
  <c r="U35" i="8"/>
  <c r="T16" i="24"/>
  <c r="S16" i="24"/>
  <c r="R16" i="24"/>
  <c r="Q16" i="24"/>
  <c r="P16" i="24"/>
  <c r="O16" i="24"/>
  <c r="N16" i="24"/>
  <c r="A16" i="24"/>
  <c r="U15" i="24"/>
  <c r="T15" i="24"/>
  <c r="S15" i="24"/>
  <c r="R15" i="24"/>
  <c r="Q15" i="24"/>
  <c r="P15" i="24"/>
  <c r="O15" i="24"/>
  <c r="N15" i="24"/>
  <c r="A15" i="24"/>
  <c r="A14" i="24"/>
  <c r="V208" i="8" l="1"/>
  <c r="W209" i="8"/>
  <c r="V269" i="8"/>
  <c r="W270" i="8"/>
  <c r="V213" i="8"/>
  <c r="W214" i="8"/>
  <c r="U258" i="8"/>
  <c r="U268" i="8"/>
  <c r="U218" i="8" s="1"/>
  <c r="V218" i="8" s="1"/>
  <c r="U143" i="8"/>
  <c r="U151" i="8" s="1"/>
  <c r="U153" i="8" s="1"/>
  <c r="U106" i="8"/>
  <c r="W110" i="8" s="1"/>
  <c r="U219" i="8"/>
  <c r="U220" i="8" s="1"/>
  <c r="U107" i="8" s="1"/>
  <c r="W111" i="8" s="1"/>
  <c r="U272" i="8"/>
  <c r="U278" i="8"/>
  <c r="U271" i="8"/>
  <c r="AX31" i="27"/>
  <c r="AX39" i="27" s="1"/>
  <c r="U39" i="27"/>
  <c r="U128" i="8"/>
  <c r="U129" i="8" s="1"/>
  <c r="U154" i="8" s="1"/>
  <c r="U9" i="3"/>
  <c r="U27" i="3" s="1"/>
  <c r="U27" i="27" s="1"/>
  <c r="V255" i="8"/>
  <c r="V271" i="8" s="1"/>
  <c r="U397" i="8"/>
  <c r="V395" i="8"/>
  <c r="V54" i="8"/>
  <c r="V65" i="8"/>
  <c r="V63" i="8"/>
  <c r="V64" i="8"/>
  <c r="V24" i="8"/>
  <c r="V33" i="8"/>
  <c r="V35" i="8"/>
  <c r="V34" i="8"/>
  <c r="V28" i="3"/>
  <c r="V25" i="3"/>
  <c r="V25" i="27" s="1"/>
  <c r="V67" i="3"/>
  <c r="U158" i="8"/>
  <c r="U205" i="8"/>
  <c r="U266" i="8"/>
  <c r="U261" i="8"/>
  <c r="V215" i="8"/>
  <c r="U230" i="8"/>
  <c r="U248" i="8"/>
  <c r="V246" i="8"/>
  <c r="V143" i="8"/>
  <c r="V151" i="8" s="1"/>
  <c r="V153" i="8" s="1"/>
  <c r="V155" i="8" s="1"/>
  <c r="V106" i="8"/>
  <c r="V272" i="8"/>
  <c r="U354" i="8"/>
  <c r="V356" i="8" s="1"/>
  <c r="U36" i="8"/>
  <c r="U215" i="8"/>
  <c r="U67" i="3"/>
  <c r="U334" i="8"/>
  <c r="U342" i="8" s="1"/>
  <c r="U28" i="3"/>
  <c r="W22" i="3"/>
  <c r="U66" i="8"/>
  <c r="U114" i="8"/>
  <c r="U102" i="8"/>
  <c r="M96" i="4"/>
  <c r="V18" i="1"/>
  <c r="V19" i="1"/>
  <c r="V20" i="1"/>
  <c r="V22" i="1"/>
  <c r="V23" i="1"/>
  <c r="V25" i="1"/>
  <c r="V26" i="1"/>
  <c r="V27" i="1"/>
  <c r="V28" i="1"/>
  <c r="V29" i="1"/>
  <c r="V30" i="1"/>
  <c r="V31" i="1"/>
  <c r="V33" i="1"/>
  <c r="V34" i="1"/>
  <c r="V35" i="1"/>
  <c r="V36" i="1"/>
  <c r="V37" i="1"/>
  <c r="V39" i="1"/>
  <c r="V40" i="1"/>
  <c r="V42" i="1"/>
  <c r="V44" i="1"/>
  <c r="V45" i="1"/>
  <c r="V47" i="1"/>
  <c r="V48" i="1"/>
  <c r="V50" i="1"/>
  <c r="V51" i="1"/>
  <c r="V52" i="1"/>
  <c r="V54" i="1"/>
  <c r="V55" i="1"/>
  <c r="V57" i="1"/>
  <c r="V59" i="1"/>
  <c r="V60" i="1"/>
  <c r="V65" i="1"/>
  <c r="V69" i="1"/>
  <c r="V78" i="1"/>
  <c r="V79" i="1"/>
  <c r="V80" i="1"/>
  <c r="V95" i="1"/>
  <c r="V100" i="1"/>
  <c r="V101" i="1"/>
  <c r="V107" i="1"/>
  <c r="V108" i="1"/>
  <c r="V110" i="1"/>
  <c r="V111" i="1"/>
  <c r="V112" i="1"/>
  <c r="V113" i="1"/>
  <c r="V115" i="1"/>
  <c r="V116" i="1"/>
  <c r="V117" i="1"/>
  <c r="V118" i="1"/>
  <c r="V119" i="1"/>
  <c r="V123" i="1"/>
  <c r="V127" i="1"/>
  <c r="V128" i="1"/>
  <c r="V129" i="1"/>
  <c r="V130" i="1"/>
  <c r="V137" i="1"/>
  <c r="V138" i="1"/>
  <c r="V139" i="1"/>
  <c r="V140" i="1"/>
  <c r="V144" i="1"/>
  <c r="V145" i="1"/>
  <c r="V147" i="1"/>
  <c r="V148" i="1"/>
  <c r="V149" i="1"/>
  <c r="V150" i="1"/>
  <c r="V151" i="1"/>
  <c r="V152" i="1"/>
  <c r="V156" i="1"/>
  <c r="V158" i="1"/>
  <c r="V161" i="1"/>
  <c r="V162" i="1"/>
  <c r="V163" i="1"/>
  <c r="V164" i="1"/>
  <c r="V165" i="1"/>
  <c r="V166" i="1"/>
  <c r="V167" i="1"/>
  <c r="V184" i="1"/>
  <c r="V185" i="1"/>
  <c r="V186" i="1"/>
  <c r="V187" i="1"/>
  <c r="V190" i="1"/>
  <c r="V191" i="1"/>
  <c r="V192" i="1"/>
  <c r="V193" i="1"/>
  <c r="V194" i="1"/>
  <c r="V195" i="1"/>
  <c r="V196" i="1"/>
  <c r="V197" i="1"/>
  <c r="V199" i="1"/>
  <c r="V200" i="1"/>
  <c r="V201" i="1"/>
  <c r="V202" i="1"/>
  <c r="V203" i="1"/>
  <c r="V204" i="1"/>
  <c r="V205" i="1"/>
  <c r="V206" i="1"/>
  <c r="V207" i="1"/>
  <c r="V209" i="1"/>
  <c r="V210" i="1"/>
  <c r="V211" i="1"/>
  <c r="V212" i="1"/>
  <c r="V213" i="1"/>
  <c r="V214" i="1"/>
  <c r="V216" i="1"/>
  <c r="V217" i="1"/>
  <c r="V218" i="1"/>
  <c r="V219" i="1"/>
  <c r="V220" i="1"/>
  <c r="V222" i="1"/>
  <c r="V223" i="1"/>
  <c r="V224" i="1"/>
  <c r="V226" i="1"/>
  <c r="V229" i="1"/>
  <c r="V230" i="1"/>
  <c r="V231" i="1"/>
  <c r="V232" i="1"/>
  <c r="V233" i="1"/>
  <c r="V234" i="1"/>
  <c r="V235" i="1"/>
  <c r="V236" i="1"/>
  <c r="V237" i="1"/>
  <c r="Q3" i="2"/>
  <c r="H40" i="2"/>
  <c r="D40" i="2"/>
  <c r="B18" i="2"/>
  <c r="J40" i="2"/>
  <c r="I40" i="2"/>
  <c r="G40" i="2"/>
  <c r="E40" i="2"/>
  <c r="B19" i="2"/>
  <c r="K40" i="2"/>
  <c r="F40" i="2"/>
  <c r="C40" i="2"/>
  <c r="M40" i="2"/>
  <c r="L40" i="2"/>
  <c r="B40" i="2"/>
  <c r="V278" i="8" l="1"/>
  <c r="V159" i="8" s="1"/>
  <c r="W279" i="8"/>
  <c r="V230" i="8"/>
  <c r="W231" i="8"/>
  <c r="V205" i="8"/>
  <c r="V210" i="8" s="1"/>
  <c r="W206" i="8"/>
  <c r="U75" i="3"/>
  <c r="U77" i="3" s="1"/>
  <c r="U146" i="8"/>
  <c r="W147" i="8" s="1"/>
  <c r="V268" i="8"/>
  <c r="V219" i="8"/>
  <c r="U281" i="8"/>
  <c r="V281" i="8"/>
  <c r="V75" i="3"/>
  <c r="V77" i="3" s="1"/>
  <c r="U280" i="8"/>
  <c r="U159" i="8"/>
  <c r="U161" i="8" s="1"/>
  <c r="U155" i="8"/>
  <c r="W53" i="3"/>
  <c r="W8" i="24"/>
  <c r="W22" i="27"/>
  <c r="U19" i="3"/>
  <c r="U10" i="27"/>
  <c r="V280" i="8"/>
  <c r="V261" i="8"/>
  <c r="V146" i="8"/>
  <c r="V149" i="8" s="1"/>
  <c r="U359" i="8"/>
  <c r="V362" i="8" s="1"/>
  <c r="U61" i="3"/>
  <c r="U54" i="3" s="1"/>
  <c r="U115" i="8"/>
  <c r="U216" i="8"/>
  <c r="V397" i="8"/>
  <c r="U101" i="3"/>
  <c r="U98" i="3" s="1"/>
  <c r="U133" i="8"/>
  <c r="U136" i="8" s="1"/>
  <c r="U418" i="8"/>
  <c r="V114" i="8"/>
  <c r="X129" i="3"/>
  <c r="V359" i="8"/>
  <c r="W362" i="8" s="1"/>
  <c r="W365" i="8" s="1"/>
  <c r="V235" i="8"/>
  <c r="V360" i="8"/>
  <c r="V240" i="8"/>
  <c r="V36" i="8"/>
  <c r="U355" i="8"/>
  <c r="U235" i="8"/>
  <c r="U372" i="8"/>
  <c r="U373" i="8" s="1"/>
  <c r="V66" i="8"/>
  <c r="U250" i="8"/>
  <c r="V248" i="8"/>
  <c r="U240" i="8"/>
  <c r="V216" i="8"/>
  <c r="V9" i="3"/>
  <c r="V10" i="27" s="1"/>
  <c r="V158" i="8"/>
  <c r="V266" i="8"/>
  <c r="U210" i="8"/>
  <c r="V220" i="8"/>
  <c r="V107" i="8" s="1"/>
  <c r="V61" i="3" s="1"/>
  <c r="U360" i="8"/>
  <c r="V161" i="8"/>
  <c r="V160" i="8"/>
  <c r="U149" i="8"/>
  <c r="U148" i="8"/>
  <c r="P18" i="2"/>
  <c r="I18" i="2"/>
  <c r="C28" i="2"/>
  <c r="C29" i="2" s="1"/>
  <c r="G26" i="2"/>
  <c r="L41" i="2"/>
  <c r="U160" i="8" l="1"/>
  <c r="U64" i="3"/>
  <c r="V148" i="8"/>
  <c r="V115" i="8"/>
  <c r="V12" i="3"/>
  <c r="V12" i="27" s="1"/>
  <c r="V27" i="3"/>
  <c r="V27" i="27" s="1"/>
  <c r="U251" i="8"/>
  <c r="V251" i="8" s="1"/>
  <c r="V250" i="8"/>
  <c r="V363" i="8"/>
  <c r="V364" i="8"/>
  <c r="V101" i="3"/>
  <c r="V98" i="3" s="1"/>
  <c r="O105" i="23" s="1"/>
  <c r="V418" i="8"/>
  <c r="V133" i="8"/>
  <c r="V136" i="8" s="1"/>
  <c r="V64" i="3"/>
  <c r="V54" i="3"/>
  <c r="U88" i="3"/>
  <c r="U45" i="3"/>
  <c r="U57" i="3"/>
  <c r="U69" i="3"/>
  <c r="U72" i="3" s="1"/>
  <c r="I20" i="2"/>
  <c r="J20" i="2" s="1"/>
  <c r="P21" i="2"/>
  <c r="Q21" i="2" s="1"/>
  <c r="I21" i="2"/>
  <c r="J21" i="2" s="1"/>
  <c r="P19" i="2"/>
  <c r="Q19" i="2" s="1"/>
  <c r="P20" i="2"/>
  <c r="Q20" i="2" s="1"/>
  <c r="I19" i="2"/>
  <c r="J19" i="2" s="1"/>
  <c r="J18" i="2"/>
  <c r="Q18" i="2"/>
  <c r="O40" i="2"/>
  <c r="H26" i="2" s="1"/>
  <c r="P40" i="2"/>
  <c r="I26" i="2" s="1"/>
  <c r="Q40" i="2"/>
  <c r="J26" i="2" s="1"/>
  <c r="S26" i="2"/>
  <c r="D27" i="2"/>
  <c r="M41" i="2"/>
  <c r="O41" i="2"/>
  <c r="P41" i="2"/>
  <c r="Q41" i="2"/>
  <c r="O27" i="2"/>
  <c r="V365" i="8" l="1"/>
  <c r="V69" i="3"/>
  <c r="V72" i="3" s="1"/>
  <c r="V88" i="3"/>
  <c r="V57" i="3"/>
  <c r="V45" i="3"/>
  <c r="U48" i="3"/>
  <c r="R45" i="25" s="1"/>
  <c r="U30" i="3"/>
  <c r="S29" i="2"/>
  <c r="S34" i="2" s="1"/>
  <c r="D28" i="2"/>
  <c r="O28" i="2"/>
  <c r="V48" i="3" l="1"/>
  <c r="V30" i="3"/>
  <c r="V109" i="3"/>
  <c r="U144" i="3"/>
  <c r="U35" i="3"/>
  <c r="M50" i="2"/>
  <c r="M56" i="2" s="1"/>
  <c r="J27" i="2"/>
  <c r="I27" i="2"/>
  <c r="H27" i="2"/>
  <c r="G27" i="2"/>
  <c r="B29" i="2"/>
  <c r="D29" i="2"/>
  <c r="M60" i="2"/>
  <c r="O29" i="2"/>
  <c r="V144" i="3" l="1"/>
  <c r="V35" i="3"/>
  <c r="V33" i="3"/>
  <c r="O82" i="2"/>
  <c r="P82" i="2" s="1"/>
  <c r="Q82" i="2" s="1"/>
  <c r="M61" i="2"/>
  <c r="AB29" i="2"/>
  <c r="D30" i="2"/>
  <c r="G30" i="2"/>
  <c r="O30" i="2"/>
  <c r="P56" i="2" l="1"/>
  <c r="I30" i="2" s="1"/>
  <c r="O56" i="2"/>
  <c r="H30" i="2" s="1"/>
  <c r="Q56" i="2"/>
  <c r="J30" i="2" s="1"/>
  <c r="D32" i="2"/>
  <c r="M76" i="2"/>
  <c r="M77" i="2"/>
  <c r="M79" i="2"/>
  <c r="M62" i="2"/>
  <c r="O76" i="2"/>
  <c r="O49" i="2"/>
  <c r="O77" i="2" s="1"/>
  <c r="P76" i="2"/>
  <c r="P49" i="2"/>
  <c r="P77" i="2" s="1"/>
  <c r="Q76" i="2"/>
  <c r="Q49" i="2"/>
  <c r="Q77" i="2" s="1"/>
  <c r="O32" i="2"/>
  <c r="P78" i="2" l="1"/>
  <c r="Q78" i="2"/>
  <c r="M80" i="2"/>
  <c r="M63" i="2"/>
  <c r="M78" i="2"/>
  <c r="O66" i="2"/>
  <c r="P66" i="2" s="1"/>
  <c r="Q66" i="2" s="1"/>
  <c r="Q79" i="2"/>
  <c r="Q61" i="2"/>
  <c r="P79" i="2"/>
  <c r="O79" i="2"/>
  <c r="O78" i="2"/>
  <c r="P61" i="2"/>
  <c r="O61" i="2"/>
  <c r="D33" i="2"/>
  <c r="O88" i="2"/>
  <c r="P88" i="2"/>
  <c r="Q88" i="2"/>
  <c r="M64" i="2"/>
  <c r="O33" i="2"/>
  <c r="P64" i="2" l="1"/>
  <c r="Q64" i="2"/>
  <c r="Q83" i="2" s="1"/>
  <c r="J29" i="2" s="1"/>
  <c r="G28" i="2"/>
  <c r="O64" i="2"/>
  <c r="M83" i="2"/>
  <c r="G29" i="2" s="1"/>
  <c r="M65" i="2"/>
  <c r="M67" i="2" s="1"/>
  <c r="G31" i="2" s="1"/>
  <c r="Q109" i="2"/>
  <c r="M91" i="2"/>
  <c r="G33" i="2" s="1"/>
  <c r="P109" i="2"/>
  <c r="O109" i="2"/>
  <c r="P62" i="2"/>
  <c r="P80" i="2" s="1"/>
  <c r="O62" i="2"/>
  <c r="O80" i="2" s="1"/>
  <c r="Q62" i="2"/>
  <c r="Q80" i="2" s="1"/>
  <c r="AA33" i="2"/>
  <c r="AB33" i="2"/>
  <c r="B34" i="2"/>
  <c r="C34" i="2"/>
  <c r="D34" i="2"/>
  <c r="O34" i="2"/>
  <c r="J28" i="2" l="1"/>
  <c r="O89" i="2"/>
  <c r="M84" i="2"/>
  <c r="M85" i="2" s="1"/>
  <c r="G32" i="2" s="1"/>
  <c r="Q63" i="2"/>
  <c r="Q65" i="2" s="1"/>
  <c r="Q67" i="2" s="1"/>
  <c r="J31" i="2" s="1"/>
  <c r="O83" i="2"/>
  <c r="H29" i="2" s="1"/>
  <c r="H28" i="2"/>
  <c r="I28" i="2"/>
  <c r="P83" i="2"/>
  <c r="I29" i="2" s="1"/>
  <c r="O63" i="2"/>
  <c r="O65" i="2" s="1"/>
  <c r="O67" i="2" s="1"/>
  <c r="H31" i="2" s="1"/>
  <c r="P63" i="2"/>
  <c r="P65" i="2" s="1"/>
  <c r="P67" i="2" s="1"/>
  <c r="I31" i="2" s="1"/>
  <c r="Q89" i="2"/>
  <c r="Q84" i="2"/>
  <c r="Q85" i="2" s="1"/>
  <c r="J32" i="2" s="1"/>
  <c r="P89" i="2"/>
  <c r="AB34" i="2"/>
  <c r="K41" i="2"/>
  <c r="O84" i="2" l="1"/>
  <c r="O85" i="2" s="1"/>
  <c r="H32" i="2" s="1"/>
  <c r="J41" i="2"/>
  <c r="P84" i="2"/>
  <c r="P85" i="2" s="1"/>
  <c r="I32" i="2" s="1"/>
  <c r="Q91" i="2"/>
  <c r="J33" i="2" s="1"/>
  <c r="J35" i="2"/>
  <c r="I35" i="2"/>
  <c r="H35" i="2"/>
  <c r="S40" i="2"/>
  <c r="S41" i="2"/>
  <c r="AB41" i="2"/>
  <c r="X42" i="2"/>
  <c r="L44" i="2"/>
  <c r="O44" i="2"/>
  <c r="P44" i="2"/>
  <c r="Q44" i="2"/>
  <c r="O45" i="2"/>
  <c r="O47" i="2" s="1"/>
  <c r="P45" i="2"/>
  <c r="Q45" i="2"/>
  <c r="Q47" i="2" s="1"/>
  <c r="L46" i="2"/>
  <c r="K47" i="2"/>
  <c r="L47" i="2"/>
  <c r="M47" i="2"/>
  <c r="L48" i="2"/>
  <c r="K50" i="2"/>
  <c r="K52" i="2" s="1"/>
  <c r="L50" i="2"/>
  <c r="P51" i="2"/>
  <c r="Q51" i="2"/>
  <c r="M52" i="2"/>
  <c r="O52" i="2"/>
  <c r="P52" i="2"/>
  <c r="Q52" i="2"/>
  <c r="P53" i="2"/>
  <c r="Q53" i="2"/>
  <c r="S81" i="2"/>
  <c r="S55" i="2"/>
  <c r="S49" i="2"/>
  <c r="S113" i="2"/>
  <c r="S43" i="2"/>
  <c r="S112" i="2"/>
  <c r="S111" i="2"/>
  <c r="S110" i="2"/>
  <c r="S109" i="2"/>
  <c r="S104" i="2"/>
  <c r="S96" i="2"/>
  <c r="S95" i="2"/>
  <c r="S66" i="2"/>
  <c r="S45" i="2"/>
  <c r="S107" i="2"/>
  <c r="O91" i="2" l="1"/>
  <c r="H33" i="2" s="1"/>
  <c r="P91" i="2"/>
  <c r="I33" i="2" s="1"/>
  <c r="K46" i="2"/>
  <c r="J50" i="2"/>
  <c r="K51" i="2" s="1"/>
  <c r="J47" i="2"/>
  <c r="K48" i="2"/>
  <c r="K44" i="2"/>
  <c r="P48" i="2"/>
  <c r="L53" i="2"/>
  <c r="I41" i="2"/>
  <c r="Q46" i="2"/>
  <c r="P47" i="2"/>
  <c r="O48" i="2"/>
  <c r="Q48" i="2"/>
  <c r="O46" i="2"/>
  <c r="M44" i="2"/>
  <c r="M46" i="2"/>
  <c r="S47" i="2"/>
  <c r="S50" i="2"/>
  <c r="M51" i="2" s="1"/>
  <c r="P46" i="2"/>
  <c r="O51" i="2"/>
  <c r="L51" i="2"/>
  <c r="O53" i="2"/>
  <c r="L52" i="2"/>
  <c r="K56" i="2"/>
  <c r="L56" i="2"/>
  <c r="P57" i="2"/>
  <c r="Q57" i="2"/>
  <c r="M58" i="2"/>
  <c r="O58" i="2"/>
  <c r="P58" i="2"/>
  <c r="Q58" i="2"/>
  <c r="A62" i="2"/>
  <c r="L60" i="2"/>
  <c r="K60" i="2"/>
  <c r="J52" i="2" l="1"/>
  <c r="K53" i="2"/>
  <c r="J56" i="2"/>
  <c r="I50" i="2"/>
  <c r="I76" i="2" s="1"/>
  <c r="I47" i="2"/>
  <c r="J46" i="2"/>
  <c r="J48" i="2"/>
  <c r="J44" i="2"/>
  <c r="H41" i="2"/>
  <c r="S52" i="2"/>
  <c r="L58" i="2"/>
  <c r="K58" i="2"/>
  <c r="K61" i="2"/>
  <c r="S56" i="2"/>
  <c r="L57" i="2"/>
  <c r="O57" i="2"/>
  <c r="P68" i="2"/>
  <c r="Q68" i="2"/>
  <c r="P72" i="2"/>
  <c r="Q72" i="2"/>
  <c r="J76" i="2"/>
  <c r="K76" i="2"/>
  <c r="L76" i="2"/>
  <c r="S76" i="2"/>
  <c r="I77" i="2"/>
  <c r="J77" i="2"/>
  <c r="K77" i="2"/>
  <c r="L77" i="2"/>
  <c r="S77" i="2"/>
  <c r="K79" i="2"/>
  <c r="J60" i="2"/>
  <c r="S60" i="2"/>
  <c r="K57" i="2" l="1"/>
  <c r="J58" i="2"/>
  <c r="K78" i="2"/>
  <c r="H47" i="2"/>
  <c r="H50" i="2"/>
  <c r="I51" i="2" s="1"/>
  <c r="I48" i="2"/>
  <c r="I46" i="2"/>
  <c r="I44" i="2"/>
  <c r="H77" i="2"/>
  <c r="H88" i="2" s="1"/>
  <c r="G41" i="2"/>
  <c r="I52" i="2"/>
  <c r="J53" i="2"/>
  <c r="I56" i="2"/>
  <c r="J51" i="2"/>
  <c r="L61" i="2"/>
  <c r="L62" i="2" s="1"/>
  <c r="L80" i="2" s="1"/>
  <c r="J61" i="2"/>
  <c r="J79" i="2"/>
  <c r="L78" i="2"/>
  <c r="I78" i="2"/>
  <c r="S58" i="2"/>
  <c r="K62" i="2"/>
  <c r="K80" i="2" s="1"/>
  <c r="L79" i="2"/>
  <c r="J78" i="2"/>
  <c r="M57" i="2"/>
  <c r="S78" i="2"/>
  <c r="O72" i="2"/>
  <c r="P86" i="2"/>
  <c r="Q86" i="2"/>
  <c r="I88" i="2"/>
  <c r="J88" i="2"/>
  <c r="K88" i="2"/>
  <c r="L88" i="2"/>
  <c r="M88" i="2"/>
  <c r="S88" i="2"/>
  <c r="I60" i="2"/>
  <c r="I53" i="2" l="1"/>
  <c r="G50" i="2"/>
  <c r="H51" i="2" s="1"/>
  <c r="X45" i="2"/>
  <c r="G47" i="2"/>
  <c r="H46" i="2"/>
  <c r="H48" i="2"/>
  <c r="X43" i="2"/>
  <c r="H44" i="2"/>
  <c r="G77" i="2"/>
  <c r="X66" i="2"/>
  <c r="J57" i="2"/>
  <c r="I58" i="2"/>
  <c r="H56" i="2"/>
  <c r="H52" i="2"/>
  <c r="H76" i="2"/>
  <c r="H78" i="2" s="1"/>
  <c r="F41" i="2"/>
  <c r="K63" i="2"/>
  <c r="S61" i="2"/>
  <c r="S62" i="2" s="1"/>
  <c r="S80" i="2" s="1"/>
  <c r="S89" i="2" s="1"/>
  <c r="J62" i="2"/>
  <c r="J80" i="2" s="1"/>
  <c r="L63" i="2"/>
  <c r="S79" i="2"/>
  <c r="M89" i="2"/>
  <c r="M90" i="2" s="1"/>
  <c r="K89" i="2"/>
  <c r="L89" i="2"/>
  <c r="K64" i="2"/>
  <c r="L64" i="2"/>
  <c r="H60" i="2"/>
  <c r="I57" i="2" l="1"/>
  <c r="H53" i="2"/>
  <c r="F50" i="2"/>
  <c r="G53" i="2" s="1"/>
  <c r="F47" i="2"/>
  <c r="G46" i="2"/>
  <c r="G48" i="2"/>
  <c r="G44" i="2"/>
  <c r="F77" i="2"/>
  <c r="I79" i="2"/>
  <c r="I61" i="2"/>
  <c r="I62" i="2" s="1"/>
  <c r="I80" i="2" s="1"/>
  <c r="I89" i="2" s="1"/>
  <c r="E41" i="2"/>
  <c r="J63" i="2"/>
  <c r="H58" i="2"/>
  <c r="G88" i="2"/>
  <c r="G52" i="2"/>
  <c r="G56" i="2"/>
  <c r="G76" i="2"/>
  <c r="G78" i="2" s="1"/>
  <c r="K83" i="2"/>
  <c r="K84" i="2" s="1"/>
  <c r="K85" i="2" s="1"/>
  <c r="S63" i="2"/>
  <c r="J89" i="2"/>
  <c r="K65" i="2"/>
  <c r="K67" i="2" s="1"/>
  <c r="K91" i="2"/>
  <c r="I91" i="2"/>
  <c r="J91" i="2"/>
  <c r="G91" i="2"/>
  <c r="H91" i="2"/>
  <c r="L91" i="2"/>
  <c r="F91" i="2"/>
  <c r="S91" i="2"/>
  <c r="G60" i="2"/>
  <c r="J64" i="2"/>
  <c r="S64" i="2"/>
  <c r="H57" i="2" l="1"/>
  <c r="G51" i="2"/>
  <c r="H79" i="2"/>
  <c r="H61" i="2"/>
  <c r="E50" i="2"/>
  <c r="F53" i="2" s="1"/>
  <c r="E47" i="2"/>
  <c r="F48" i="2"/>
  <c r="F46" i="2"/>
  <c r="F44" i="2"/>
  <c r="E77" i="2"/>
  <c r="E88" i="2" s="1"/>
  <c r="E91" i="2"/>
  <c r="J83" i="2"/>
  <c r="J84" i="2" s="1"/>
  <c r="J85" i="2" s="1"/>
  <c r="K86" i="2" s="1"/>
  <c r="J65" i="2"/>
  <c r="J67" i="2" s="1"/>
  <c r="K68" i="2" s="1"/>
  <c r="G58" i="2"/>
  <c r="X56" i="2"/>
  <c r="D41" i="2"/>
  <c r="F56" i="2"/>
  <c r="F52" i="2"/>
  <c r="F76" i="2"/>
  <c r="F78" i="2" s="1"/>
  <c r="I63" i="2"/>
  <c r="F88" i="2"/>
  <c r="L83" i="2"/>
  <c r="L84" i="2" s="1"/>
  <c r="L90" i="2" s="1"/>
  <c r="K90" i="2"/>
  <c r="S83" i="2"/>
  <c r="S84" i="2" s="1"/>
  <c r="S85" i="2" s="1"/>
  <c r="M86" i="2" s="1"/>
  <c r="L65" i="2"/>
  <c r="L67" i="2" s="1"/>
  <c r="S65" i="2"/>
  <c r="S67" i="2" s="1"/>
  <c r="M68" i="2" s="1"/>
  <c r="E97" i="2"/>
  <c r="F97" i="2"/>
  <c r="G97" i="2"/>
  <c r="G98" i="2" s="1"/>
  <c r="H97" i="2"/>
  <c r="H98" i="2" s="1"/>
  <c r="I97" i="2"/>
  <c r="I99" i="2" s="1"/>
  <c r="J97" i="2"/>
  <c r="J99" i="2" s="1"/>
  <c r="K97" i="2"/>
  <c r="K98" i="2" s="1"/>
  <c r="L97" i="2"/>
  <c r="L99" i="2" s="1"/>
  <c r="M97" i="2"/>
  <c r="M98" i="2" s="1"/>
  <c r="S97" i="2"/>
  <c r="S98" i="2" s="1"/>
  <c r="H103" i="2"/>
  <c r="I103" i="2"/>
  <c r="J103" i="2"/>
  <c r="K103" i="2"/>
  <c r="L103" i="2"/>
  <c r="M103" i="2"/>
  <c r="F60" i="2"/>
  <c r="I64" i="2"/>
  <c r="J90" i="2" l="1"/>
  <c r="F99" i="2"/>
  <c r="F98" i="2"/>
  <c r="F51" i="2"/>
  <c r="L98" i="2"/>
  <c r="E44" i="2"/>
  <c r="D77" i="2"/>
  <c r="D88" i="2" s="1"/>
  <c r="D97" i="2"/>
  <c r="D91" i="2"/>
  <c r="D50" i="2"/>
  <c r="E53" i="2" s="1"/>
  <c r="D47" i="2"/>
  <c r="E48" i="2"/>
  <c r="E46" i="2"/>
  <c r="I83" i="2"/>
  <c r="I84" i="2" s="1"/>
  <c r="I85" i="2" s="1"/>
  <c r="J86" i="2" s="1"/>
  <c r="I65" i="2"/>
  <c r="I67" i="2" s="1"/>
  <c r="J68" i="2" s="1"/>
  <c r="G79" i="2"/>
  <c r="G103" i="2"/>
  <c r="G61" i="2"/>
  <c r="H99" i="2"/>
  <c r="G99" i="2"/>
  <c r="C41" i="2"/>
  <c r="E52" i="2"/>
  <c r="E56" i="2"/>
  <c r="E76" i="2"/>
  <c r="E78" i="2" s="1"/>
  <c r="F58" i="2"/>
  <c r="G57" i="2"/>
  <c r="H62" i="2"/>
  <c r="H80" i="2" s="1"/>
  <c r="H89" i="2" s="1"/>
  <c r="L85" i="2"/>
  <c r="S90" i="2"/>
  <c r="O68" i="2"/>
  <c r="L68" i="2"/>
  <c r="J98" i="2"/>
  <c r="I98" i="2"/>
  <c r="Q98" i="2"/>
  <c r="Q99" i="2"/>
  <c r="P98" i="2"/>
  <c r="P99" i="2"/>
  <c r="O98" i="2"/>
  <c r="O99" i="2"/>
  <c r="S99" i="2"/>
  <c r="M99" i="2"/>
  <c r="K99" i="2"/>
  <c r="D105" i="2"/>
  <c r="E105" i="2"/>
  <c r="F105" i="2"/>
  <c r="G105" i="2"/>
  <c r="H105" i="2"/>
  <c r="I105" i="2"/>
  <c r="J105" i="2"/>
  <c r="K105" i="2"/>
  <c r="L105" i="2"/>
  <c r="M105" i="2"/>
  <c r="O105" i="2"/>
  <c r="P105" i="2"/>
  <c r="Q105" i="2"/>
  <c r="S105" i="2"/>
  <c r="U1" i="7"/>
  <c r="Z9" i="7"/>
  <c r="Z10" i="7"/>
  <c r="Z11" i="7"/>
  <c r="Z13" i="7"/>
  <c r="Z14" i="7"/>
  <c r="Z16" i="7"/>
  <c r="Z17" i="7"/>
  <c r="Z18" i="7"/>
  <c r="Z20" i="7"/>
  <c r="Z22" i="7"/>
  <c r="Z24" i="7"/>
  <c r="Z26" i="7"/>
  <c r="Z27" i="7"/>
  <c r="Z28" i="7"/>
  <c r="Z33" i="7"/>
  <c r="Z35" i="7"/>
  <c r="Z36" i="7"/>
  <c r="Z38" i="7"/>
  <c r="Z39" i="7"/>
  <c r="Z41" i="7"/>
  <c r="Z42" i="7"/>
  <c r="Z43" i="7"/>
  <c r="Z45" i="7"/>
  <c r="Z46" i="7"/>
  <c r="Z48" i="7"/>
  <c r="Z50" i="7"/>
  <c r="Z51" i="7"/>
  <c r="Z69" i="7"/>
  <c r="Z70" i="7"/>
  <c r="Z71" i="7"/>
  <c r="Z74" i="7"/>
  <c r="Z75" i="7"/>
  <c r="Z76" i="7"/>
  <c r="Z77" i="7"/>
  <c r="Z79" i="7"/>
  <c r="Z86" i="7"/>
  <c r="Z91" i="7"/>
  <c r="Z92" i="7"/>
  <c r="Z98" i="7"/>
  <c r="Z99" i="7"/>
  <c r="Z101" i="7"/>
  <c r="Z102" i="7"/>
  <c r="Z103" i="7"/>
  <c r="Z104" i="7"/>
  <c r="Z106" i="7"/>
  <c r="Z107" i="7"/>
  <c r="Z108" i="7"/>
  <c r="Z109" i="7"/>
  <c r="Z110" i="7"/>
  <c r="Z114" i="7"/>
  <c r="Z118" i="7"/>
  <c r="Z119" i="7"/>
  <c r="Z120" i="7"/>
  <c r="Z121" i="7"/>
  <c r="Z124" i="7"/>
  <c r="Z125" i="7"/>
  <c r="Z126" i="7"/>
  <c r="Z127" i="7"/>
  <c r="Z128" i="7"/>
  <c r="Z129" i="7"/>
  <c r="Z130" i="7"/>
  <c r="Z131" i="7"/>
  <c r="Z135" i="7"/>
  <c r="Z136" i="7"/>
  <c r="Z138" i="7"/>
  <c r="Z139" i="7"/>
  <c r="Z140" i="7"/>
  <c r="Z141" i="7"/>
  <c r="Z142" i="7"/>
  <c r="Z143" i="7"/>
  <c r="Z147" i="7"/>
  <c r="Z149" i="7"/>
  <c r="Z152" i="7"/>
  <c r="Z153" i="7"/>
  <c r="Z154" i="7"/>
  <c r="Z155" i="7"/>
  <c r="Z156" i="7"/>
  <c r="Z157" i="7"/>
  <c r="Z158" i="7"/>
  <c r="Z166" i="7"/>
  <c r="Z175" i="7"/>
  <c r="Z176" i="7"/>
  <c r="Z177" i="7"/>
  <c r="Z178" i="7"/>
  <c r="Z181" i="7"/>
  <c r="Z183" i="7"/>
  <c r="Z184" i="7"/>
  <c r="Z185" i="7"/>
  <c r="Z186" i="7"/>
  <c r="Z187" i="7"/>
  <c r="Z188" i="7"/>
  <c r="Z189" i="7"/>
  <c r="Z191" i="7"/>
  <c r="Z192" i="7"/>
  <c r="Z193" i="7"/>
  <c r="Z194" i="7"/>
  <c r="Z195" i="7"/>
  <c r="Z196" i="7"/>
  <c r="Z197" i="7"/>
  <c r="Z198" i="7"/>
  <c r="Z199" i="7"/>
  <c r="Z201" i="7"/>
  <c r="Z202" i="7"/>
  <c r="Z203" i="7"/>
  <c r="Z204" i="7"/>
  <c r="Z205" i="7"/>
  <c r="Z206" i="7"/>
  <c r="Z208" i="7"/>
  <c r="Z209" i="7"/>
  <c r="Z211" i="7"/>
  <c r="Z212" i="7"/>
  <c r="Z214" i="7"/>
  <c r="Z215" i="7"/>
  <c r="Z216" i="7"/>
  <c r="Z218" i="7"/>
  <c r="Y219" i="7"/>
  <c r="AA219" i="7"/>
  <c r="Z222" i="7"/>
  <c r="V1" i="6"/>
  <c r="U6" i="6"/>
  <c r="T6" i="6" s="1"/>
  <c r="S6" i="6" s="1"/>
  <c r="R6" i="6" s="1"/>
  <c r="Q6" i="6" s="1"/>
  <c r="P6" i="6" s="1"/>
  <c r="O6" i="6" s="1"/>
  <c r="N6" i="6" s="1"/>
  <c r="M6" i="6" s="1"/>
  <c r="L6" i="6" s="1"/>
  <c r="K6" i="6" s="1"/>
  <c r="J6" i="6" s="1"/>
  <c r="I6" i="6" s="1"/>
  <c r="H6" i="6" s="1"/>
  <c r="G6" i="6" s="1"/>
  <c r="F6" i="6" s="1"/>
  <c r="E6" i="6" s="1"/>
  <c r="D6" i="6" s="1"/>
  <c r="C6" i="6" s="1"/>
  <c r="B6" i="6" s="1"/>
  <c r="Z11" i="6"/>
  <c r="Z14" i="6"/>
  <c r="Z15" i="6"/>
  <c r="Z21" i="6"/>
  <c r="Z24" i="6"/>
  <c r="Z27" i="6"/>
  <c r="Z30" i="6"/>
  <c r="Z33" i="6"/>
  <c r="Z34" i="6"/>
  <c r="A37" i="6"/>
  <c r="C37" i="6"/>
  <c r="D37" i="6"/>
  <c r="E37" i="6"/>
  <c r="F37" i="6"/>
  <c r="G37" i="6"/>
  <c r="H37" i="6"/>
  <c r="I37" i="6"/>
  <c r="J37" i="6"/>
  <c r="J38" i="6" s="1"/>
  <c r="K37" i="6"/>
  <c r="K38" i="6" s="1"/>
  <c r="L37" i="6"/>
  <c r="L38" i="6" s="1"/>
  <c r="M37" i="6"/>
  <c r="M38" i="6" s="1"/>
  <c r="N37" i="6"/>
  <c r="N38" i="6" s="1"/>
  <c r="O37" i="6"/>
  <c r="O38" i="6" s="1"/>
  <c r="P37" i="6"/>
  <c r="P38" i="6" s="1"/>
  <c r="Q37" i="6"/>
  <c r="Q38" i="6" s="1"/>
  <c r="R37" i="6"/>
  <c r="R38" i="6" s="1"/>
  <c r="S37" i="6"/>
  <c r="T37" i="6"/>
  <c r="U37" i="6"/>
  <c r="V37" i="6"/>
  <c r="Y37" i="6"/>
  <c r="Y38" i="6" s="1"/>
  <c r="AA37" i="6"/>
  <c r="AA38" i="6" s="1"/>
  <c r="A38" i="6"/>
  <c r="H50" i="6"/>
  <c r="I50" i="6"/>
  <c r="J50" i="6"/>
  <c r="A4" i="18"/>
  <c r="B581" i="18" s="1"/>
  <c r="Z2" i="18"/>
  <c r="Z3" i="18" s="1"/>
  <c r="Z530" i="18" s="1"/>
  <c r="B568" i="18"/>
  <c r="AA4" i="18"/>
  <c r="A5" i="18"/>
  <c r="AA5" i="18"/>
  <c r="AB5" i="18" s="1"/>
  <c r="AC5" i="18" s="1"/>
  <c r="AD5" i="18" s="1"/>
  <c r="AE5" i="18" s="1"/>
  <c r="AF5" i="18" s="1"/>
  <c r="AG5" i="18" s="1"/>
  <c r="G7" i="18"/>
  <c r="H21" i="18"/>
  <c r="F21" i="18"/>
  <c r="I7" i="18"/>
  <c r="J21" i="18"/>
  <c r="K7" i="18"/>
  <c r="L21" i="18"/>
  <c r="N21" i="18"/>
  <c r="O7" i="18"/>
  <c r="N36" i="18"/>
  <c r="P36" i="18" s="1"/>
  <c r="R36" i="18" s="1"/>
  <c r="Q36" i="18"/>
  <c r="Q21" i="18" s="1"/>
  <c r="AJ7" i="18"/>
  <c r="AK7" i="18"/>
  <c r="AL7" i="18"/>
  <c r="AM7" i="18"/>
  <c r="G8" i="18"/>
  <c r="H22" i="18"/>
  <c r="F22" i="18"/>
  <c r="I8" i="18"/>
  <c r="J22" i="18"/>
  <c r="K8" i="18"/>
  <c r="L22" i="18"/>
  <c r="N22" i="18"/>
  <c r="O8" i="18"/>
  <c r="N37" i="18"/>
  <c r="P37" i="18" s="1"/>
  <c r="P22" i="18" s="1"/>
  <c r="AN22" i="18" s="1"/>
  <c r="Q37" i="18"/>
  <c r="Q22" i="18" s="1"/>
  <c r="AJ8" i="18"/>
  <c r="AK8" i="18"/>
  <c r="AL8" i="18"/>
  <c r="AM8" i="18"/>
  <c r="G9" i="18"/>
  <c r="H23" i="18"/>
  <c r="F23" i="18"/>
  <c r="I9" i="18"/>
  <c r="J23" i="18"/>
  <c r="K9" i="18"/>
  <c r="L23" i="18"/>
  <c r="N23" i="18"/>
  <c r="O9" i="18"/>
  <c r="N38" i="18"/>
  <c r="P38" i="18" s="1"/>
  <c r="Q38" i="18"/>
  <c r="AJ9" i="18"/>
  <c r="AK9" i="18"/>
  <c r="AL9" i="18"/>
  <c r="AM9" i="18"/>
  <c r="G24" i="18"/>
  <c r="G26" i="18" s="1"/>
  <c r="E24" i="18"/>
  <c r="E26" i="18" s="1"/>
  <c r="I24" i="18"/>
  <c r="I27" i="18" s="1"/>
  <c r="K24" i="18"/>
  <c r="O24" i="18"/>
  <c r="O26" i="18" s="1"/>
  <c r="M24" i="18"/>
  <c r="M27" i="18" s="1"/>
  <c r="AJ24" i="18"/>
  <c r="AI24" i="18"/>
  <c r="AK24" i="18"/>
  <c r="AK28" i="18" s="1"/>
  <c r="AL24" i="18"/>
  <c r="AL27" i="18" s="1"/>
  <c r="AM24" i="18"/>
  <c r="AM27" i="18" s="1"/>
  <c r="E12" i="18"/>
  <c r="F36" i="18"/>
  <c r="D36" i="18"/>
  <c r="G12" i="18"/>
  <c r="H36" i="18"/>
  <c r="I12" i="18"/>
  <c r="J36" i="18"/>
  <c r="K12" i="18"/>
  <c r="L36" i="18"/>
  <c r="M12" i="18"/>
  <c r="O12" i="18"/>
  <c r="AE12" i="18"/>
  <c r="AF12" i="18"/>
  <c r="AG12" i="18"/>
  <c r="AH12" i="18"/>
  <c r="AI12" i="18"/>
  <c r="AJ12" i="18"/>
  <c r="AK12" i="18"/>
  <c r="AL12" i="18"/>
  <c r="AM12" i="18"/>
  <c r="E13" i="18"/>
  <c r="F37" i="18"/>
  <c r="D37" i="18"/>
  <c r="G13" i="18"/>
  <c r="H37" i="18"/>
  <c r="I13" i="18"/>
  <c r="J37" i="18"/>
  <c r="K13" i="18"/>
  <c r="L37" i="18"/>
  <c r="M13" i="18"/>
  <c r="O13" i="18"/>
  <c r="AE13" i="18"/>
  <c r="AF13" i="18"/>
  <c r="AG13" i="18"/>
  <c r="AH13" i="18"/>
  <c r="AI13" i="18"/>
  <c r="AJ13" i="18"/>
  <c r="AK13" i="18"/>
  <c r="AL13" i="18"/>
  <c r="AM13" i="18"/>
  <c r="E14" i="18"/>
  <c r="F38" i="18"/>
  <c r="D38" i="18"/>
  <c r="G14" i="18"/>
  <c r="H38" i="18"/>
  <c r="I14" i="18"/>
  <c r="J38" i="18"/>
  <c r="K14" i="18"/>
  <c r="L38" i="18"/>
  <c r="M14" i="18"/>
  <c r="O14" i="18"/>
  <c r="AE14" i="18"/>
  <c r="AF14" i="18"/>
  <c r="AG14" i="18"/>
  <c r="AH14" i="18"/>
  <c r="AI14" i="18"/>
  <c r="AJ14" i="18"/>
  <c r="AK14" i="18"/>
  <c r="AL14" i="18"/>
  <c r="AM14" i="18"/>
  <c r="E39" i="18"/>
  <c r="E42" i="18" s="1"/>
  <c r="C39" i="18"/>
  <c r="C41" i="18" s="1"/>
  <c r="G39" i="18"/>
  <c r="G43" i="18" s="1"/>
  <c r="I39" i="18"/>
  <c r="I41" i="18" s="1"/>
  <c r="K39" i="18"/>
  <c r="K41" i="18" s="1"/>
  <c r="M39" i="18"/>
  <c r="M46" i="18" s="1"/>
  <c r="O39" i="18"/>
  <c r="O43" i="18" s="1"/>
  <c r="AE39" i="18"/>
  <c r="AE41" i="18" s="1"/>
  <c r="AD39" i="18"/>
  <c r="AD41" i="18" s="1"/>
  <c r="AF39" i="18"/>
  <c r="AF43" i="18" s="1"/>
  <c r="AG39" i="18"/>
  <c r="AH39" i="18"/>
  <c r="AH43" i="18" s="1"/>
  <c r="AI39" i="18"/>
  <c r="AI46" i="18" s="1"/>
  <c r="AJ39" i="18"/>
  <c r="AJ41" i="18" s="1"/>
  <c r="AK39" i="18"/>
  <c r="AK43" i="18" s="1"/>
  <c r="AL39" i="18"/>
  <c r="AL41" i="18" s="1"/>
  <c r="AM39" i="18"/>
  <c r="AM46" i="18" s="1"/>
  <c r="E171" i="18"/>
  <c r="E174" i="18"/>
  <c r="C171" i="18"/>
  <c r="C174" i="18"/>
  <c r="F134" i="18"/>
  <c r="F171" i="18" s="1"/>
  <c r="F135" i="18"/>
  <c r="F174" i="18" s="1"/>
  <c r="D134" i="18"/>
  <c r="D171" i="18" s="1"/>
  <c r="D135" i="18"/>
  <c r="G171" i="18"/>
  <c r="G174" i="18"/>
  <c r="H134" i="18"/>
  <c r="H171" i="18" s="1"/>
  <c r="H135" i="18"/>
  <c r="H174" i="18" s="1"/>
  <c r="I171" i="18"/>
  <c r="I174" i="18"/>
  <c r="J134" i="18"/>
  <c r="J171" i="18" s="1"/>
  <c r="J135" i="18"/>
  <c r="J174" i="18" s="1"/>
  <c r="K171" i="18"/>
  <c r="K174" i="18"/>
  <c r="L134" i="18"/>
  <c r="L171" i="18" s="1"/>
  <c r="L135" i="18"/>
  <c r="L174" i="18" s="1"/>
  <c r="M171" i="18"/>
  <c r="M174" i="18"/>
  <c r="N134" i="18"/>
  <c r="N135" i="18"/>
  <c r="N174" i="18" s="1"/>
  <c r="O171" i="18"/>
  <c r="O174" i="18"/>
  <c r="AE171" i="18"/>
  <c r="AE361" i="18" s="1"/>
  <c r="AE174" i="18"/>
  <c r="AD171" i="18"/>
  <c r="AD361" i="18" s="1"/>
  <c r="AD174" i="18"/>
  <c r="AF171" i="18"/>
  <c r="AF360" i="18" s="1"/>
  <c r="AF174" i="18"/>
  <c r="AG171" i="18"/>
  <c r="AG174" i="18"/>
  <c r="AH171" i="18"/>
  <c r="AH361" i="18" s="1"/>
  <c r="AH174" i="18"/>
  <c r="AI171" i="18"/>
  <c r="AI361" i="18" s="1"/>
  <c r="AI174" i="18"/>
  <c r="AJ171" i="18"/>
  <c r="AJ174" i="18"/>
  <c r="AK171" i="18"/>
  <c r="AK361" i="18" s="1"/>
  <c r="AK174" i="18"/>
  <c r="AL171" i="18"/>
  <c r="AL361" i="18" s="1"/>
  <c r="AL174" i="18"/>
  <c r="AM171" i="18"/>
  <c r="AM362" i="18" s="1"/>
  <c r="AM174" i="18"/>
  <c r="E177" i="18"/>
  <c r="C177" i="18"/>
  <c r="F137" i="18"/>
  <c r="F177" i="18" s="1"/>
  <c r="D137" i="18"/>
  <c r="D177" i="18" s="1"/>
  <c r="G177" i="18"/>
  <c r="H137" i="18"/>
  <c r="H177" i="18" s="1"/>
  <c r="I177" i="18"/>
  <c r="J137" i="18"/>
  <c r="J177" i="18" s="1"/>
  <c r="K177" i="18"/>
  <c r="L137" i="18"/>
  <c r="L177" i="18" s="1"/>
  <c r="M177" i="18"/>
  <c r="N137" i="18"/>
  <c r="N177" i="18" s="1"/>
  <c r="O177" i="18"/>
  <c r="AE177" i="18"/>
  <c r="AD177" i="18"/>
  <c r="AF177" i="18"/>
  <c r="AG177" i="18"/>
  <c r="AH177" i="18"/>
  <c r="AI177" i="18"/>
  <c r="AJ177" i="18"/>
  <c r="AK177" i="18"/>
  <c r="AL177" i="18"/>
  <c r="AM177" i="18"/>
  <c r="E31" i="18"/>
  <c r="G31" i="18"/>
  <c r="I31" i="18"/>
  <c r="K31" i="18"/>
  <c r="M31" i="18"/>
  <c r="O31" i="18"/>
  <c r="AI31" i="18"/>
  <c r="AJ31" i="18"/>
  <c r="AK31" i="18"/>
  <c r="AL31" i="18"/>
  <c r="AM31" i="18"/>
  <c r="E32" i="18"/>
  <c r="G32" i="18"/>
  <c r="I32" i="18"/>
  <c r="K32" i="18"/>
  <c r="M32" i="18"/>
  <c r="O32" i="18"/>
  <c r="AI32" i="18"/>
  <c r="AJ32" i="18"/>
  <c r="AK32" i="18"/>
  <c r="AL32" i="18"/>
  <c r="AM32" i="18"/>
  <c r="E33" i="18"/>
  <c r="G33" i="18"/>
  <c r="I33" i="18"/>
  <c r="K33" i="18"/>
  <c r="M33" i="18"/>
  <c r="O33" i="18"/>
  <c r="AI33" i="18"/>
  <c r="AJ33" i="18"/>
  <c r="AK33" i="18"/>
  <c r="AL33" i="18"/>
  <c r="AM33" i="18"/>
  <c r="J51" i="18"/>
  <c r="L51" i="18"/>
  <c r="N51" i="18"/>
  <c r="J52" i="18"/>
  <c r="L52" i="18"/>
  <c r="N52" i="18"/>
  <c r="J53" i="18"/>
  <c r="L53" i="18"/>
  <c r="N53" i="18"/>
  <c r="I54" i="18"/>
  <c r="I56" i="18" s="1"/>
  <c r="K54" i="18"/>
  <c r="M54" i="18"/>
  <c r="O54" i="18"/>
  <c r="O57" i="18" s="1"/>
  <c r="AJ54" i="18"/>
  <c r="AJ59" i="18" s="1"/>
  <c r="AK54" i="18"/>
  <c r="AK56" i="18" s="1"/>
  <c r="AL54" i="18"/>
  <c r="AL56" i="18" s="1"/>
  <c r="AM54" i="18"/>
  <c r="AM56" i="18" s="1"/>
  <c r="I61" i="18"/>
  <c r="J66" i="18"/>
  <c r="K61" i="18"/>
  <c r="L66" i="18"/>
  <c r="M61" i="18"/>
  <c r="N66" i="18"/>
  <c r="O61" i="18"/>
  <c r="AJ61" i="18"/>
  <c r="AK61" i="18"/>
  <c r="AL61" i="18"/>
  <c r="AM61" i="18"/>
  <c r="I62" i="18"/>
  <c r="J67" i="18"/>
  <c r="K62" i="18"/>
  <c r="L67" i="18"/>
  <c r="M62" i="18"/>
  <c r="N67" i="18"/>
  <c r="O62" i="18"/>
  <c r="AJ62" i="18"/>
  <c r="AK62" i="18"/>
  <c r="AL62" i="18"/>
  <c r="AM62" i="18"/>
  <c r="I63" i="18"/>
  <c r="J68" i="18"/>
  <c r="K63" i="18"/>
  <c r="L68" i="18"/>
  <c r="M63" i="18"/>
  <c r="N68" i="18"/>
  <c r="O63" i="18"/>
  <c r="AJ63" i="18"/>
  <c r="AK63" i="18"/>
  <c r="AL63" i="18"/>
  <c r="AM63" i="18"/>
  <c r="I69" i="18"/>
  <c r="I72" i="18" s="1"/>
  <c r="K69" i="18"/>
  <c r="K71" i="18" s="1"/>
  <c r="M69" i="18"/>
  <c r="M72" i="18" s="1"/>
  <c r="O69" i="18"/>
  <c r="AJ69" i="18"/>
  <c r="AJ72" i="18" s="1"/>
  <c r="AK69" i="18"/>
  <c r="AL69" i="18"/>
  <c r="AL71" i="18" s="1"/>
  <c r="AM69" i="18"/>
  <c r="AM73" i="18" s="1"/>
  <c r="C325" i="18"/>
  <c r="C329" i="18" s="1"/>
  <c r="C224" i="18" s="1"/>
  <c r="C228" i="18"/>
  <c r="C473" i="18" s="1"/>
  <c r="D315" i="18"/>
  <c r="D316" i="18"/>
  <c r="D111" i="18" s="1"/>
  <c r="D317" i="18"/>
  <c r="D112" i="18" s="1"/>
  <c r="D318" i="18"/>
  <c r="D319" i="18"/>
  <c r="D320" i="18"/>
  <c r="D321" i="18"/>
  <c r="D322" i="18"/>
  <c r="D239" i="18" s="1"/>
  <c r="D323" i="18"/>
  <c r="D324" i="18"/>
  <c r="D326" i="18"/>
  <c r="D327" i="18"/>
  <c r="D328" i="18"/>
  <c r="D333" i="18"/>
  <c r="D334" i="18"/>
  <c r="D377" i="18" s="1"/>
  <c r="E325" i="18"/>
  <c r="E329" i="18" s="1"/>
  <c r="E224" i="18" s="1"/>
  <c r="E228" i="18"/>
  <c r="E473" i="18" s="1"/>
  <c r="F315" i="18"/>
  <c r="F316" i="18"/>
  <c r="F317" i="18"/>
  <c r="F112" i="18" s="1"/>
  <c r="F318" i="18"/>
  <c r="F376" i="18" s="1"/>
  <c r="F319" i="18"/>
  <c r="F320" i="18"/>
  <c r="F321" i="18"/>
  <c r="F322" i="18"/>
  <c r="F239" i="18" s="1"/>
  <c r="F183" i="18" s="1"/>
  <c r="F323" i="18"/>
  <c r="F324" i="18"/>
  <c r="F326" i="18"/>
  <c r="F327" i="18"/>
  <c r="F328" i="18"/>
  <c r="F333" i="18"/>
  <c r="F334" i="18"/>
  <c r="F377" i="18" s="1"/>
  <c r="G325" i="18"/>
  <c r="G329" i="18" s="1"/>
  <c r="G228" i="18"/>
  <c r="G473" i="18" s="1"/>
  <c r="H315" i="18"/>
  <c r="H316" i="18"/>
  <c r="H370" i="18" s="1"/>
  <c r="H317" i="18"/>
  <c r="H318" i="18"/>
  <c r="H114" i="18" s="1"/>
  <c r="H319" i="18"/>
  <c r="H320" i="18"/>
  <c r="H321" i="18"/>
  <c r="H322" i="18"/>
  <c r="H239" i="18" s="1"/>
  <c r="H323" i="18"/>
  <c r="H324" i="18"/>
  <c r="H326" i="18"/>
  <c r="H327" i="18"/>
  <c r="H328" i="18"/>
  <c r="H333" i="18"/>
  <c r="H334" i="18"/>
  <c r="H377" i="18" s="1"/>
  <c r="I325" i="18"/>
  <c r="I228" i="18"/>
  <c r="I387" i="18" s="1"/>
  <c r="I371" i="18" s="1"/>
  <c r="J315" i="18"/>
  <c r="J316" i="18"/>
  <c r="J111" i="18" s="1"/>
  <c r="J317" i="18"/>
  <c r="J112" i="18" s="1"/>
  <c r="J318" i="18"/>
  <c r="J114" i="18" s="1"/>
  <c r="J319" i="18"/>
  <c r="J320" i="18"/>
  <c r="J321" i="18"/>
  <c r="J322" i="18"/>
  <c r="J239" i="18" s="1"/>
  <c r="J323" i="18"/>
  <c r="J324" i="18"/>
  <c r="J326" i="18"/>
  <c r="J327" i="18"/>
  <c r="J328" i="18"/>
  <c r="J333" i="18"/>
  <c r="J334" i="18"/>
  <c r="K325" i="18"/>
  <c r="K329" i="18" s="1"/>
  <c r="K224" i="18" s="1"/>
  <c r="K228" i="18"/>
  <c r="K387" i="18" s="1"/>
  <c r="K371" i="18" s="1"/>
  <c r="L315" i="18"/>
  <c r="L316" i="18"/>
  <c r="L111" i="18" s="1"/>
  <c r="L317" i="18"/>
  <c r="L112" i="18" s="1"/>
  <c r="L318" i="18"/>
  <c r="L114" i="18" s="1"/>
  <c r="L319" i="18"/>
  <c r="L320" i="18"/>
  <c r="L321" i="18"/>
  <c r="L322" i="18"/>
  <c r="L239" i="18" s="1"/>
  <c r="L183" i="18" s="1"/>
  <c r="L323" i="18"/>
  <c r="L324" i="18"/>
  <c r="L326" i="18"/>
  <c r="L327" i="18"/>
  <c r="L328" i="18"/>
  <c r="L333" i="18"/>
  <c r="L334" i="18"/>
  <c r="L377" i="18" s="1"/>
  <c r="M325" i="18"/>
  <c r="M329" i="18" s="1"/>
  <c r="M224" i="18" s="1"/>
  <c r="M228" i="18"/>
  <c r="M387" i="18" s="1"/>
  <c r="M371" i="18" s="1"/>
  <c r="N315" i="18"/>
  <c r="N316" i="18"/>
  <c r="N111" i="18" s="1"/>
  <c r="N317" i="18"/>
  <c r="N112" i="18" s="1"/>
  <c r="N318" i="18"/>
  <c r="N319" i="18"/>
  <c r="N320" i="18"/>
  <c r="N321" i="18"/>
  <c r="N322" i="18"/>
  <c r="N239" i="18" s="1"/>
  <c r="N183" i="18" s="1"/>
  <c r="N323" i="18"/>
  <c r="N324" i="18"/>
  <c r="N326" i="18"/>
  <c r="N327" i="18"/>
  <c r="N328" i="18"/>
  <c r="N333" i="18"/>
  <c r="N334" i="18"/>
  <c r="N377" i="18" s="1"/>
  <c r="O325" i="18"/>
  <c r="O329" i="18" s="1"/>
  <c r="O228" i="18"/>
  <c r="O387" i="18" s="1"/>
  <c r="O371" i="18" s="1"/>
  <c r="AD325" i="18"/>
  <c r="AD329" i="18" s="1"/>
  <c r="AD228" i="18"/>
  <c r="AE325" i="18"/>
  <c r="AE329" i="18" s="1"/>
  <c r="AE224" i="18" s="1"/>
  <c r="AE228" i="18"/>
  <c r="AE387" i="18" s="1"/>
  <c r="AE371" i="18" s="1"/>
  <c r="AF325" i="18"/>
  <c r="AF329" i="18" s="1"/>
  <c r="AF228" i="18"/>
  <c r="AF387" i="18" s="1"/>
  <c r="AF371" i="18" s="1"/>
  <c r="AG325" i="18"/>
  <c r="AG329" i="18" s="1"/>
  <c r="AG224" i="18" s="1"/>
  <c r="AG228" i="18"/>
  <c r="AG387" i="18" s="1"/>
  <c r="AG371" i="18" s="1"/>
  <c r="AH325" i="18"/>
  <c r="AH329" i="18" s="1"/>
  <c r="AH224" i="18" s="1"/>
  <c r="AH226" i="18" s="1"/>
  <c r="AH228" i="18"/>
  <c r="AI325" i="18"/>
  <c r="AI329" i="18" s="1"/>
  <c r="AI224" i="18" s="1"/>
  <c r="AI228" i="18"/>
  <c r="AI387" i="18" s="1"/>
  <c r="AI371" i="18" s="1"/>
  <c r="AJ325" i="18"/>
  <c r="AJ329" i="18" s="1"/>
  <c r="AJ228" i="18"/>
  <c r="AJ473" i="18" s="1"/>
  <c r="AK325" i="18"/>
  <c r="AK329" i="18" s="1"/>
  <c r="AK224" i="18" s="1"/>
  <c r="AK226" i="18" s="1"/>
  <c r="AK228" i="18"/>
  <c r="AK387" i="18" s="1"/>
  <c r="AK371" i="18" s="1"/>
  <c r="AL325" i="18"/>
  <c r="AL329" i="18" s="1"/>
  <c r="AL224" i="18" s="1"/>
  <c r="AL226" i="18" s="1"/>
  <c r="AL228" i="18"/>
  <c r="AM325" i="18"/>
  <c r="AM329" i="18" s="1"/>
  <c r="AM228" i="18"/>
  <c r="AM473" i="18" s="1"/>
  <c r="C136" i="18"/>
  <c r="C138" i="18" s="1"/>
  <c r="C89" i="18" s="1"/>
  <c r="E136" i="18"/>
  <c r="E138" i="18" s="1"/>
  <c r="E89" i="18" s="1"/>
  <c r="G136" i="18"/>
  <c r="G138" i="18" s="1"/>
  <c r="G89" i="18" s="1"/>
  <c r="I136" i="18"/>
  <c r="I138" i="18" s="1"/>
  <c r="I89" i="18" s="1"/>
  <c r="K136" i="18"/>
  <c r="M136" i="18"/>
  <c r="M138" i="18" s="1"/>
  <c r="M89" i="18" s="1"/>
  <c r="O136" i="18"/>
  <c r="O138" i="18" s="1"/>
  <c r="O89" i="18" s="1"/>
  <c r="AD136" i="18"/>
  <c r="AD138" i="18" s="1"/>
  <c r="AE136" i="18"/>
  <c r="AE138" i="18" s="1"/>
  <c r="AF136" i="18"/>
  <c r="AF138" i="18" s="1"/>
  <c r="AG136" i="18"/>
  <c r="AG138" i="18" s="1"/>
  <c r="AH136" i="18"/>
  <c r="AH94" i="18" s="1"/>
  <c r="AI136" i="18"/>
  <c r="AI138" i="18" s="1"/>
  <c r="AI89" i="18" s="1"/>
  <c r="AJ136" i="18"/>
  <c r="AK136" i="18"/>
  <c r="AK138" i="18" s="1"/>
  <c r="AK89" i="18" s="1"/>
  <c r="AL136" i="18"/>
  <c r="AL94" i="18" s="1"/>
  <c r="AM136" i="18"/>
  <c r="AM138" i="18" s="1"/>
  <c r="AM89" i="18" s="1"/>
  <c r="H93" i="18"/>
  <c r="J93" i="18"/>
  <c r="L93" i="18"/>
  <c r="N93" i="18"/>
  <c r="AF100" i="18"/>
  <c r="AG100" i="18"/>
  <c r="AH100" i="18"/>
  <c r="AI100" i="18"/>
  <c r="AJ100" i="18"/>
  <c r="AK100" i="18"/>
  <c r="AL100" i="18"/>
  <c r="AM100" i="18"/>
  <c r="G102" i="18"/>
  <c r="H102" i="18"/>
  <c r="I102" i="18"/>
  <c r="J102" i="18"/>
  <c r="L102" i="18"/>
  <c r="N102" i="18"/>
  <c r="AD108" i="18"/>
  <c r="AE108" i="18"/>
  <c r="AF108" i="18"/>
  <c r="AG108" i="18"/>
  <c r="AH108" i="18"/>
  <c r="AJ108" i="18"/>
  <c r="AK108" i="18"/>
  <c r="AL108" i="18"/>
  <c r="AM108" i="18"/>
  <c r="C111" i="18"/>
  <c r="E111" i="18"/>
  <c r="G111" i="18"/>
  <c r="I111" i="18"/>
  <c r="K111" i="18"/>
  <c r="M111" i="18"/>
  <c r="O111" i="18"/>
  <c r="O373" i="18"/>
  <c r="P369" i="18" s="1"/>
  <c r="P387" i="18"/>
  <c r="P335" i="18"/>
  <c r="AN335" i="18" s="1"/>
  <c r="AN230" i="18" s="1"/>
  <c r="P336" i="18"/>
  <c r="AN336" i="18" s="1"/>
  <c r="AN231" i="18" s="1"/>
  <c r="Q387" i="18"/>
  <c r="Q371" i="18" s="1"/>
  <c r="Q333" i="18" s="1"/>
  <c r="Q335" i="18"/>
  <c r="Q336" i="18"/>
  <c r="AD111" i="18"/>
  <c r="AE111" i="18"/>
  <c r="AF111" i="18"/>
  <c r="AG111" i="18"/>
  <c r="AH111" i="18"/>
  <c r="AI111" i="18"/>
  <c r="AJ111" i="18"/>
  <c r="AK111" i="18"/>
  <c r="AL111" i="18"/>
  <c r="AM111" i="18"/>
  <c r="R387" i="18"/>
  <c r="R371" i="18" s="1"/>
  <c r="R333" i="18" s="1"/>
  <c r="R335" i="18"/>
  <c r="R336" i="18"/>
  <c r="AP387" i="18"/>
  <c r="AP371" i="18" s="1"/>
  <c r="AP333" i="18" s="1"/>
  <c r="AP335" i="18"/>
  <c r="AP336" i="18"/>
  <c r="AQ387" i="18"/>
  <c r="AQ371" i="18" s="1"/>
  <c r="AQ333" i="18" s="1"/>
  <c r="AQ335" i="18"/>
  <c r="AQ336" i="18"/>
  <c r="C112" i="18"/>
  <c r="E112" i="18"/>
  <c r="G112" i="18"/>
  <c r="I112" i="18"/>
  <c r="K112" i="18"/>
  <c r="M112" i="18"/>
  <c r="O112" i="18"/>
  <c r="O394" i="18"/>
  <c r="P390" i="18" s="1"/>
  <c r="O407" i="18"/>
  <c r="O401" i="18"/>
  <c r="O408" i="18" s="1"/>
  <c r="O404" i="18"/>
  <c r="P399" i="18" s="1"/>
  <c r="P442" i="18"/>
  <c r="AN442" i="18" s="1"/>
  <c r="AD112" i="18"/>
  <c r="AE112" i="18"/>
  <c r="AF112" i="18"/>
  <c r="AG112" i="18"/>
  <c r="AH112" i="18"/>
  <c r="AI112" i="18"/>
  <c r="AJ112" i="18"/>
  <c r="AK112" i="18"/>
  <c r="AL112" i="18"/>
  <c r="AM112" i="18"/>
  <c r="C114" i="18"/>
  <c r="E114" i="18"/>
  <c r="G114" i="18"/>
  <c r="I114" i="18"/>
  <c r="K114" i="18"/>
  <c r="M114" i="18"/>
  <c r="O114" i="18"/>
  <c r="O379" i="18"/>
  <c r="P375" i="18" s="1"/>
  <c r="AD114" i="18"/>
  <c r="AE114" i="18"/>
  <c r="AF114" i="18"/>
  <c r="AG114" i="18"/>
  <c r="AH114" i="18"/>
  <c r="AI114" i="18"/>
  <c r="AJ114" i="18"/>
  <c r="AK114" i="18"/>
  <c r="AL114" i="18"/>
  <c r="AM114" i="18"/>
  <c r="A520" i="18"/>
  <c r="D160" i="18"/>
  <c r="D161" i="18"/>
  <c r="A172" i="18"/>
  <c r="AD182" i="18"/>
  <c r="AD239" i="18"/>
  <c r="AD183" i="18" s="1"/>
  <c r="AE182" i="18"/>
  <c r="AE239" i="18"/>
  <c r="AE183" i="18" s="1"/>
  <c r="AF182" i="18"/>
  <c r="AF239" i="18"/>
  <c r="AF183" i="18" s="1"/>
  <c r="AG182" i="18"/>
  <c r="AG239" i="18"/>
  <c r="AG183" i="18" s="1"/>
  <c r="AH182" i="18"/>
  <c r="AH239" i="18"/>
  <c r="AH183" i="18" s="1"/>
  <c r="AI182" i="18"/>
  <c r="AI239" i="18"/>
  <c r="AJ182" i="18"/>
  <c r="AJ239" i="18"/>
  <c r="AJ183" i="18" s="1"/>
  <c r="AK182" i="18"/>
  <c r="AK239" i="18"/>
  <c r="AK183" i="18" s="1"/>
  <c r="AL182" i="18"/>
  <c r="AL239" i="18"/>
  <c r="AL183" i="18" s="1"/>
  <c r="AM182" i="18"/>
  <c r="AM239" i="18"/>
  <c r="O182" i="18"/>
  <c r="O239" i="18"/>
  <c r="O183" i="18" s="1"/>
  <c r="A523" i="18"/>
  <c r="C182" i="18"/>
  <c r="E182" i="18"/>
  <c r="G182" i="18"/>
  <c r="I182" i="18"/>
  <c r="K182" i="18"/>
  <c r="M182" i="18"/>
  <c r="C239" i="18"/>
  <c r="C183" i="18" s="1"/>
  <c r="E239" i="18"/>
  <c r="E183" i="18" s="1"/>
  <c r="G239" i="18"/>
  <c r="G183" i="18" s="1"/>
  <c r="I239" i="18"/>
  <c r="K239" i="18"/>
  <c r="K183" i="18" s="1"/>
  <c r="M239" i="18"/>
  <c r="M183" i="18" s="1"/>
  <c r="D139" i="18"/>
  <c r="D140" i="18" s="1"/>
  <c r="F139" i="18"/>
  <c r="F140" i="18" s="1"/>
  <c r="H139" i="18"/>
  <c r="H140" i="18" s="1"/>
  <c r="J139" i="18"/>
  <c r="J140" i="18" s="1"/>
  <c r="L139" i="18"/>
  <c r="L140" i="18" s="1"/>
  <c r="N139" i="18"/>
  <c r="N277" i="18" s="1"/>
  <c r="N284" i="18" s="1"/>
  <c r="N261" i="18" s="1"/>
  <c r="C140" i="18"/>
  <c r="E140" i="18"/>
  <c r="G140" i="18"/>
  <c r="I140" i="18"/>
  <c r="K140" i="18"/>
  <c r="M140" i="18"/>
  <c r="O140" i="18"/>
  <c r="AD140" i="18"/>
  <c r="AE140" i="18"/>
  <c r="AF140" i="18"/>
  <c r="AG140" i="18"/>
  <c r="AH140" i="18"/>
  <c r="AI140" i="18"/>
  <c r="AJ140" i="18"/>
  <c r="AK140" i="18"/>
  <c r="AL140" i="18"/>
  <c r="AM140" i="18"/>
  <c r="D141" i="18"/>
  <c r="D142" i="18" s="1"/>
  <c r="F141" i="18"/>
  <c r="F142" i="18" s="1"/>
  <c r="H141" i="18"/>
  <c r="H142" i="18" s="1"/>
  <c r="J141" i="18"/>
  <c r="J142" i="18" s="1"/>
  <c r="L141" i="18"/>
  <c r="L272" i="18" s="1"/>
  <c r="N141" i="18"/>
  <c r="N142" i="18" s="1"/>
  <c r="C142" i="18"/>
  <c r="E142" i="18"/>
  <c r="G142" i="18"/>
  <c r="I142" i="18"/>
  <c r="K142" i="18"/>
  <c r="M142" i="18"/>
  <c r="O142" i="18"/>
  <c r="AD142" i="18"/>
  <c r="AE142" i="18"/>
  <c r="AF142" i="18"/>
  <c r="AG142" i="18"/>
  <c r="AH142" i="18"/>
  <c r="AI142" i="18"/>
  <c r="AJ142" i="18"/>
  <c r="AK142" i="18"/>
  <c r="AL142" i="18"/>
  <c r="AM142" i="18"/>
  <c r="D144" i="18"/>
  <c r="F144" i="18"/>
  <c r="H144" i="18"/>
  <c r="J144" i="18"/>
  <c r="L144" i="18"/>
  <c r="N144" i="18"/>
  <c r="D145" i="18"/>
  <c r="F145" i="18"/>
  <c r="H145" i="18"/>
  <c r="J145" i="18"/>
  <c r="L145" i="18"/>
  <c r="N145" i="18"/>
  <c r="D146" i="18"/>
  <c r="F146" i="18"/>
  <c r="H146" i="18"/>
  <c r="J146" i="18"/>
  <c r="L146" i="18"/>
  <c r="N146" i="18"/>
  <c r="D147" i="18"/>
  <c r="F147" i="18"/>
  <c r="H147" i="18"/>
  <c r="J147" i="18"/>
  <c r="L147" i="18"/>
  <c r="N147" i="18"/>
  <c r="C148" i="18"/>
  <c r="C153" i="18" s="1"/>
  <c r="E148" i="18"/>
  <c r="E153" i="18" s="1"/>
  <c r="G148" i="18"/>
  <c r="G153" i="18" s="1"/>
  <c r="I148" i="18"/>
  <c r="I191" i="18" s="1"/>
  <c r="K148" i="18"/>
  <c r="K153" i="18" s="1"/>
  <c r="M148" i="18"/>
  <c r="M153" i="18" s="1"/>
  <c r="O148" i="18"/>
  <c r="O153" i="18" s="1"/>
  <c r="AD148" i="18"/>
  <c r="AD153" i="18" s="1"/>
  <c r="AE148" i="18"/>
  <c r="AE191" i="18" s="1"/>
  <c r="AF148" i="18"/>
  <c r="AF191" i="18" s="1"/>
  <c r="AG148" i="18"/>
  <c r="AG191" i="18" s="1"/>
  <c r="AH148" i="18"/>
  <c r="AH191" i="18" s="1"/>
  <c r="AI148" i="18"/>
  <c r="AJ148" i="18"/>
  <c r="AJ191" i="18" s="1"/>
  <c r="AK148" i="18"/>
  <c r="AL148" i="18"/>
  <c r="AL191" i="18" s="1"/>
  <c r="AM148" i="18"/>
  <c r="AM191" i="18" s="1"/>
  <c r="AH152" i="18"/>
  <c r="D152" i="18" s="1"/>
  <c r="D192" i="18" s="1"/>
  <c r="AI152" i="18"/>
  <c r="F152" i="18" s="1"/>
  <c r="F192" i="18" s="1"/>
  <c r="AJ152" i="18"/>
  <c r="AK152" i="18"/>
  <c r="J152" i="18" s="1"/>
  <c r="J192" i="18" s="1"/>
  <c r="AL152" i="18"/>
  <c r="L152" i="18" s="1"/>
  <c r="L192" i="18" s="1"/>
  <c r="AM152" i="18"/>
  <c r="N152" i="18" s="1"/>
  <c r="N192" i="18" s="1"/>
  <c r="AF152" i="18"/>
  <c r="AF192" i="18" s="1"/>
  <c r="AG152" i="18"/>
  <c r="AG192" i="18" s="1"/>
  <c r="P156" i="18"/>
  <c r="Q156" i="18"/>
  <c r="R156" i="18"/>
  <c r="AN156" i="18"/>
  <c r="AO156" i="18"/>
  <c r="AP156" i="18"/>
  <c r="AQ156" i="18"/>
  <c r="AR156" i="18"/>
  <c r="D165" i="18"/>
  <c r="D166" i="18"/>
  <c r="D167" i="18"/>
  <c r="C281" i="18"/>
  <c r="C259" i="18" s="1"/>
  <c r="C272" i="18"/>
  <c r="C282" i="18" s="1"/>
  <c r="C277" i="18"/>
  <c r="C284" i="18" s="1"/>
  <c r="C261" i="18" s="1"/>
  <c r="C286" i="18"/>
  <c r="D281" i="18"/>
  <c r="D259" i="18" s="1"/>
  <c r="D286" i="18"/>
  <c r="E281" i="18"/>
  <c r="E272" i="18"/>
  <c r="E277" i="18"/>
  <c r="E284" i="18" s="1"/>
  <c r="E261" i="18" s="1"/>
  <c r="E286" i="18"/>
  <c r="F281" i="18"/>
  <c r="F286" i="18"/>
  <c r="G281" i="18"/>
  <c r="G259" i="18" s="1"/>
  <c r="G272" i="18"/>
  <c r="G282" i="18" s="1"/>
  <c r="G277" i="18"/>
  <c r="G284" i="18" s="1"/>
  <c r="G261" i="18" s="1"/>
  <c r="G286" i="18"/>
  <c r="H281" i="18"/>
  <c r="H259" i="18" s="1"/>
  <c r="H286" i="18"/>
  <c r="I281" i="18"/>
  <c r="I272" i="18"/>
  <c r="I282" i="18" s="1"/>
  <c r="I277" i="18"/>
  <c r="I284" i="18" s="1"/>
  <c r="I261" i="18" s="1"/>
  <c r="I286" i="18"/>
  <c r="J281" i="18"/>
  <c r="J259" i="18" s="1"/>
  <c r="J286" i="18"/>
  <c r="K281" i="18"/>
  <c r="K259" i="18" s="1"/>
  <c r="K272" i="18"/>
  <c r="K282" i="18" s="1"/>
  <c r="K277" i="18"/>
  <c r="K284" i="18" s="1"/>
  <c r="K261" i="18" s="1"/>
  <c r="K286" i="18"/>
  <c r="L281" i="18"/>
  <c r="L259" i="18" s="1"/>
  <c r="L286" i="18"/>
  <c r="M281" i="18"/>
  <c r="M259" i="18" s="1"/>
  <c r="M272" i="18"/>
  <c r="M402" i="18" s="1"/>
  <c r="M277" i="18"/>
  <c r="M284" i="18" s="1"/>
  <c r="M286" i="18"/>
  <c r="N281" i="18"/>
  <c r="N259" i="18" s="1"/>
  <c r="N286" i="18"/>
  <c r="O281" i="18"/>
  <c r="O259" i="18" s="1"/>
  <c r="O272" i="18"/>
  <c r="O277" i="18"/>
  <c r="O284" i="18" s="1"/>
  <c r="O261" i="18" s="1"/>
  <c r="O286" i="18"/>
  <c r="O255" i="18"/>
  <c r="P255" i="18" s="1"/>
  <c r="O252" i="18"/>
  <c r="P286" i="18"/>
  <c r="O254" i="18"/>
  <c r="P254" i="18" s="1"/>
  <c r="P450" i="18" s="1"/>
  <c r="AN450" i="18" s="1"/>
  <c r="AN254" i="18" s="1"/>
  <c r="Q254" i="18" s="1"/>
  <c r="AD349" i="18"/>
  <c r="AD337" i="18"/>
  <c r="AE349" i="18"/>
  <c r="AE337" i="18"/>
  <c r="AF349" i="18"/>
  <c r="AF337" i="18"/>
  <c r="AG349" i="18"/>
  <c r="AG337" i="18"/>
  <c r="AH349" i="18"/>
  <c r="AH337" i="18"/>
  <c r="AI349" i="18"/>
  <c r="AI337" i="18"/>
  <c r="AJ349" i="18"/>
  <c r="AJ337" i="18"/>
  <c r="AK349" i="18"/>
  <c r="AK337" i="18"/>
  <c r="AL349" i="18"/>
  <c r="AL337" i="18"/>
  <c r="AM349" i="18"/>
  <c r="AM337" i="18"/>
  <c r="O349" i="18"/>
  <c r="O337" i="18"/>
  <c r="P340" i="18"/>
  <c r="P456" i="18" s="1"/>
  <c r="P342" i="18"/>
  <c r="AN342" i="18" s="1"/>
  <c r="AN235" i="18" s="1"/>
  <c r="N424" i="18"/>
  <c r="N425" i="18"/>
  <c r="N439" i="18"/>
  <c r="Q286" i="18"/>
  <c r="AN341" i="18"/>
  <c r="AN343" i="18"/>
  <c r="AN348" i="18"/>
  <c r="AN319" i="18"/>
  <c r="AN320" i="18"/>
  <c r="AN321" i="18"/>
  <c r="AN323" i="18"/>
  <c r="AN351" i="18"/>
  <c r="Q340" i="18"/>
  <c r="Q342" i="18"/>
  <c r="R286" i="18"/>
  <c r="AD281" i="18"/>
  <c r="AD259" i="18" s="1"/>
  <c r="AD272" i="18"/>
  <c r="AD282" i="18" s="1"/>
  <c r="AD277" i="18"/>
  <c r="AD284" i="18" s="1"/>
  <c r="AD261" i="18" s="1"/>
  <c r="AD286" i="18"/>
  <c r="AE281" i="18"/>
  <c r="AE259" i="18" s="1"/>
  <c r="AE272" i="18"/>
  <c r="AE282" i="18" s="1"/>
  <c r="AE277" i="18"/>
  <c r="AE284" i="18" s="1"/>
  <c r="AE261" i="18" s="1"/>
  <c r="AE286" i="18"/>
  <c r="AF281" i="18"/>
  <c r="AF259" i="18" s="1"/>
  <c r="AF272" i="18"/>
  <c r="AF282" i="18" s="1"/>
  <c r="AF277" i="18"/>
  <c r="AF286" i="18"/>
  <c r="AG281" i="18"/>
  <c r="AG259" i="18" s="1"/>
  <c r="AG272" i="18"/>
  <c r="AG282" i="18" s="1"/>
  <c r="AG277" i="18"/>
  <c r="AG284" i="18" s="1"/>
  <c r="AG286" i="18"/>
  <c r="AH281" i="18"/>
  <c r="AH259" i="18" s="1"/>
  <c r="AH272" i="18"/>
  <c r="AH282" i="18" s="1"/>
  <c r="AH277" i="18"/>
  <c r="AH286" i="18"/>
  <c r="AI281" i="18"/>
  <c r="AI259" i="18" s="1"/>
  <c r="AI272" i="18"/>
  <c r="AI282" i="18" s="1"/>
  <c r="AI277" i="18"/>
  <c r="AI284" i="18" s="1"/>
  <c r="AI261" i="18" s="1"/>
  <c r="AI286" i="18"/>
  <c r="AJ281" i="18"/>
  <c r="AJ259" i="18" s="1"/>
  <c r="AJ272" i="18"/>
  <c r="AJ277" i="18"/>
  <c r="AJ284" i="18" s="1"/>
  <c r="AJ286" i="18"/>
  <c r="AK281" i="18"/>
  <c r="AK259" i="18" s="1"/>
  <c r="AK272" i="18"/>
  <c r="AK282" i="18" s="1"/>
  <c r="AK277" i="18"/>
  <c r="AK284" i="18" s="1"/>
  <c r="AK286" i="18"/>
  <c r="AL281" i="18"/>
  <c r="AL259" i="18" s="1"/>
  <c r="AL272" i="18"/>
  <c r="AL282" i="18" s="1"/>
  <c r="AL277" i="18"/>
  <c r="AL284" i="18" s="1"/>
  <c r="AL261" i="18" s="1"/>
  <c r="AL286" i="18"/>
  <c r="AM281" i="18"/>
  <c r="AM259" i="18" s="1"/>
  <c r="AM272" i="18"/>
  <c r="AM282" i="18" s="1"/>
  <c r="AM277" i="18"/>
  <c r="AM284" i="18" s="1"/>
  <c r="AM261" i="18" s="1"/>
  <c r="AM286" i="18"/>
  <c r="R340" i="18"/>
  <c r="R342" i="18"/>
  <c r="AP286" i="18"/>
  <c r="AO341" i="18"/>
  <c r="AO343" i="18"/>
  <c r="AO348" i="18"/>
  <c r="AO319" i="18"/>
  <c r="AO320" i="18"/>
  <c r="AO321" i="18"/>
  <c r="AO323" i="18"/>
  <c r="AO351" i="18"/>
  <c r="AP340" i="18"/>
  <c r="AP342" i="18"/>
  <c r="AQ286" i="18"/>
  <c r="AQ340" i="18"/>
  <c r="AQ342" i="18"/>
  <c r="AR286" i="18"/>
  <c r="C192" i="18"/>
  <c r="E192" i="18"/>
  <c r="G192" i="18"/>
  <c r="I192" i="18"/>
  <c r="K192" i="18"/>
  <c r="M192" i="18"/>
  <c r="O192" i="18"/>
  <c r="AD192" i="18"/>
  <c r="AE192" i="18"/>
  <c r="AN194" i="18"/>
  <c r="AO194" i="18"/>
  <c r="AN195" i="18"/>
  <c r="AO195" i="18"/>
  <c r="AN196" i="18"/>
  <c r="AO196" i="18"/>
  <c r="AN198" i="18"/>
  <c r="AO198" i="18"/>
  <c r="C200" i="18"/>
  <c r="E200" i="18"/>
  <c r="F200" i="18"/>
  <c r="G200" i="18"/>
  <c r="H200" i="18"/>
  <c r="I200" i="18"/>
  <c r="J200" i="18"/>
  <c r="K200" i="18"/>
  <c r="L200" i="18"/>
  <c r="M200" i="18"/>
  <c r="N200" i="18"/>
  <c r="O200" i="18"/>
  <c r="AN200" i="18" s="1"/>
  <c r="AD200" i="18"/>
  <c r="AE200" i="18"/>
  <c r="AF200" i="18"/>
  <c r="AG200" i="18"/>
  <c r="AH200" i="18"/>
  <c r="AI200" i="18"/>
  <c r="AJ200" i="18"/>
  <c r="AK200" i="18"/>
  <c r="AL200" i="18"/>
  <c r="AM200" i="18"/>
  <c r="AO200" i="18"/>
  <c r="AN201" i="18"/>
  <c r="AO201" i="18"/>
  <c r="C215" i="18"/>
  <c r="E215" i="18"/>
  <c r="G215" i="18"/>
  <c r="I215" i="18"/>
  <c r="K215" i="18"/>
  <c r="M215" i="18"/>
  <c r="O215" i="18"/>
  <c r="AD215" i="18"/>
  <c r="AE215" i="18"/>
  <c r="AF215" i="18"/>
  <c r="AG215" i="18"/>
  <c r="AH215" i="18"/>
  <c r="AI215" i="18"/>
  <c r="AJ215" i="18"/>
  <c r="AK215" i="18"/>
  <c r="AL215" i="18"/>
  <c r="AM215" i="18"/>
  <c r="C216" i="18"/>
  <c r="E216" i="18"/>
  <c r="G216" i="18"/>
  <c r="I216" i="18"/>
  <c r="K216" i="18"/>
  <c r="M216" i="18"/>
  <c r="O216" i="18"/>
  <c r="AD216" i="18"/>
  <c r="AE216" i="18"/>
  <c r="AF216" i="18"/>
  <c r="AG216" i="18"/>
  <c r="AH216" i="18"/>
  <c r="AI216" i="18"/>
  <c r="AJ216" i="18"/>
  <c r="AK216" i="18"/>
  <c r="AL216" i="18"/>
  <c r="AM216" i="18"/>
  <c r="A211" i="18"/>
  <c r="A524" i="18" s="1"/>
  <c r="D219" i="18"/>
  <c r="F219" i="18"/>
  <c r="H219" i="18"/>
  <c r="J219" i="18"/>
  <c r="L219" i="18"/>
  <c r="A227" i="18"/>
  <c r="A525" i="18" s="1"/>
  <c r="A229" i="18"/>
  <c r="A526" i="18" s="1"/>
  <c r="C230" i="18"/>
  <c r="D335" i="18"/>
  <c r="D230" i="18" s="1"/>
  <c r="E230" i="18"/>
  <c r="F335" i="18"/>
  <c r="F230" i="18" s="1"/>
  <c r="G230" i="18"/>
  <c r="H335" i="18"/>
  <c r="H230" i="18" s="1"/>
  <c r="I230" i="18"/>
  <c r="J335" i="18"/>
  <c r="J230" i="18" s="1"/>
  <c r="K230" i="18"/>
  <c r="L335" i="18"/>
  <c r="L230" i="18" s="1"/>
  <c r="M230" i="18"/>
  <c r="N335" i="18"/>
  <c r="N230" i="18" s="1"/>
  <c r="O230" i="18"/>
  <c r="AD230" i="18"/>
  <c r="AE230" i="18"/>
  <c r="AF230" i="18"/>
  <c r="AG230" i="18"/>
  <c r="AH230" i="18"/>
  <c r="AI230" i="18"/>
  <c r="AJ230" i="18"/>
  <c r="AK230" i="18"/>
  <c r="AL230" i="18"/>
  <c r="AM230" i="18"/>
  <c r="C231" i="18"/>
  <c r="D336" i="18"/>
  <c r="D231" i="18" s="1"/>
  <c r="E231" i="18"/>
  <c r="F336" i="18"/>
  <c r="F231" i="18" s="1"/>
  <c r="G231" i="18"/>
  <c r="H336" i="18"/>
  <c r="H231" i="18" s="1"/>
  <c r="I231" i="18"/>
  <c r="J336" i="18"/>
  <c r="J231" i="18" s="1"/>
  <c r="K231" i="18"/>
  <c r="L336" i="18"/>
  <c r="L231" i="18" s="1"/>
  <c r="M231" i="18"/>
  <c r="N336" i="18"/>
  <c r="N231" i="18" s="1"/>
  <c r="O231" i="18"/>
  <c r="AD231" i="18"/>
  <c r="AE231" i="18"/>
  <c r="AF231" i="18"/>
  <c r="AG231" i="18"/>
  <c r="AH231" i="18"/>
  <c r="AI231" i="18"/>
  <c r="AJ231" i="18"/>
  <c r="AK231" i="18"/>
  <c r="AL231" i="18"/>
  <c r="AM231" i="18"/>
  <c r="C232" i="18"/>
  <c r="D345" i="18"/>
  <c r="D232" i="18" s="1"/>
  <c r="E232" i="18"/>
  <c r="F345" i="18"/>
  <c r="F232" i="18" s="1"/>
  <c r="G232" i="18"/>
  <c r="H345" i="18"/>
  <c r="H232" i="18" s="1"/>
  <c r="I232" i="18"/>
  <c r="J345" i="18"/>
  <c r="J232" i="18" s="1"/>
  <c r="K232" i="18"/>
  <c r="L345" i="18"/>
  <c r="L232" i="18" s="1"/>
  <c r="M232" i="18"/>
  <c r="N345" i="18"/>
  <c r="N232" i="18" s="1"/>
  <c r="O232" i="18"/>
  <c r="AD232" i="18"/>
  <c r="AE232" i="18"/>
  <c r="AF232" i="18"/>
  <c r="AG232" i="18"/>
  <c r="AH232" i="18"/>
  <c r="AI232" i="18"/>
  <c r="AJ232" i="18"/>
  <c r="AK232" i="18"/>
  <c r="AL232" i="18"/>
  <c r="AM232" i="18"/>
  <c r="C233" i="18"/>
  <c r="AH233" i="18" s="1"/>
  <c r="E233" i="18"/>
  <c r="AI233" i="18" s="1"/>
  <c r="G233" i="18"/>
  <c r="AJ233" i="18" s="1"/>
  <c r="I233" i="18"/>
  <c r="AK233" i="18" s="1"/>
  <c r="K233" i="18"/>
  <c r="AL233" i="18" s="1"/>
  <c r="M233" i="18"/>
  <c r="AM233" i="18" s="1"/>
  <c r="O233" i="18"/>
  <c r="AN233" i="18" s="1"/>
  <c r="AO233" i="18"/>
  <c r="C235" i="18"/>
  <c r="D342" i="18"/>
  <c r="D235" i="18" s="1"/>
  <c r="E235" i="18"/>
  <c r="F342" i="18"/>
  <c r="F235" i="18" s="1"/>
  <c r="G235" i="18"/>
  <c r="H342" i="18"/>
  <c r="H235" i="18" s="1"/>
  <c r="I235" i="18"/>
  <c r="J342" i="18"/>
  <c r="J235" i="18" s="1"/>
  <c r="K235" i="18"/>
  <c r="L342" i="18"/>
  <c r="L235" i="18" s="1"/>
  <c r="M235" i="18"/>
  <c r="N342" i="18"/>
  <c r="N235" i="18" s="1"/>
  <c r="O235" i="18"/>
  <c r="AD235" i="18"/>
  <c r="AE235" i="18"/>
  <c r="AF235" i="18"/>
  <c r="AG235" i="18"/>
  <c r="AH235" i="18"/>
  <c r="AI235" i="18"/>
  <c r="AJ235" i="18"/>
  <c r="AK235" i="18"/>
  <c r="AL235" i="18"/>
  <c r="AM235" i="18"/>
  <c r="C236" i="18"/>
  <c r="D340" i="18"/>
  <c r="D341" i="18"/>
  <c r="E236" i="18"/>
  <c r="F340" i="18"/>
  <c r="F341" i="18"/>
  <c r="G236" i="18"/>
  <c r="H340" i="18"/>
  <c r="H341" i="18"/>
  <c r="I236" i="18"/>
  <c r="J340" i="18"/>
  <c r="J341" i="18"/>
  <c r="K236" i="18"/>
  <c r="L340" i="18"/>
  <c r="L341" i="18"/>
  <c r="M236" i="18"/>
  <c r="N340" i="18"/>
  <c r="N341" i="18"/>
  <c r="O236" i="18"/>
  <c r="AD236" i="18"/>
  <c r="AE236" i="18"/>
  <c r="AF236" i="18"/>
  <c r="AG236" i="18"/>
  <c r="AH236" i="18"/>
  <c r="AI236" i="18"/>
  <c r="AJ236" i="18"/>
  <c r="AK236" i="18"/>
  <c r="AL236" i="18"/>
  <c r="AM236" i="18"/>
  <c r="AN237" i="18"/>
  <c r="AO237" i="18"/>
  <c r="C252" i="18"/>
  <c r="D426" i="18"/>
  <c r="D252" i="18" s="1"/>
  <c r="E252" i="18"/>
  <c r="F426" i="18"/>
  <c r="F252" i="18" s="1"/>
  <c r="G252" i="18"/>
  <c r="H426" i="18"/>
  <c r="H252" i="18" s="1"/>
  <c r="I252" i="18"/>
  <c r="J426" i="18"/>
  <c r="J252" i="18" s="1"/>
  <c r="K252" i="18"/>
  <c r="L426" i="18"/>
  <c r="L252" i="18" s="1"/>
  <c r="M252" i="18"/>
  <c r="N426" i="18"/>
  <c r="N252" i="18" s="1"/>
  <c r="AD252" i="18"/>
  <c r="AE252" i="18"/>
  <c r="AF252" i="18"/>
  <c r="AG252" i="18"/>
  <c r="AH252" i="18"/>
  <c r="AI252" i="18"/>
  <c r="AJ252" i="18"/>
  <c r="AK252" i="18"/>
  <c r="AL252" i="18"/>
  <c r="AM252" i="18"/>
  <c r="AR340" i="18"/>
  <c r="AR342" i="18"/>
  <c r="C253" i="18"/>
  <c r="D444" i="18"/>
  <c r="D253" i="18" s="1"/>
  <c r="E253" i="18"/>
  <c r="F444" i="18"/>
  <c r="F253" i="18" s="1"/>
  <c r="G253" i="18"/>
  <c r="H444" i="18"/>
  <c r="H253" i="18" s="1"/>
  <c r="I253" i="18"/>
  <c r="J444" i="18"/>
  <c r="K253" i="18"/>
  <c r="L444" i="18"/>
  <c r="M253" i="18"/>
  <c r="N444" i="18"/>
  <c r="O253" i="18"/>
  <c r="AD253" i="18"/>
  <c r="AE253" i="18"/>
  <c r="AF253" i="18"/>
  <c r="AG253" i="18"/>
  <c r="AH253" i="18"/>
  <c r="AI253" i="18"/>
  <c r="AJ253" i="18"/>
  <c r="AK253" i="18"/>
  <c r="AL253" i="18"/>
  <c r="AM253" i="18"/>
  <c r="C254" i="18"/>
  <c r="D450" i="18"/>
  <c r="D254" i="18" s="1"/>
  <c r="E254" i="18"/>
  <c r="F450" i="18"/>
  <c r="F254" i="18" s="1"/>
  <c r="G254" i="18"/>
  <c r="H450" i="18"/>
  <c r="H254" i="18" s="1"/>
  <c r="I254" i="18"/>
  <c r="J450" i="18"/>
  <c r="J254" i="18" s="1"/>
  <c r="K254" i="18"/>
  <c r="L450" i="18"/>
  <c r="L254" i="18" s="1"/>
  <c r="M254" i="18"/>
  <c r="N450" i="18"/>
  <c r="N254" i="18" s="1"/>
  <c r="AD254" i="18"/>
  <c r="AE254" i="18"/>
  <c r="AF254" i="18"/>
  <c r="AG254" i="18"/>
  <c r="AH254" i="18"/>
  <c r="AI254" i="18"/>
  <c r="AJ254" i="18"/>
  <c r="AK254" i="18"/>
  <c r="AL254" i="18"/>
  <c r="AM254" i="18"/>
  <c r="C255" i="18"/>
  <c r="E255" i="18"/>
  <c r="G255" i="18"/>
  <c r="I255" i="18"/>
  <c r="K255" i="18"/>
  <c r="M255" i="18"/>
  <c r="AD255" i="18"/>
  <c r="AE255" i="18"/>
  <c r="AF255" i="18"/>
  <c r="AG255" i="18"/>
  <c r="AH255" i="18"/>
  <c r="AI255" i="18"/>
  <c r="AJ255" i="18"/>
  <c r="AK255" i="18"/>
  <c r="AL255" i="18"/>
  <c r="AM255" i="18"/>
  <c r="C256" i="18"/>
  <c r="D442" i="18"/>
  <c r="D449" i="18"/>
  <c r="E256" i="18"/>
  <c r="F442" i="18"/>
  <c r="F449" i="18"/>
  <c r="G256" i="18"/>
  <c r="H442" i="18"/>
  <c r="H449" i="18"/>
  <c r="I256" i="18"/>
  <c r="J442" i="18"/>
  <c r="J449" i="18"/>
  <c r="K256" i="18"/>
  <c r="L442" i="18"/>
  <c r="L449" i="18"/>
  <c r="M256" i="18"/>
  <c r="N442" i="18"/>
  <c r="N449" i="18"/>
  <c r="O256" i="18"/>
  <c r="AD256" i="18"/>
  <c r="AE256" i="18"/>
  <c r="AF256" i="18"/>
  <c r="AG256" i="18"/>
  <c r="AH256" i="18"/>
  <c r="AI256" i="18"/>
  <c r="AJ256" i="18"/>
  <c r="AK256" i="18"/>
  <c r="AL256" i="18"/>
  <c r="AM256" i="18"/>
  <c r="AN274" i="18"/>
  <c r="AO274" i="18"/>
  <c r="AN278" i="18"/>
  <c r="AO278" i="18"/>
  <c r="C531" i="18"/>
  <c r="C304" i="18" s="1"/>
  <c r="D531" i="18"/>
  <c r="D304" i="18" s="1"/>
  <c r="E531" i="18"/>
  <c r="E306" i="18" s="1"/>
  <c r="F531" i="18"/>
  <c r="F304" i="18" s="1"/>
  <c r="G531" i="18"/>
  <c r="G306" i="18" s="1"/>
  <c r="H531" i="18"/>
  <c r="H306" i="18" s="1"/>
  <c r="I531" i="18"/>
  <c r="I306" i="18" s="1"/>
  <c r="J531" i="18"/>
  <c r="J304" i="18" s="1"/>
  <c r="K531" i="18"/>
  <c r="K304" i="18" s="1"/>
  <c r="L531" i="18"/>
  <c r="L306" i="18" s="1"/>
  <c r="M531" i="18"/>
  <c r="M306" i="18" s="1"/>
  <c r="N531" i="18"/>
  <c r="O531" i="18"/>
  <c r="O306" i="18" s="1"/>
  <c r="P531" i="18"/>
  <c r="Q531" i="18"/>
  <c r="Q301" i="18" s="1"/>
  <c r="R531" i="18"/>
  <c r="R302" i="18" s="1"/>
  <c r="AG531" i="18"/>
  <c r="AG306" i="18" s="1"/>
  <c r="AH531" i="18"/>
  <c r="AH306" i="18" s="1"/>
  <c r="AI531" i="18"/>
  <c r="AI304" i="18" s="1"/>
  <c r="AJ531" i="18"/>
  <c r="AJ304" i="18" s="1"/>
  <c r="AK531" i="18"/>
  <c r="AK306" i="18" s="1"/>
  <c r="AL531" i="18"/>
  <c r="AL306" i="18" s="1"/>
  <c r="AM531" i="18"/>
  <c r="AM306" i="18" s="1"/>
  <c r="AN531" i="18"/>
  <c r="AN301" i="18" s="1"/>
  <c r="AO531" i="18"/>
  <c r="AO301" i="18" s="1"/>
  <c r="AP531" i="18"/>
  <c r="AQ531" i="18"/>
  <c r="AR531" i="18"/>
  <c r="AR303" i="18" s="1"/>
  <c r="A291" i="18"/>
  <c r="A292" i="18"/>
  <c r="A293" i="18"/>
  <c r="C309" i="18"/>
  <c r="D309" i="18"/>
  <c r="E309" i="18"/>
  <c r="F309" i="18"/>
  <c r="G309" i="18"/>
  <c r="H309" i="18"/>
  <c r="I309" i="18"/>
  <c r="J309" i="18"/>
  <c r="K309" i="18"/>
  <c r="L309" i="18"/>
  <c r="M309" i="18"/>
  <c r="N309" i="18"/>
  <c r="O309" i="18"/>
  <c r="P461" i="18"/>
  <c r="AN461" i="18" s="1"/>
  <c r="Q461" i="18" s="1"/>
  <c r="Q309" i="18" s="1"/>
  <c r="AG309" i="18"/>
  <c r="AH309" i="18"/>
  <c r="AI309" i="18"/>
  <c r="AJ309" i="18"/>
  <c r="AK309" i="18"/>
  <c r="AL309" i="18"/>
  <c r="AM309" i="18"/>
  <c r="A295" i="18"/>
  <c r="A505" i="18" s="1"/>
  <c r="A296" i="18"/>
  <c r="A504" i="18" s="1"/>
  <c r="A297" i="18"/>
  <c r="A298" i="18"/>
  <c r="A299" i="18"/>
  <c r="Z531" i="18"/>
  <c r="Z304" i="18" s="1"/>
  <c r="AA531" i="18"/>
  <c r="AA306" i="18" s="1"/>
  <c r="AB531" i="18"/>
  <c r="AB306" i="18" s="1"/>
  <c r="AC531" i="18"/>
  <c r="AD531" i="18"/>
  <c r="AD306" i="18" s="1"/>
  <c r="AE531" i="18"/>
  <c r="AF531" i="18"/>
  <c r="AF306" i="18" s="1"/>
  <c r="D332" i="18"/>
  <c r="F332" i="18"/>
  <c r="H332" i="18"/>
  <c r="J332" i="18"/>
  <c r="L332" i="18"/>
  <c r="N332" i="18"/>
  <c r="AR387" i="18"/>
  <c r="AR377" i="18" s="1"/>
  <c r="AR334" i="18" s="1"/>
  <c r="AR335" i="18"/>
  <c r="AR336" i="18"/>
  <c r="C337" i="18"/>
  <c r="E337" i="18"/>
  <c r="G337" i="18"/>
  <c r="I337" i="18"/>
  <c r="K337" i="18"/>
  <c r="M337" i="18"/>
  <c r="D343" i="18"/>
  <c r="F343" i="18"/>
  <c r="H343" i="18"/>
  <c r="J343" i="18"/>
  <c r="L343" i="18"/>
  <c r="N343" i="18"/>
  <c r="D346" i="18"/>
  <c r="F346" i="18"/>
  <c r="H346" i="18"/>
  <c r="J346" i="18"/>
  <c r="J401" i="18" s="1"/>
  <c r="J408" i="18" s="1"/>
  <c r="L346" i="18"/>
  <c r="L401" i="18" s="1"/>
  <c r="L408" i="18" s="1"/>
  <c r="N346" i="18"/>
  <c r="N401" i="18" s="1"/>
  <c r="N408" i="18" s="1"/>
  <c r="D347" i="18"/>
  <c r="F347" i="18"/>
  <c r="H347" i="18"/>
  <c r="J347" i="18"/>
  <c r="J407" i="18" s="1"/>
  <c r="L347" i="18"/>
  <c r="L407" i="18" s="1"/>
  <c r="N347" i="18"/>
  <c r="D348" i="18"/>
  <c r="F348" i="18"/>
  <c r="H348" i="18"/>
  <c r="J348" i="18"/>
  <c r="L348" i="18"/>
  <c r="N348" i="18"/>
  <c r="C349" i="18"/>
  <c r="E349" i="18"/>
  <c r="G349" i="18"/>
  <c r="I349" i="18"/>
  <c r="K349" i="18"/>
  <c r="M349" i="18"/>
  <c r="D351" i="18"/>
  <c r="F351" i="18"/>
  <c r="H351" i="18"/>
  <c r="J351" i="18"/>
  <c r="L351" i="18"/>
  <c r="N351" i="18"/>
  <c r="F425" i="18"/>
  <c r="H425" i="18"/>
  <c r="J425" i="18"/>
  <c r="L425" i="18"/>
  <c r="AH360" i="18"/>
  <c r="F424" i="18"/>
  <c r="H424" i="18"/>
  <c r="J424" i="18"/>
  <c r="L424" i="18"/>
  <c r="F439" i="18"/>
  <c r="H439" i="18"/>
  <c r="J439" i="18"/>
  <c r="L439" i="18"/>
  <c r="AG373" i="18"/>
  <c r="C369" i="18" s="1"/>
  <c r="C373" i="18"/>
  <c r="D369" i="18" s="1"/>
  <c r="AH373" i="18"/>
  <c r="AI369" i="18" s="1"/>
  <c r="E373" i="18"/>
  <c r="F369" i="18" s="1"/>
  <c r="AI373" i="18"/>
  <c r="AJ369" i="18" s="1"/>
  <c r="G373" i="18"/>
  <c r="H369" i="18" s="1"/>
  <c r="AJ373" i="18"/>
  <c r="I369" i="18" s="1"/>
  <c r="I373" i="18"/>
  <c r="J369" i="18" s="1"/>
  <c r="AK373" i="18"/>
  <c r="K369" i="18" s="1"/>
  <c r="K373" i="18"/>
  <c r="AL373" i="18"/>
  <c r="M373" i="18"/>
  <c r="AM373" i="18"/>
  <c r="O369" i="18" s="1"/>
  <c r="AD373" i="18"/>
  <c r="AE369" i="18" s="1"/>
  <c r="AE373" i="18"/>
  <c r="AF369" i="18" s="1"/>
  <c r="AF373" i="18"/>
  <c r="AG369" i="18" s="1"/>
  <c r="C370" i="18"/>
  <c r="E370" i="18"/>
  <c r="G370" i="18"/>
  <c r="I370" i="18"/>
  <c r="K370" i="18"/>
  <c r="M370" i="18"/>
  <c r="O370" i="18"/>
  <c r="AD370" i="18"/>
  <c r="AD381" i="18" s="1"/>
  <c r="AE370" i="18"/>
  <c r="AF370" i="18"/>
  <c r="AG370" i="18"/>
  <c r="AH370" i="18"/>
  <c r="AI370" i="18"/>
  <c r="AJ370" i="18"/>
  <c r="AK370" i="18"/>
  <c r="AL370" i="18"/>
  <c r="AM370" i="18"/>
  <c r="D431" i="18"/>
  <c r="D373" i="18" s="1"/>
  <c r="F431" i="18"/>
  <c r="F373" i="18" s="1"/>
  <c r="H431" i="18"/>
  <c r="H373" i="18" s="1"/>
  <c r="J431" i="18"/>
  <c r="L431" i="18"/>
  <c r="L373" i="18" s="1"/>
  <c r="N431" i="18"/>
  <c r="N373" i="18" s="1"/>
  <c r="AG379" i="18"/>
  <c r="C375" i="18" s="1"/>
  <c r="C379" i="18"/>
  <c r="D375" i="18" s="1"/>
  <c r="AH379" i="18"/>
  <c r="E379" i="18"/>
  <c r="AI379" i="18"/>
  <c r="AJ375" i="18" s="1"/>
  <c r="G379" i="18"/>
  <c r="H375" i="18" s="1"/>
  <c r="AJ379" i="18"/>
  <c r="I379" i="18"/>
  <c r="J375" i="18" s="1"/>
  <c r="AK379" i="18"/>
  <c r="K375" i="18" s="1"/>
  <c r="K379" i="18"/>
  <c r="L375" i="18" s="1"/>
  <c r="AL379" i="18"/>
  <c r="AM375" i="18" s="1"/>
  <c r="M379" i="18"/>
  <c r="AM379" i="18"/>
  <c r="O375" i="18" s="1"/>
  <c r="AD379" i="18"/>
  <c r="AE375" i="18" s="1"/>
  <c r="AE379" i="18"/>
  <c r="AF375" i="18" s="1"/>
  <c r="AF379" i="18"/>
  <c r="AG375" i="18" s="1"/>
  <c r="C376" i="18"/>
  <c r="E376" i="18"/>
  <c r="G376" i="18"/>
  <c r="I376" i="18"/>
  <c r="K376" i="18"/>
  <c r="M376" i="18"/>
  <c r="O376" i="18"/>
  <c r="AD376" i="18"/>
  <c r="AE376" i="18"/>
  <c r="AF376" i="18"/>
  <c r="AG376" i="18"/>
  <c r="AH376" i="18"/>
  <c r="AI376" i="18"/>
  <c r="AJ376" i="18"/>
  <c r="AK376" i="18"/>
  <c r="AL376" i="18"/>
  <c r="AM376" i="18"/>
  <c r="C377" i="18"/>
  <c r="E377" i="18"/>
  <c r="G377" i="18"/>
  <c r="I377" i="18"/>
  <c r="K377" i="18"/>
  <c r="M377" i="18"/>
  <c r="O377" i="18"/>
  <c r="AD377" i="18"/>
  <c r="AE377" i="18"/>
  <c r="AF377" i="18"/>
  <c r="AG377" i="18"/>
  <c r="AH377" i="18"/>
  <c r="AI377" i="18"/>
  <c r="AJ377" i="18"/>
  <c r="AK377" i="18"/>
  <c r="AL377" i="18"/>
  <c r="AM377" i="18"/>
  <c r="D433" i="18"/>
  <c r="D379" i="18" s="1"/>
  <c r="F433" i="18"/>
  <c r="F379" i="18" s="1"/>
  <c r="H433" i="18"/>
  <c r="H379" i="18" s="1"/>
  <c r="J433" i="18"/>
  <c r="J379" i="18" s="1"/>
  <c r="L433" i="18"/>
  <c r="L379" i="18" s="1"/>
  <c r="N433" i="18"/>
  <c r="N379" i="18" s="1"/>
  <c r="AO381" i="18"/>
  <c r="AO382" i="18"/>
  <c r="AO388" i="18"/>
  <c r="I394" i="18"/>
  <c r="J390" i="18" s="1"/>
  <c r="AK394" i="18"/>
  <c r="K390" i="18" s="1"/>
  <c r="K394" i="18"/>
  <c r="L390" i="18" s="1"/>
  <c r="AL394" i="18"/>
  <c r="M390" i="18" s="1"/>
  <c r="M394" i="18"/>
  <c r="N390" i="18" s="1"/>
  <c r="AM394" i="18"/>
  <c r="AK390" i="18"/>
  <c r="I391" i="18"/>
  <c r="K391" i="18"/>
  <c r="M391" i="18"/>
  <c r="O391" i="18"/>
  <c r="AK391" i="18"/>
  <c r="AL391" i="18"/>
  <c r="AM391" i="18"/>
  <c r="J432" i="18"/>
  <c r="J394" i="18" s="1"/>
  <c r="L432" i="18"/>
  <c r="L394" i="18" s="1"/>
  <c r="N432" i="18"/>
  <c r="N394" i="18" s="1"/>
  <c r="I404" i="18"/>
  <c r="J399" i="18" s="1"/>
  <c r="AK404" i="18"/>
  <c r="AK405" i="18" s="1"/>
  <c r="K404" i="18"/>
  <c r="L399" i="18" s="1"/>
  <c r="AL404" i="18"/>
  <c r="M404" i="18"/>
  <c r="M405" i="18" s="1"/>
  <c r="AM404" i="18"/>
  <c r="O399" i="18" s="1"/>
  <c r="AK399" i="18"/>
  <c r="I401" i="18"/>
  <c r="K401" i="18"/>
  <c r="K408" i="18" s="1"/>
  <c r="M401" i="18"/>
  <c r="M408" i="18" s="1"/>
  <c r="AK401" i="18"/>
  <c r="AK408" i="18" s="1"/>
  <c r="AL401" i="18"/>
  <c r="AL408" i="18" s="1"/>
  <c r="AM401" i="18"/>
  <c r="AM408" i="18" s="1"/>
  <c r="AO402" i="18"/>
  <c r="I407" i="18"/>
  <c r="K407" i="18"/>
  <c r="M407" i="18"/>
  <c r="AK407" i="18"/>
  <c r="AL407" i="18"/>
  <c r="AM407" i="18"/>
  <c r="D424" i="18"/>
  <c r="D425" i="18"/>
  <c r="D427" i="18"/>
  <c r="F427" i="18"/>
  <c r="H427" i="18"/>
  <c r="J427" i="18"/>
  <c r="L427" i="18"/>
  <c r="N427" i="18"/>
  <c r="P427" i="18"/>
  <c r="AN427" i="18" s="1"/>
  <c r="Q427" i="18" s="1"/>
  <c r="R427" i="18" s="1"/>
  <c r="AO427" i="18" s="1"/>
  <c r="AP427" i="18" s="1"/>
  <c r="AQ427" i="18" s="1"/>
  <c r="AR427" i="18" s="1"/>
  <c r="C428" i="18"/>
  <c r="E428" i="18"/>
  <c r="G428" i="18"/>
  <c r="I428" i="18"/>
  <c r="K428" i="18"/>
  <c r="M428" i="18"/>
  <c r="O428" i="18"/>
  <c r="AD428" i="18"/>
  <c r="AE428" i="18"/>
  <c r="AF428" i="18"/>
  <c r="AG428" i="18"/>
  <c r="AH428" i="18"/>
  <c r="AI428" i="18"/>
  <c r="AJ428" i="18"/>
  <c r="AK428" i="18"/>
  <c r="AL428" i="18"/>
  <c r="AM428" i="18"/>
  <c r="D432" i="18"/>
  <c r="F432" i="18"/>
  <c r="H432" i="18"/>
  <c r="D434" i="18"/>
  <c r="F434" i="18"/>
  <c r="H434" i="18"/>
  <c r="J434" i="18"/>
  <c r="L434" i="18"/>
  <c r="N434" i="18"/>
  <c r="C435" i="18"/>
  <c r="E435" i="18"/>
  <c r="G435" i="18"/>
  <c r="I435" i="18"/>
  <c r="K435" i="18"/>
  <c r="M435" i="18"/>
  <c r="O435" i="18"/>
  <c r="AD435" i="18"/>
  <c r="AE435" i="18"/>
  <c r="AF435" i="18"/>
  <c r="AG435" i="18"/>
  <c r="AH435" i="18"/>
  <c r="AI435" i="18"/>
  <c r="AJ435" i="18"/>
  <c r="AK435" i="18"/>
  <c r="AL435" i="18"/>
  <c r="AM435" i="18"/>
  <c r="D439" i="18"/>
  <c r="D440" i="18"/>
  <c r="F440" i="18"/>
  <c r="H440" i="18"/>
  <c r="J440" i="18"/>
  <c r="L440" i="18"/>
  <c r="N440" i="18"/>
  <c r="P440" i="18"/>
  <c r="AN440" i="18" s="1"/>
  <c r="Q440" i="18" s="1"/>
  <c r="R440" i="18" s="1"/>
  <c r="AO440" i="18" s="1"/>
  <c r="AP440" i="18" s="1"/>
  <c r="AQ440" i="18" s="1"/>
  <c r="AR440" i="18" s="1"/>
  <c r="D441" i="18"/>
  <c r="F441" i="18"/>
  <c r="H441" i="18"/>
  <c r="J441" i="18"/>
  <c r="L441" i="18"/>
  <c r="N441" i="18"/>
  <c r="P441" i="18"/>
  <c r="AN441" i="18" s="1"/>
  <c r="Q441" i="18" s="1"/>
  <c r="R441" i="18" s="1"/>
  <c r="AO441" i="18" s="1"/>
  <c r="AP441" i="18" s="1"/>
  <c r="AQ441" i="18" s="1"/>
  <c r="AR441" i="18" s="1"/>
  <c r="D443" i="18"/>
  <c r="F443" i="18"/>
  <c r="H443" i="18"/>
  <c r="J443" i="18"/>
  <c r="L443" i="18"/>
  <c r="N443" i="18"/>
  <c r="P443" i="18"/>
  <c r="AN443" i="18" s="1"/>
  <c r="Q443" i="18" s="1"/>
  <c r="R443" i="18" s="1"/>
  <c r="AO443" i="18" s="1"/>
  <c r="AP443" i="18" s="1"/>
  <c r="AQ443" i="18" s="1"/>
  <c r="AR443" i="18" s="1"/>
  <c r="C445" i="18"/>
  <c r="E445" i="18"/>
  <c r="G445" i="18"/>
  <c r="I445" i="18"/>
  <c r="K445" i="18"/>
  <c r="M445" i="18"/>
  <c r="O445" i="18"/>
  <c r="AD445" i="18"/>
  <c r="AE445" i="18"/>
  <c r="AF445" i="18"/>
  <c r="AG445" i="18"/>
  <c r="AH445" i="18"/>
  <c r="AI445" i="18"/>
  <c r="AJ445" i="18"/>
  <c r="AK445" i="18"/>
  <c r="AL445" i="18"/>
  <c r="AM445" i="18"/>
  <c r="D448" i="18"/>
  <c r="F448" i="18"/>
  <c r="H448" i="18"/>
  <c r="J448" i="18"/>
  <c r="L448" i="18"/>
  <c r="N448" i="18"/>
  <c r="P448" i="18"/>
  <c r="C452" i="18"/>
  <c r="E452" i="18"/>
  <c r="G452" i="18"/>
  <c r="I452" i="18"/>
  <c r="K452" i="18"/>
  <c r="M452" i="18"/>
  <c r="O452" i="18"/>
  <c r="AD452" i="18"/>
  <c r="AE452" i="18"/>
  <c r="AF452" i="18"/>
  <c r="AG452" i="18"/>
  <c r="AH452" i="18"/>
  <c r="AI452" i="18"/>
  <c r="AJ452" i="18"/>
  <c r="AK452" i="18"/>
  <c r="AL452" i="18"/>
  <c r="AM452" i="18"/>
  <c r="D456" i="18"/>
  <c r="F456" i="18"/>
  <c r="H456" i="18"/>
  <c r="J456" i="18"/>
  <c r="L456" i="18"/>
  <c r="N456" i="18"/>
  <c r="D457" i="18"/>
  <c r="F457" i="18"/>
  <c r="H457" i="18"/>
  <c r="J457" i="18"/>
  <c r="L457" i="18"/>
  <c r="N457" i="18"/>
  <c r="P457" i="18"/>
  <c r="AN457" i="18" s="1"/>
  <c r="Q457" i="18" s="1"/>
  <c r="R457" i="18" s="1"/>
  <c r="AO457" i="18" s="1"/>
  <c r="AP457" i="18" s="1"/>
  <c r="AQ457" i="18" s="1"/>
  <c r="AR457" i="18" s="1"/>
  <c r="D458" i="18"/>
  <c r="F458" i="18"/>
  <c r="H458" i="18"/>
  <c r="J458" i="18"/>
  <c r="L458" i="18"/>
  <c r="N458" i="18"/>
  <c r="P458" i="18"/>
  <c r="AN458" i="18" s="1"/>
  <c r="Q458" i="18" s="1"/>
  <c r="R458" i="18" s="1"/>
  <c r="AO458" i="18" s="1"/>
  <c r="AP458" i="18" s="1"/>
  <c r="AQ458" i="18" s="1"/>
  <c r="AR458" i="18" s="1"/>
  <c r="D459" i="18"/>
  <c r="F459" i="18"/>
  <c r="H459" i="18"/>
  <c r="J459" i="18"/>
  <c r="L459" i="18"/>
  <c r="N459" i="18"/>
  <c r="C460" i="18"/>
  <c r="E460" i="18"/>
  <c r="G460" i="18"/>
  <c r="I460" i="18"/>
  <c r="K460" i="18"/>
  <c r="M460" i="18"/>
  <c r="O460" i="18"/>
  <c r="AD460" i="18"/>
  <c r="AE460" i="18"/>
  <c r="AF460" i="18"/>
  <c r="AG460" i="18"/>
  <c r="AH460" i="18"/>
  <c r="AI460" i="18"/>
  <c r="AJ460" i="18"/>
  <c r="AK460" i="18"/>
  <c r="AL460" i="18"/>
  <c r="AM460" i="18"/>
  <c r="P467" i="18"/>
  <c r="Q467" i="18"/>
  <c r="R467" i="18"/>
  <c r="Z467" i="18"/>
  <c r="AA467" i="18"/>
  <c r="AB467" i="18"/>
  <c r="AC467" i="18"/>
  <c r="AN467" i="18"/>
  <c r="AO467" i="18"/>
  <c r="AP467" i="18"/>
  <c r="AQ467" i="18"/>
  <c r="AR467" i="18"/>
  <c r="P468" i="18"/>
  <c r="Q468" i="18"/>
  <c r="R468" i="18"/>
  <c r="Z468" i="18"/>
  <c r="AA468" i="18"/>
  <c r="AB468" i="18"/>
  <c r="AC468" i="18"/>
  <c r="AN468" i="18"/>
  <c r="AO468" i="18"/>
  <c r="AP468" i="18"/>
  <c r="AQ468" i="18"/>
  <c r="AR468" i="18"/>
  <c r="C469" i="18"/>
  <c r="D469" i="18"/>
  <c r="Z469" i="18"/>
  <c r="AA469" i="18"/>
  <c r="AB469" i="18"/>
  <c r="AC469" i="18"/>
  <c r="AD469" i="18"/>
  <c r="AE469" i="18"/>
  <c r="AF469" i="18"/>
  <c r="AG469" i="18"/>
  <c r="AH469" i="18"/>
  <c r="Z470" i="18"/>
  <c r="AA470" i="18"/>
  <c r="AB470" i="18"/>
  <c r="AC470" i="18"/>
  <c r="Z471" i="18"/>
  <c r="AA471" i="18"/>
  <c r="AB471" i="18"/>
  <c r="AC471" i="18"/>
  <c r="Z473" i="18"/>
  <c r="AA473" i="18"/>
  <c r="AB473" i="18"/>
  <c r="AC473" i="18"/>
  <c r="P474" i="18"/>
  <c r="Q474" i="18"/>
  <c r="R474" i="18"/>
  <c r="Z474" i="18"/>
  <c r="AA474" i="18"/>
  <c r="AB474" i="18"/>
  <c r="AC474" i="18"/>
  <c r="AN474" i="18"/>
  <c r="AO474" i="18"/>
  <c r="AP474" i="18"/>
  <c r="AQ474" i="18"/>
  <c r="AR474" i="18"/>
  <c r="AI475" i="18"/>
  <c r="AJ475" i="18"/>
  <c r="AK475" i="18"/>
  <c r="AL475" i="18"/>
  <c r="AM475" i="18"/>
  <c r="AN475" i="18"/>
  <c r="AO475" i="18"/>
  <c r="Z476" i="18"/>
  <c r="AA476" i="18"/>
  <c r="AB476" i="18"/>
  <c r="AC476" i="18"/>
  <c r="A500" i="18"/>
  <c r="A503" i="18"/>
  <c r="P554" i="18"/>
  <c r="Q554" i="18"/>
  <c r="R554" i="18"/>
  <c r="AN554" i="18"/>
  <c r="AO554" i="18"/>
  <c r="AP554" i="18"/>
  <c r="AQ554" i="18"/>
  <c r="AR554" i="18"/>
  <c r="Z549" i="18"/>
  <c r="Z542" i="18"/>
  <c r="Z535" i="18"/>
  <c r="E60" i="2"/>
  <c r="AK544" i="18"/>
  <c r="AH537" i="18"/>
  <c r="Q537" i="18"/>
  <c r="AG544" i="18"/>
  <c r="AQ551" i="18"/>
  <c r="F537" i="18"/>
  <c r="AN544" i="18"/>
  <c r="C537" i="18"/>
  <c r="AJ551" i="18"/>
  <c r="Z544" i="18"/>
  <c r="AM551" i="18"/>
  <c r="O537" i="18"/>
  <c r="AD551" i="18"/>
  <c r="E544" i="18"/>
  <c r="AA537" i="18"/>
  <c r="R537" i="18"/>
  <c r="AL544" i="18"/>
  <c r="AB537" i="18"/>
  <c r="R544" i="18"/>
  <c r="P544" i="18"/>
  <c r="H544" i="18"/>
  <c r="AG537" i="18"/>
  <c r="AL551" i="18"/>
  <c r="AK537" i="18"/>
  <c r="AM537" i="18"/>
  <c r="AQ544" i="18"/>
  <c r="H537" i="18"/>
  <c r="AJ544" i="18"/>
  <c r="G551" i="18"/>
  <c r="D551" i="18"/>
  <c r="P551" i="18"/>
  <c r="R551" i="18"/>
  <c r="AC544" i="18"/>
  <c r="E537" i="18"/>
  <c r="AH544" i="18"/>
  <c r="AA544" i="18"/>
  <c r="AB551" i="18"/>
  <c r="M544" i="18"/>
  <c r="AC551" i="18"/>
  <c r="F551" i="18"/>
  <c r="N544" i="18"/>
  <c r="AD544" i="18"/>
  <c r="K537" i="18"/>
  <c r="D537" i="18"/>
  <c r="AA551" i="18"/>
  <c r="Z537" i="18"/>
  <c r="AF544" i="18"/>
  <c r="AF551" i="18"/>
  <c r="K544" i="18"/>
  <c r="K551" i="18"/>
  <c r="J551" i="18"/>
  <c r="N551" i="18"/>
  <c r="AI551" i="18"/>
  <c r="AJ537" i="18"/>
  <c r="J537" i="18"/>
  <c r="M551" i="18"/>
  <c r="AE544" i="18"/>
  <c r="AP537" i="18"/>
  <c r="D544" i="18"/>
  <c r="AN551" i="18"/>
  <c r="AN537" i="18"/>
  <c r="AI544" i="18"/>
  <c r="Q544" i="18"/>
  <c r="I537" i="18"/>
  <c r="J544" i="18"/>
  <c r="AL537" i="18"/>
  <c r="AB544" i="18"/>
  <c r="G537" i="18"/>
  <c r="E551" i="18"/>
  <c r="AH551" i="18"/>
  <c r="AO537" i="18"/>
  <c r="H551" i="18"/>
  <c r="O544" i="18"/>
  <c r="C544" i="18"/>
  <c r="AP551" i="18"/>
  <c r="AR537" i="18"/>
  <c r="AF537" i="18"/>
  <c r="AR544" i="18"/>
  <c r="AP544" i="18"/>
  <c r="Q551" i="18"/>
  <c r="L544" i="18"/>
  <c r="AO551" i="18"/>
  <c r="AR551" i="18"/>
  <c r="AM544" i="18"/>
  <c r="P537" i="18"/>
  <c r="O551" i="18"/>
  <c r="F544" i="18"/>
  <c r="AD537" i="18"/>
  <c r="AO544" i="18"/>
  <c r="AE537" i="18"/>
  <c r="AE551" i="18"/>
  <c r="I544" i="18"/>
  <c r="AQ537" i="18"/>
  <c r="I551" i="18"/>
  <c r="C551" i="18"/>
  <c r="M537" i="18"/>
  <c r="AC537" i="18"/>
  <c r="AG551" i="18"/>
  <c r="Z551" i="18"/>
  <c r="G544" i="18"/>
  <c r="N537" i="18"/>
  <c r="L551" i="18"/>
  <c r="Z556" i="18"/>
  <c r="L537" i="18"/>
  <c r="AI537" i="18"/>
  <c r="AK551" i="18"/>
  <c r="B4" i="18" l="1"/>
  <c r="B3" i="18" s="1"/>
  <c r="AR304" i="18" s="1"/>
  <c r="C38" i="6"/>
  <c r="C15" i="25"/>
  <c r="C16" i="25" s="1"/>
  <c r="F38" i="6"/>
  <c r="F15" i="25"/>
  <c r="F16" i="25" s="1"/>
  <c r="E38" i="6"/>
  <c r="E15" i="25"/>
  <c r="E16" i="25" s="1"/>
  <c r="D38" i="6"/>
  <c r="D15" i="25"/>
  <c r="D16" i="25" s="1"/>
  <c r="G38" i="6"/>
  <c r="G15" i="25"/>
  <c r="G16" i="25" s="1"/>
  <c r="I38" i="6"/>
  <c r="I15" i="25"/>
  <c r="H38" i="6"/>
  <c r="H15" i="25"/>
  <c r="H16" i="25" s="1"/>
  <c r="AE362" i="18"/>
  <c r="AG304" i="18"/>
  <c r="I122" i="18"/>
  <c r="I474" i="18" s="1"/>
  <c r="AE360" i="18"/>
  <c r="AF364" i="18" s="1"/>
  <c r="AD122" i="18"/>
  <c r="AD474" i="18" s="1"/>
  <c r="AM122" i="18"/>
  <c r="AM474" i="18" s="1"/>
  <c r="Q519" i="18"/>
  <c r="K469" i="18"/>
  <c r="K453" i="18"/>
  <c r="K462" i="18" s="1"/>
  <c r="AH362" i="18"/>
  <c r="AL360" i="18"/>
  <c r="R519" i="18"/>
  <c r="L391" i="18"/>
  <c r="L393" i="18" s="1"/>
  <c r="AL469" i="18"/>
  <c r="AL362" i="18"/>
  <c r="AM366" i="18" s="1"/>
  <c r="E469" i="18"/>
  <c r="AK362" i="18"/>
  <c r="AK360" i="18"/>
  <c r="K128" i="18"/>
  <c r="E127" i="18"/>
  <c r="AF42" i="18"/>
  <c r="E122" i="18"/>
  <c r="E474" i="18" s="1"/>
  <c r="AO518" i="18"/>
  <c r="AK469" i="18"/>
  <c r="L361" i="18"/>
  <c r="L360" i="18"/>
  <c r="E128" i="18"/>
  <c r="AK127" i="18"/>
  <c r="H362" i="18"/>
  <c r="H361" i="18"/>
  <c r="H360" i="18"/>
  <c r="AK122" i="18"/>
  <c r="AK474" i="18" s="1"/>
  <c r="G122" i="18"/>
  <c r="G474" i="18" s="1"/>
  <c r="G127" i="18"/>
  <c r="K122" i="18"/>
  <c r="K474" i="18" s="1"/>
  <c r="K360" i="18"/>
  <c r="G128" i="18"/>
  <c r="AK128" i="18"/>
  <c r="K127" i="18"/>
  <c r="AK118" i="18"/>
  <c r="AK119" i="18" s="1"/>
  <c r="O118" i="18"/>
  <c r="O119" i="18" s="1"/>
  <c r="I402" i="18"/>
  <c r="I403" i="18" s="1"/>
  <c r="AI279" i="18"/>
  <c r="AG279" i="18"/>
  <c r="C306" i="18"/>
  <c r="AJ122" i="18"/>
  <c r="AJ474" i="18" s="1"/>
  <c r="D122" i="18"/>
  <c r="D474" i="18" s="1"/>
  <c r="J370" i="18"/>
  <c r="AG222" i="18"/>
  <c r="AG223" i="18" s="1"/>
  <c r="AP518" i="18"/>
  <c r="C279" i="18"/>
  <c r="AM192" i="18"/>
  <c r="AA3" i="18"/>
  <c r="AA530" i="18" s="1"/>
  <c r="F57" i="2"/>
  <c r="AK48" i="18"/>
  <c r="C42" i="18"/>
  <c r="AK26" i="18"/>
  <c r="AM28" i="18"/>
  <c r="C128" i="18"/>
  <c r="G46" i="18"/>
  <c r="G34" i="18" s="1"/>
  <c r="AK29" i="18"/>
  <c r="G42" i="18"/>
  <c r="N539" i="18"/>
  <c r="N302" i="18" s="1"/>
  <c r="O304" i="18"/>
  <c r="AE128" i="18"/>
  <c r="I26" i="18"/>
  <c r="D306" i="18"/>
  <c r="AE127" i="18"/>
  <c r="M122" i="18"/>
  <c r="M474" i="18" s="1"/>
  <c r="G362" i="18"/>
  <c r="AL128" i="18"/>
  <c r="AF41" i="18"/>
  <c r="C240" i="18"/>
  <c r="E279" i="18"/>
  <c r="AN518" i="18"/>
  <c r="C532" i="18"/>
  <c r="C301" i="18" s="1"/>
  <c r="H304" i="18"/>
  <c r="M546" i="18"/>
  <c r="M303" i="18" s="1"/>
  <c r="M290" i="18" s="1"/>
  <c r="R518" i="18"/>
  <c r="K361" i="18"/>
  <c r="AJ360" i="18"/>
  <c r="Q518" i="18"/>
  <c r="AO519" i="18"/>
  <c r="E362" i="18"/>
  <c r="AM48" i="18"/>
  <c r="AM47" i="18" s="1"/>
  <c r="BA258" i="8" s="1"/>
  <c r="G191" i="18"/>
  <c r="AN519" i="18"/>
  <c r="AJ362" i="18"/>
  <c r="I29" i="18"/>
  <c r="AM26" i="18"/>
  <c r="AJ118" i="18"/>
  <c r="AJ119" i="18" s="1"/>
  <c r="AF118" i="18"/>
  <c r="AF119" i="18" s="1"/>
  <c r="AM34" i="18"/>
  <c r="AG546" i="18"/>
  <c r="AG303" i="18" s="1"/>
  <c r="AG290" i="18" s="1"/>
  <c r="AM156" i="18"/>
  <c r="I360" i="18"/>
  <c r="H24" i="18"/>
  <c r="H26" i="18" s="1"/>
  <c r="I28" i="18"/>
  <c r="O476" i="18"/>
  <c r="AL127" i="18"/>
  <c r="AP546" i="18"/>
  <c r="K473" i="18"/>
  <c r="K246" i="18"/>
  <c r="K247" i="18" s="1"/>
  <c r="K248" i="18" s="1"/>
  <c r="K249" i="18" s="1"/>
  <c r="AJ128" i="18"/>
  <c r="AE43" i="18"/>
  <c r="AF532" i="18"/>
  <c r="M222" i="18"/>
  <c r="M242" i="18" s="1"/>
  <c r="M243" i="18" s="1"/>
  <c r="M244" i="18" s="1"/>
  <c r="M245" i="18" s="1"/>
  <c r="AF127" i="18"/>
  <c r="R532" i="18"/>
  <c r="P519" i="18"/>
  <c r="P518" i="18"/>
  <c r="AF473" i="18"/>
  <c r="AJ361" i="18"/>
  <c r="AJ365" i="18" s="1"/>
  <c r="G361" i="18"/>
  <c r="G222" i="18"/>
  <c r="G242" i="18" s="1"/>
  <c r="G243" i="18" s="1"/>
  <c r="G244" i="18" s="1"/>
  <c r="G245" i="18" s="1"/>
  <c r="F272" i="18"/>
  <c r="F282" i="18" s="1"/>
  <c r="F283" i="18" s="1"/>
  <c r="E156" i="18"/>
  <c r="O28" i="18"/>
  <c r="H111" i="18"/>
  <c r="H452" i="18"/>
  <c r="E360" i="18"/>
  <c r="AJ127" i="18"/>
  <c r="AR519" i="18"/>
  <c r="AR518" i="18"/>
  <c r="K362" i="18"/>
  <c r="AR539" i="18"/>
  <c r="AQ519" i="18"/>
  <c r="AQ518" i="18"/>
  <c r="AF361" i="18"/>
  <c r="AF365" i="18" s="1"/>
  <c r="E361" i="18"/>
  <c r="AR302" i="18"/>
  <c r="K279" i="18"/>
  <c r="AL273" i="18"/>
  <c r="AL275" i="18" s="1"/>
  <c r="AK240" i="18"/>
  <c r="AI41" i="18"/>
  <c r="AF362" i="18"/>
  <c r="AF128" i="18"/>
  <c r="L304" i="18"/>
  <c r="AD539" i="18"/>
  <c r="AP519" i="18"/>
  <c r="O539" i="18"/>
  <c r="O302" i="18" s="1"/>
  <c r="G279" i="18"/>
  <c r="AJ240" i="18"/>
  <c r="J183" i="18"/>
  <c r="J128" i="18" s="1"/>
  <c r="J240" i="18"/>
  <c r="AF222" i="18"/>
  <c r="AF242" i="18" s="1"/>
  <c r="AF243" i="18" s="1"/>
  <c r="AF244" i="18" s="1"/>
  <c r="AF245" i="18" s="1"/>
  <c r="AJ469" i="18"/>
  <c r="I473" i="18"/>
  <c r="C191" i="18"/>
  <c r="AF122" i="18"/>
  <c r="AF474" i="18" s="1"/>
  <c r="K222" i="18"/>
  <c r="K225" i="18" s="1"/>
  <c r="AK156" i="18"/>
  <c r="AK143" i="18"/>
  <c r="L14" i="18"/>
  <c r="AJ222" i="18"/>
  <c r="AJ225" i="18" s="1"/>
  <c r="G41" i="18"/>
  <c r="AO546" i="18"/>
  <c r="AC539" i="18"/>
  <c r="Q532" i="18"/>
  <c r="G539" i="18"/>
  <c r="G302" i="18" s="1"/>
  <c r="E546" i="18"/>
  <c r="E303" i="18" s="1"/>
  <c r="E290" i="18" s="1"/>
  <c r="AE279" i="18"/>
  <c r="N404" i="18"/>
  <c r="N405" i="18" s="1"/>
  <c r="AO335" i="18"/>
  <c r="AO230" i="18" s="1"/>
  <c r="AL122" i="18"/>
  <c r="AL474" i="18" s="1"/>
  <c r="AE122" i="18"/>
  <c r="AE474" i="18" s="1"/>
  <c r="AL118" i="18"/>
  <c r="AL119" i="18" s="1"/>
  <c r="AE118" i="18"/>
  <c r="AE119" i="18" s="1"/>
  <c r="C118" i="18"/>
  <c r="C119" i="18" s="1"/>
  <c r="N12" i="18"/>
  <c r="AA546" i="18"/>
  <c r="A539" i="18"/>
  <c r="J376" i="18"/>
  <c r="G304" i="18"/>
  <c r="F539" i="18"/>
  <c r="F302" i="18" s="1"/>
  <c r="I476" i="18"/>
  <c r="Z546" i="18"/>
  <c r="AJ532" i="18"/>
  <c r="AJ301" i="18" s="1"/>
  <c r="I279" i="18"/>
  <c r="AD191" i="18"/>
  <c r="H277" i="18"/>
  <c r="H284" i="18" s="1"/>
  <c r="H263" i="18" s="1"/>
  <c r="C263" i="18"/>
  <c r="C264" i="18" s="1"/>
  <c r="A553" i="18"/>
  <c r="AI532" i="18"/>
  <c r="AI301" i="18" s="1"/>
  <c r="I546" i="18"/>
  <c r="I303" i="18" s="1"/>
  <c r="I290" i="18" s="1"/>
  <c r="I273" i="18"/>
  <c r="I275" i="18" s="1"/>
  <c r="AL436" i="18"/>
  <c r="N391" i="18"/>
  <c r="N393" i="18" s="1"/>
  <c r="F360" i="18"/>
  <c r="K532" i="18"/>
  <c r="K301" i="18" s="1"/>
  <c r="AJ546" i="18"/>
  <c r="AJ303" i="18" s="1"/>
  <c r="AJ290" i="18" s="1"/>
  <c r="AM279" i="18"/>
  <c r="G263" i="18"/>
  <c r="G264" i="18" s="1"/>
  <c r="AM127" i="18"/>
  <c r="AN532" i="18"/>
  <c r="AM539" i="18"/>
  <c r="AM302" i="18" s="1"/>
  <c r="J532" i="18"/>
  <c r="J301" i="18" s="1"/>
  <c r="AK279" i="18"/>
  <c r="J236" i="18"/>
  <c r="O473" i="18"/>
  <c r="AM273" i="18"/>
  <c r="AM275" i="18" s="1"/>
  <c r="AK473" i="18"/>
  <c r="P253" i="18"/>
  <c r="P444" i="18" s="1"/>
  <c r="AN444" i="18" s="1"/>
  <c r="AN255" i="18" s="1"/>
  <c r="Q255" i="18" s="1"/>
  <c r="AJ58" i="18"/>
  <c r="AG473" i="18"/>
  <c r="L452" i="18"/>
  <c r="AM402" i="18"/>
  <c r="AH304" i="18"/>
  <c r="AK273" i="18"/>
  <c r="AK275" i="18" s="1"/>
  <c r="AJ476" i="18"/>
  <c r="AK402" i="18"/>
  <c r="AK403" i="18" s="1"/>
  <c r="AI273" i="18"/>
  <c r="AI275" i="18" s="1"/>
  <c r="AI476" i="18"/>
  <c r="C222" i="18"/>
  <c r="C225" i="18" s="1"/>
  <c r="AO342" i="18"/>
  <c r="AO235" i="18" s="1"/>
  <c r="AG273" i="18"/>
  <c r="AG275" i="18" s="1"/>
  <c r="AO340" i="18"/>
  <c r="AO236" i="18" s="1"/>
  <c r="K306" i="18"/>
  <c r="AE273" i="18"/>
  <c r="AE275" i="18" s="1"/>
  <c r="R546" i="18"/>
  <c r="AB539" i="18"/>
  <c r="D546" i="18"/>
  <c r="D303" i="18" s="1"/>
  <c r="D290" i="18" s="1"/>
  <c r="E246" i="18"/>
  <c r="E247" i="18" s="1"/>
  <c r="E248" i="18" s="1"/>
  <c r="E249" i="18" s="1"/>
  <c r="AF546" i="18"/>
  <c r="Q546" i="18"/>
  <c r="AP539" i="18"/>
  <c r="AA539" i="18"/>
  <c r="AD532" i="18"/>
  <c r="A532" i="18"/>
  <c r="AM387" i="18"/>
  <c r="AM371" i="18" s="1"/>
  <c r="E387" i="18"/>
  <c r="E371" i="18" s="1"/>
  <c r="AK539" i="18"/>
  <c r="AK302" i="18" s="1"/>
  <c r="L539" i="18"/>
  <c r="L302" i="18" s="1"/>
  <c r="D539" i="18"/>
  <c r="D302" i="18" s="1"/>
  <c r="AG532" i="18"/>
  <c r="AG301" i="18" s="1"/>
  <c r="H532" i="18"/>
  <c r="H301" i="18" s="1"/>
  <c r="AM546" i="18"/>
  <c r="AM303" i="18" s="1"/>
  <c r="AM290" i="18" s="1"/>
  <c r="AI546" i="18"/>
  <c r="AI303" i="18" s="1"/>
  <c r="AI290" i="18" s="1"/>
  <c r="G240" i="18"/>
  <c r="P532" i="18"/>
  <c r="E539" i="18"/>
  <c r="E302" i="18" s="1"/>
  <c r="I532" i="18"/>
  <c r="I301" i="18" s="1"/>
  <c r="L546" i="18"/>
  <c r="L303" i="18" s="1"/>
  <c r="L290" i="18" s="1"/>
  <c r="AE546" i="18"/>
  <c r="P546" i="18"/>
  <c r="AO539" i="18"/>
  <c r="Z539" i="18"/>
  <c r="AR532" i="18"/>
  <c r="AC532" i="18"/>
  <c r="AI473" i="18"/>
  <c r="I469" i="18"/>
  <c r="D452" i="18"/>
  <c r="K388" i="18"/>
  <c r="C387" i="18"/>
  <c r="C371" i="18" s="1"/>
  <c r="C372" i="18" s="1"/>
  <c r="AJ539" i="18"/>
  <c r="AJ302" i="18" s="1"/>
  <c r="K539" i="18"/>
  <c r="K302" i="18" s="1"/>
  <c r="C539" i="18"/>
  <c r="C302" i="18" s="1"/>
  <c r="O532" i="18"/>
  <c r="O301" i="18" s="1"/>
  <c r="G532" i="18"/>
  <c r="G301" i="18" s="1"/>
  <c r="O546" i="18"/>
  <c r="O303" i="18" s="1"/>
  <c r="O290" i="18" s="1"/>
  <c r="K546" i="18"/>
  <c r="K303" i="18" s="1"/>
  <c r="K290" i="18" s="1"/>
  <c r="G546" i="18"/>
  <c r="G303" i="18" s="1"/>
  <c r="G290" i="18" s="1"/>
  <c r="C546" i="18"/>
  <c r="C303" i="18" s="1"/>
  <c r="C290" i="18" s="1"/>
  <c r="I153" i="18"/>
  <c r="M225" i="8" s="1"/>
  <c r="M152" i="8" s="1"/>
  <c r="E41" i="18"/>
  <c r="AQ539" i="18"/>
  <c r="AL539" i="18"/>
  <c r="AL302" i="18" s="1"/>
  <c r="M539" i="18"/>
  <c r="M302" i="18" s="1"/>
  <c r="AH532" i="18"/>
  <c r="AH301" i="18" s="1"/>
  <c r="M156" i="18"/>
  <c r="AD546" i="18"/>
  <c r="A546" i="18"/>
  <c r="AN539" i="18"/>
  <c r="R539" i="18"/>
  <c r="AQ532" i="18"/>
  <c r="AB532" i="18"/>
  <c r="AM361" i="18"/>
  <c r="AM365" i="18" s="1"/>
  <c r="J360" i="18"/>
  <c r="AI539" i="18"/>
  <c r="AI302" i="18" s="1"/>
  <c r="J539" i="18"/>
  <c r="J302" i="18" s="1"/>
  <c r="AM532" i="18"/>
  <c r="AM301" i="18" s="1"/>
  <c r="N532" i="18"/>
  <c r="N301" i="18" s="1"/>
  <c r="F532" i="18"/>
  <c r="F301" i="18" s="1"/>
  <c r="AL546" i="18"/>
  <c r="AL303" i="18" s="1"/>
  <c r="AL290" i="18" s="1"/>
  <c r="AH546" i="18"/>
  <c r="AH303" i="18" s="1"/>
  <c r="AH290" i="18" s="1"/>
  <c r="N62" i="18"/>
  <c r="E43" i="18"/>
  <c r="AM476" i="18"/>
  <c r="AN546" i="18"/>
  <c r="J277" i="18"/>
  <c r="AF539" i="18"/>
  <c r="Q539" i="18"/>
  <c r="AP532" i="18"/>
  <c r="AA532" i="18"/>
  <c r="L376" i="18"/>
  <c r="L378" i="18" s="1"/>
  <c r="M362" i="18"/>
  <c r="AK304" i="18"/>
  <c r="AH539" i="18"/>
  <c r="AH302" i="18" s="1"/>
  <c r="I539" i="18"/>
  <c r="I302" i="18" s="1"/>
  <c r="AL532" i="18"/>
  <c r="AL301" i="18" s="1"/>
  <c r="M532" i="18"/>
  <c r="M301" i="18" s="1"/>
  <c r="E532" i="18"/>
  <c r="E301" i="18" s="1"/>
  <c r="N546" i="18"/>
  <c r="N303" i="18" s="1"/>
  <c r="N290" i="18" s="1"/>
  <c r="J546" i="18"/>
  <c r="J303" i="18" s="1"/>
  <c r="J290" i="18" s="1"/>
  <c r="F546" i="18"/>
  <c r="F303" i="18" s="1"/>
  <c r="F290" i="18" s="1"/>
  <c r="AE222" i="18"/>
  <c r="AE225" i="18" s="1"/>
  <c r="AI156" i="18"/>
  <c r="AE532" i="18"/>
  <c r="H546" i="18"/>
  <c r="H303" i="18" s="1"/>
  <c r="H290" i="18" s="1"/>
  <c r="AI143" i="18"/>
  <c r="AR546" i="18"/>
  <c r="AC546" i="18"/>
  <c r="AQ546" i="18"/>
  <c r="AB546" i="18"/>
  <c r="AE539" i="18"/>
  <c r="P539" i="18"/>
  <c r="AO532" i="18"/>
  <c r="Z532" i="18"/>
  <c r="AE473" i="18"/>
  <c r="AI360" i="18"/>
  <c r="AG539" i="18"/>
  <c r="AG302" i="18" s="1"/>
  <c r="H539" i="18"/>
  <c r="H302" i="18" s="1"/>
  <c r="AK532" i="18"/>
  <c r="AK301" i="18" s="1"/>
  <c r="L532" i="18"/>
  <c r="L301" i="18" s="1"/>
  <c r="D532" i="18"/>
  <c r="D301" i="18" s="1"/>
  <c r="AK546" i="18"/>
  <c r="AK303" i="18" s="1"/>
  <c r="AK290" i="18" s="1"/>
  <c r="C273" i="18"/>
  <c r="C275" i="18" s="1"/>
  <c r="AG113" i="18"/>
  <c r="AG115" i="18" s="1"/>
  <c r="AJ56" i="18"/>
  <c r="AL283" i="18"/>
  <c r="AL285" i="18" s="1"/>
  <c r="AL287" i="18" s="1"/>
  <c r="AL188" i="18" s="1"/>
  <c r="AM118" i="18"/>
  <c r="AM119" i="18" s="1"/>
  <c r="AI118" i="18"/>
  <c r="AI119" i="18" s="1"/>
  <c r="M175" i="18"/>
  <c r="I118" i="18"/>
  <c r="I119" i="18" s="1"/>
  <c r="AI469" i="18"/>
  <c r="I393" i="18"/>
  <c r="I388" i="18"/>
  <c r="O58" i="18"/>
  <c r="AH386" i="18"/>
  <c r="AE384" i="18"/>
  <c r="L404" i="18"/>
  <c r="O436" i="18"/>
  <c r="AN369" i="18"/>
  <c r="AM88" i="18"/>
  <c r="AM90" i="18" s="1"/>
  <c r="BA162" i="8" s="1"/>
  <c r="AI246" i="18"/>
  <c r="AI247" i="18" s="1"/>
  <c r="AI248" i="18" s="1"/>
  <c r="AI249" i="18" s="1"/>
  <c r="J404" i="18"/>
  <c r="J405" i="18" s="1"/>
  <c r="I263" i="18"/>
  <c r="I264" i="18" s="1"/>
  <c r="AO336" i="18"/>
  <c r="AO231" i="18" s="1"/>
  <c r="J136" i="18"/>
  <c r="J138" i="18" s="1"/>
  <c r="J156" i="18" s="1"/>
  <c r="E46" i="18"/>
  <c r="E34" i="18" s="1"/>
  <c r="O27" i="18"/>
  <c r="G436" i="18"/>
  <c r="G113" i="18"/>
  <c r="G115" i="18" s="1"/>
  <c r="AH436" i="18"/>
  <c r="AL192" i="18"/>
  <c r="E191" i="18"/>
  <c r="AJ263" i="18"/>
  <c r="AM352" i="18"/>
  <c r="AI122" i="18"/>
  <c r="AI474" i="18" s="1"/>
  <c r="AH41" i="18"/>
  <c r="AG122" i="18"/>
  <c r="AG474" i="18" s="1"/>
  <c r="N32" i="18"/>
  <c r="Z541" i="18"/>
  <c r="Z543" i="18"/>
  <c r="Z550" i="18"/>
  <c r="AH476" i="18"/>
  <c r="N337" i="18"/>
  <c r="AM481" i="18" s="1"/>
  <c r="I386" i="18"/>
  <c r="AG476" i="18"/>
  <c r="K476" i="18"/>
  <c r="M476" i="18"/>
  <c r="E476" i="18"/>
  <c r="AM224" i="18"/>
  <c r="AM246" i="18" s="1"/>
  <c r="AM247" i="18" s="1"/>
  <c r="AM248" i="18" s="1"/>
  <c r="AM249" i="18" s="1"/>
  <c r="AM222" i="18"/>
  <c r="AM242" i="18" s="1"/>
  <c r="AM243" i="18" s="1"/>
  <c r="AM244" i="18" s="1"/>
  <c r="AM245" i="18" s="1"/>
  <c r="AD222" i="18"/>
  <c r="AD225" i="18" s="1"/>
  <c r="H272" i="18"/>
  <c r="F31" i="18"/>
  <c r="N370" i="18"/>
  <c r="D370" i="18"/>
  <c r="AE365" i="18"/>
  <c r="N306" i="18"/>
  <c r="AL263" i="18"/>
  <c r="AF240" i="18"/>
  <c r="AL476" i="18"/>
  <c r="AD476" i="18"/>
  <c r="AF476" i="18"/>
  <c r="AL222" i="18"/>
  <c r="AL225" i="18" s="1"/>
  <c r="AI192" i="18"/>
  <c r="AH352" i="18"/>
  <c r="C283" i="18"/>
  <c r="C285" i="18" s="1"/>
  <c r="C287" i="18" s="1"/>
  <c r="C188" i="18" s="1"/>
  <c r="AL153" i="18"/>
  <c r="AZ225" i="8" s="1"/>
  <c r="AZ247" i="8" s="1"/>
  <c r="C127" i="18"/>
  <c r="AH240" i="18"/>
  <c r="AD128" i="18"/>
  <c r="AG246" i="18"/>
  <c r="AG247" i="18" s="1"/>
  <c r="AG248" i="18" s="1"/>
  <c r="AG249" i="18" s="1"/>
  <c r="O88" i="18"/>
  <c r="O90" i="18" s="1"/>
  <c r="S162" i="8" s="1"/>
  <c r="D228" i="18"/>
  <c r="D387" i="18" s="1"/>
  <c r="D371" i="18" s="1"/>
  <c r="AM42" i="18"/>
  <c r="L39" i="18"/>
  <c r="L43" i="18" s="1"/>
  <c r="N452" i="18"/>
  <c r="AG388" i="18"/>
  <c r="AI263" i="18"/>
  <c r="O257" i="18"/>
  <c r="AE240" i="18"/>
  <c r="AK476" i="18"/>
  <c r="AH192" i="18"/>
  <c r="G156" i="18"/>
  <c r="AP377" i="18"/>
  <c r="AP334" i="18" s="1"/>
  <c r="AP473" i="18" s="1"/>
  <c r="AK113" i="18"/>
  <c r="AK115" i="18" s="1"/>
  <c r="N228" i="18"/>
  <c r="AL73" i="18"/>
  <c r="L63" i="18"/>
  <c r="O48" i="18"/>
  <c r="AI42" i="18"/>
  <c r="AL26" i="18"/>
  <c r="AL399" i="18"/>
  <c r="AI436" i="18"/>
  <c r="K386" i="18"/>
  <c r="J306" i="18"/>
  <c r="AE263" i="18"/>
  <c r="AE264" i="18" s="1"/>
  <c r="M240" i="18"/>
  <c r="C476" i="18"/>
  <c r="AI222" i="18"/>
  <c r="AI225" i="18" s="1"/>
  <c r="AE113" i="18"/>
  <c r="AE115" i="18" s="1"/>
  <c r="AG94" i="18"/>
  <c r="AI43" i="18"/>
  <c r="AH42" i="18"/>
  <c r="C122" i="18"/>
  <c r="C474" i="18" s="1"/>
  <c r="AJ384" i="18"/>
  <c r="AL375" i="18"/>
  <c r="AL382" i="18" s="1"/>
  <c r="AK369" i="18"/>
  <c r="AK372" i="18" s="1"/>
  <c r="N304" i="18"/>
  <c r="N256" i="18"/>
  <c r="AH222" i="18"/>
  <c r="AH225" i="18" s="1"/>
  <c r="E222" i="18"/>
  <c r="E225" i="18" s="1"/>
  <c r="AE283" i="18"/>
  <c r="AE285" i="18" s="1"/>
  <c r="AE287" i="18" s="1"/>
  <c r="AE188" i="18" s="1"/>
  <c r="AE153" i="18"/>
  <c r="AI113" i="18"/>
  <c r="AI115" i="18" s="1"/>
  <c r="AL113" i="18"/>
  <c r="AL115" i="18" s="1"/>
  <c r="O113" i="18"/>
  <c r="O115" i="18" s="1"/>
  <c r="L31" i="18"/>
  <c r="F306" i="18"/>
  <c r="AJ279" i="18"/>
  <c r="E240" i="18"/>
  <c r="K46" i="18"/>
  <c r="O255" i="8" s="1"/>
  <c r="O205" i="8" s="1"/>
  <c r="I361" i="18"/>
  <c r="M15" i="18"/>
  <c r="J13" i="18"/>
  <c r="L33" i="18"/>
  <c r="C226" i="18"/>
  <c r="C246" i="18"/>
  <c r="C247" i="18" s="1"/>
  <c r="C248" i="18" s="1"/>
  <c r="C249" i="18" s="1"/>
  <c r="M246" i="18"/>
  <c r="M247" i="18" s="1"/>
  <c r="M248" i="18" s="1"/>
  <c r="M249" i="18" s="1"/>
  <c r="M226" i="18"/>
  <c r="L282" i="18"/>
  <c r="L283" i="18" s="1"/>
  <c r="L402" i="18"/>
  <c r="L273" i="18"/>
  <c r="L275" i="18" s="1"/>
  <c r="K240" i="18"/>
  <c r="N140" i="18"/>
  <c r="M473" i="18"/>
  <c r="AM469" i="18"/>
  <c r="J452" i="18"/>
  <c r="AL402" i="18"/>
  <c r="M361" i="18"/>
  <c r="F361" i="18"/>
  <c r="AN303" i="18"/>
  <c r="K273" i="18"/>
  <c r="K275" i="18" s="1"/>
  <c r="L142" i="18"/>
  <c r="P223" i="8" s="1"/>
  <c r="P79" i="3" s="1"/>
  <c r="P90" i="3" s="1"/>
  <c r="G29" i="18"/>
  <c r="N61" i="18"/>
  <c r="G469" i="18"/>
  <c r="AK436" i="18"/>
  <c r="O405" i="18"/>
  <c r="H376" i="18"/>
  <c r="H386" i="18" s="1"/>
  <c r="AI362" i="18"/>
  <c r="J362" i="18"/>
  <c r="G360" i="18"/>
  <c r="AH273" i="18"/>
  <c r="AH275" i="18" s="1"/>
  <c r="AJ261" i="18"/>
  <c r="AJ262" i="18" s="1"/>
  <c r="AG260" i="18"/>
  <c r="E226" i="18"/>
  <c r="M191" i="18"/>
  <c r="AQ377" i="18"/>
  <c r="AQ334" i="18" s="1"/>
  <c r="AQ473" i="18" s="1"/>
  <c r="M113" i="18"/>
  <c r="M115" i="18" s="1"/>
  <c r="AH138" i="18"/>
  <c r="AH143" i="18" s="1"/>
  <c r="K88" i="18"/>
  <c r="AJ73" i="18"/>
  <c r="N54" i="18"/>
  <c r="N57" i="18" s="1"/>
  <c r="M42" i="18"/>
  <c r="O41" i="18"/>
  <c r="AO371" i="18"/>
  <c r="AD175" i="18"/>
  <c r="AD178" i="18" s="1"/>
  <c r="AD184" i="18" s="1"/>
  <c r="AD129" i="18" s="1"/>
  <c r="F452" i="18"/>
  <c r="G453" i="18"/>
  <c r="G462" i="18" s="1"/>
  <c r="AJ436" i="18"/>
  <c r="M436" i="18"/>
  <c r="J391" i="18"/>
  <c r="J393" i="18" s="1"/>
  <c r="AD386" i="18"/>
  <c r="AJ387" i="18"/>
  <c r="AJ371" i="18" s="1"/>
  <c r="AJ372" i="18" s="1"/>
  <c r="AK386" i="18"/>
  <c r="I362" i="18"/>
  <c r="AM360" i="18"/>
  <c r="AD360" i="18"/>
  <c r="AO302" i="18"/>
  <c r="AD279" i="18"/>
  <c r="O263" i="18"/>
  <c r="O264" i="18" s="1"/>
  <c r="AI257" i="18"/>
  <c r="AI267" i="18" s="1"/>
  <c r="J255" i="18"/>
  <c r="AK222" i="18"/>
  <c r="AK242" i="18" s="1"/>
  <c r="AK243" i="18" s="1"/>
  <c r="AK244" i="18" s="1"/>
  <c r="AK245" i="18" s="1"/>
  <c r="O222" i="18"/>
  <c r="O225" i="18" s="1"/>
  <c r="M127" i="18"/>
  <c r="AF113" i="18"/>
  <c r="AF115" i="18" s="1"/>
  <c r="AJ113" i="18"/>
  <c r="AJ115" i="18" s="1"/>
  <c r="K113" i="18"/>
  <c r="K115" i="18" s="1"/>
  <c r="AE88" i="18"/>
  <c r="AL72" i="18"/>
  <c r="K43" i="18"/>
  <c r="K42" i="18"/>
  <c r="K175" i="18"/>
  <c r="O264" i="8" s="1"/>
  <c r="G118" i="18"/>
  <c r="G119" i="18" s="1"/>
  <c r="AF453" i="18"/>
  <c r="AF462" i="18" s="1"/>
  <c r="J428" i="18"/>
  <c r="J361" i="18"/>
  <c r="M360" i="18"/>
  <c r="D337" i="18"/>
  <c r="AH481" i="18" s="1"/>
  <c r="O279" i="18"/>
  <c r="AO286" i="18"/>
  <c r="AF273" i="18"/>
  <c r="AF275" i="18" s="1"/>
  <c r="G273" i="18"/>
  <c r="G275" i="18" s="1"/>
  <c r="K263" i="18"/>
  <c r="K264" i="18" s="1"/>
  <c r="AK246" i="18"/>
  <c r="AK247" i="18" s="1"/>
  <c r="AK248" i="18" s="1"/>
  <c r="AK249" i="18" s="1"/>
  <c r="AE476" i="18"/>
  <c r="O224" i="18"/>
  <c r="O246" i="18" s="1"/>
  <c r="O247" i="18" s="1"/>
  <c r="O248" i="18" s="1"/>
  <c r="O249" i="18" s="1"/>
  <c r="AK192" i="18"/>
  <c r="AK352" i="18"/>
  <c r="N272" i="18"/>
  <c r="N402" i="18" s="1"/>
  <c r="G143" i="18"/>
  <c r="G154" i="18" s="1"/>
  <c r="F128" i="18"/>
  <c r="R377" i="18"/>
  <c r="R334" i="18" s="1"/>
  <c r="R473" i="18" s="1"/>
  <c r="AM113" i="18"/>
  <c r="AM115" i="18" s="1"/>
  <c r="D113" i="18"/>
  <c r="E99" i="2"/>
  <c r="J409" i="18"/>
  <c r="AO303" i="18"/>
  <c r="AL240" i="18"/>
  <c r="G27" i="18"/>
  <c r="H428" i="18"/>
  <c r="K402" i="18"/>
  <c r="AM390" i="18"/>
  <c r="AM396" i="18" s="1"/>
  <c r="AL279" i="18"/>
  <c r="N279" i="18"/>
  <c r="AN286" i="18"/>
  <c r="E143" i="18"/>
  <c r="E154" i="18" s="1"/>
  <c r="M128" i="18"/>
  <c r="I127" i="18"/>
  <c r="C159" i="18"/>
  <c r="C162" i="18" s="1"/>
  <c r="C179" i="18" s="1"/>
  <c r="C124" i="18" s="1"/>
  <c r="C113" i="18"/>
  <c r="C115" i="18" s="1"/>
  <c r="AH113" i="18"/>
  <c r="AH115" i="18" s="1"/>
  <c r="N113" i="18"/>
  <c r="G28" i="18"/>
  <c r="E98" i="2"/>
  <c r="AI175" i="18"/>
  <c r="AW264" i="8" s="1"/>
  <c r="AM436" i="18"/>
  <c r="AE436" i="18"/>
  <c r="AK388" i="18"/>
  <c r="O388" i="18"/>
  <c r="AN388" i="18" s="1"/>
  <c r="L370" i="18"/>
  <c r="AD362" i="18"/>
  <c r="F362" i="18"/>
  <c r="AJ306" i="18"/>
  <c r="AF304" i="18"/>
  <c r="M279" i="18"/>
  <c r="AD273" i="18"/>
  <c r="AD275" i="18" s="1"/>
  <c r="AD240" i="18"/>
  <c r="AK153" i="18"/>
  <c r="F228" i="18"/>
  <c r="I59" i="18"/>
  <c r="G48" i="18"/>
  <c r="AK46" i="18"/>
  <c r="H32" i="18"/>
  <c r="O72" i="18"/>
  <c r="O73" i="18"/>
  <c r="L337" i="18"/>
  <c r="AL481" i="18" s="1"/>
  <c r="AE143" i="18"/>
  <c r="AM183" i="18"/>
  <c r="AM240" i="18"/>
  <c r="AI183" i="18"/>
  <c r="AI128" i="18" s="1"/>
  <c r="AI240" i="18"/>
  <c r="F111" i="18"/>
  <c r="F113" i="18" s="1"/>
  <c r="F370" i="18"/>
  <c r="F386" i="18" s="1"/>
  <c r="F182" i="18"/>
  <c r="F127" i="18" s="1"/>
  <c r="D376" i="18"/>
  <c r="D378" i="18" s="1"/>
  <c r="D114" i="18"/>
  <c r="E282" i="18"/>
  <c r="E283" i="18" s="1"/>
  <c r="E285" i="18" s="1"/>
  <c r="E287" i="18" s="1"/>
  <c r="E188" i="18" s="1"/>
  <c r="E273" i="18"/>
  <c r="E275" i="18" s="1"/>
  <c r="N376" i="18"/>
  <c r="N114" i="18"/>
  <c r="N182" i="18"/>
  <c r="J337" i="18"/>
  <c r="AK481" i="18" s="1"/>
  <c r="J377" i="18"/>
  <c r="I329" i="18"/>
  <c r="I222" i="18"/>
  <c r="I225" i="18" s="1"/>
  <c r="H183" i="18"/>
  <c r="H128" i="18" s="1"/>
  <c r="H240" i="18"/>
  <c r="G387" i="18"/>
  <c r="G371" i="18" s="1"/>
  <c r="G476" i="18"/>
  <c r="AH284" i="18"/>
  <c r="AH279" i="18"/>
  <c r="AF284" i="18"/>
  <c r="AF279" i="18"/>
  <c r="M263" i="18"/>
  <c r="M264" i="18" s="1"/>
  <c r="M261" i="18"/>
  <c r="AL246" i="18"/>
  <c r="AL247" i="18" s="1"/>
  <c r="AL248" i="18" s="1"/>
  <c r="AL249" i="18" s="1"/>
  <c r="AL473" i="18"/>
  <c r="AL387" i="18"/>
  <c r="AL371" i="18" s="1"/>
  <c r="AH473" i="18"/>
  <c r="AH387" i="18"/>
  <c r="AH371" i="18" s="1"/>
  <c r="AD473" i="18"/>
  <c r="AD387" i="18"/>
  <c r="AD371" i="18" s="1"/>
  <c r="AD372" i="18" s="1"/>
  <c r="G88" i="18"/>
  <c r="G90" i="18" s="1"/>
  <c r="K162" i="8" s="1"/>
  <c r="G224" i="18"/>
  <c r="G226" i="18" s="1"/>
  <c r="O71" i="18"/>
  <c r="M26" i="18"/>
  <c r="M469" i="18"/>
  <c r="M28" i="18"/>
  <c r="L24" i="18"/>
  <c r="L32" i="18"/>
  <c r="AJ282" i="18"/>
  <c r="AJ283" i="18" s="1"/>
  <c r="AJ285" i="18" s="1"/>
  <c r="AJ287" i="18" s="1"/>
  <c r="AJ188" i="18" s="1"/>
  <c r="AJ273" i="18"/>
  <c r="AJ275" i="18" s="1"/>
  <c r="M282" i="18"/>
  <c r="M283" i="18" s="1"/>
  <c r="M285" i="18" s="1"/>
  <c r="M287" i="18" s="1"/>
  <c r="M188" i="18" s="1"/>
  <c r="M273" i="18"/>
  <c r="M275" i="18" s="1"/>
  <c r="G283" i="18"/>
  <c r="G285" i="18" s="1"/>
  <c r="G287" i="18" s="1"/>
  <c r="G188" i="18" s="1"/>
  <c r="H152" i="18"/>
  <c r="AJ192" i="18"/>
  <c r="AI153" i="18"/>
  <c r="AI191" i="18"/>
  <c r="AF89" i="18"/>
  <c r="AF159" i="18"/>
  <c r="AF162" i="18" s="1"/>
  <c r="AF179" i="18" s="1"/>
  <c r="AF185" i="18" s="1"/>
  <c r="AF156" i="18"/>
  <c r="AD88" i="18"/>
  <c r="AD224" i="18"/>
  <c r="O282" i="18"/>
  <c r="O283" i="18" s="1"/>
  <c r="O285" i="18" s="1"/>
  <c r="O287" i="18" s="1"/>
  <c r="O188" i="18" s="1"/>
  <c r="O402" i="18"/>
  <c r="AN402" i="18" s="1"/>
  <c r="O273" i="18"/>
  <c r="O275" i="18" s="1"/>
  <c r="AE89" i="18"/>
  <c r="AE156" i="18"/>
  <c r="D183" i="18"/>
  <c r="D128" i="18" s="1"/>
  <c r="D240" i="18"/>
  <c r="E175" i="18"/>
  <c r="E178" i="18" s="1"/>
  <c r="E118" i="18"/>
  <c r="E119" i="18" s="1"/>
  <c r="AG15" i="18"/>
  <c r="AG42" i="18"/>
  <c r="AG41" i="18"/>
  <c r="AG43" i="18"/>
  <c r="AQ301" i="18"/>
  <c r="AQ302" i="18"/>
  <c r="AQ303" i="18"/>
  <c r="K191" i="18"/>
  <c r="I183" i="18"/>
  <c r="I128" i="18" s="1"/>
  <c r="I240" i="18"/>
  <c r="M48" i="18"/>
  <c r="M47" i="18" s="1"/>
  <c r="Q258" i="8" s="1"/>
  <c r="AG175" i="18"/>
  <c r="AG178" i="18" s="1"/>
  <c r="AG361" i="18"/>
  <c r="AH365" i="18" s="1"/>
  <c r="AG118" i="18"/>
  <c r="AG119" i="18" s="1"/>
  <c r="AG240" i="18"/>
  <c r="AG360" i="18"/>
  <c r="AG364" i="18" s="1"/>
  <c r="AG362" i="18"/>
  <c r="O175" i="18"/>
  <c r="O178" i="18" s="1"/>
  <c r="O467" i="18" s="1"/>
  <c r="O122" i="18"/>
  <c r="O474" i="18" s="1"/>
  <c r="O469" i="18"/>
  <c r="O240" i="18"/>
  <c r="AL453" i="18"/>
  <c r="AL462" i="18" s="1"/>
  <c r="R254" i="18"/>
  <c r="R450" i="18" s="1"/>
  <c r="AO450" i="18" s="1"/>
  <c r="AO254" i="18" s="1"/>
  <c r="AP254" i="18" s="1"/>
  <c r="Q450" i="18"/>
  <c r="AE159" i="18"/>
  <c r="AE162" i="18" s="1"/>
  <c r="AE179" i="18" s="1"/>
  <c r="AE185" i="18" s="1"/>
  <c r="M56" i="18"/>
  <c r="M58" i="18"/>
  <c r="M64" i="18"/>
  <c r="H445" i="18"/>
  <c r="K409" i="18"/>
  <c r="AE382" i="18"/>
  <c r="AG378" i="18"/>
  <c r="AL369" i="18"/>
  <c r="AL381" i="18" s="1"/>
  <c r="AD304" i="18"/>
  <c r="AF257" i="18"/>
  <c r="AK257" i="18"/>
  <c r="AK268" i="18" s="1"/>
  <c r="M257" i="18"/>
  <c r="J253" i="18"/>
  <c r="D255" i="18"/>
  <c r="AH246" i="18"/>
  <c r="AH247" i="18" s="1"/>
  <c r="AH248" i="18" s="1"/>
  <c r="AH249" i="18" s="1"/>
  <c r="N236" i="18"/>
  <c r="AH283" i="18"/>
  <c r="O352" i="18"/>
  <c r="AI127" i="18"/>
  <c r="M118" i="18"/>
  <c r="M119" i="18" s="1"/>
  <c r="AL88" i="18"/>
  <c r="J228" i="18"/>
  <c r="M71" i="18"/>
  <c r="AL58" i="18"/>
  <c r="O56" i="18"/>
  <c r="I48" i="18"/>
  <c r="AE42" i="18"/>
  <c r="AM41" i="18"/>
  <c r="M41" i="18"/>
  <c r="AL29" i="18"/>
  <c r="G175" i="18"/>
  <c r="K264" i="8" s="1"/>
  <c r="AF15" i="18"/>
  <c r="H13" i="18"/>
  <c r="F12" i="18"/>
  <c r="O10" i="18"/>
  <c r="J9" i="18"/>
  <c r="I90" i="2"/>
  <c r="I453" i="18"/>
  <c r="I462" i="18" s="1"/>
  <c r="AF384" i="18"/>
  <c r="K372" i="18"/>
  <c r="AD113" i="18"/>
  <c r="AD115" i="18" s="1"/>
  <c r="O42" i="18"/>
  <c r="O46" i="18"/>
  <c r="O34" i="18" s="1"/>
  <c r="N428" i="18"/>
  <c r="AE378" i="18"/>
  <c r="AJ378" i="18"/>
  <c r="O386" i="18"/>
  <c r="G386" i="18"/>
  <c r="G352" i="18"/>
  <c r="AR371" i="18"/>
  <c r="AR333" i="18" s="1"/>
  <c r="AR473" i="18" s="1"/>
  <c r="F337" i="18"/>
  <c r="AI481" i="18" s="1"/>
  <c r="J256" i="18"/>
  <c r="AM283" i="18"/>
  <c r="AM285" i="18" s="1"/>
  <c r="AM287" i="18" s="1"/>
  <c r="AM188" i="18" s="1"/>
  <c r="AD283" i="18"/>
  <c r="AD285" i="18" s="1"/>
  <c r="AD287" i="18" s="1"/>
  <c r="AD188" i="18" s="1"/>
  <c r="AE352" i="18"/>
  <c r="AG153" i="18"/>
  <c r="N263" i="18"/>
  <c r="AK88" i="18"/>
  <c r="AK90" i="18" s="1"/>
  <c r="AY162" i="8" s="1"/>
  <c r="E88" i="18"/>
  <c r="E90" i="18" s="1"/>
  <c r="I162" i="8" s="1"/>
  <c r="D325" i="18"/>
  <c r="D329" i="18" s="1"/>
  <c r="M73" i="18"/>
  <c r="AL64" i="18"/>
  <c r="J54" i="18"/>
  <c r="J58" i="18" s="1"/>
  <c r="C43" i="18"/>
  <c r="M34" i="18"/>
  <c r="AM175" i="18"/>
  <c r="AM178" i="18" s="1"/>
  <c r="AM467" i="18" s="1"/>
  <c r="N136" i="18"/>
  <c r="N138" i="18" s="1"/>
  <c r="J118" i="18"/>
  <c r="J119" i="18" s="1"/>
  <c r="AM10" i="18"/>
  <c r="Q39" i="18"/>
  <c r="Q41" i="18" s="1"/>
  <c r="E453" i="18"/>
  <c r="E462" i="18" s="1"/>
  <c r="L428" i="18"/>
  <c r="AJ386" i="18"/>
  <c r="AF383" i="18"/>
  <c r="L113" i="18"/>
  <c r="L115" i="18" s="1"/>
  <c r="D435" i="18"/>
  <c r="K436" i="18"/>
  <c r="K405" i="18"/>
  <c r="J435" i="18"/>
  <c r="AI386" i="18"/>
  <c r="M386" i="18"/>
  <c r="D256" i="18"/>
  <c r="N255" i="18"/>
  <c r="L236" i="18"/>
  <c r="AL352" i="18"/>
  <c r="AD352" i="18"/>
  <c r="C156" i="18"/>
  <c r="L182" i="18"/>
  <c r="L127" i="18" s="1"/>
  <c r="O128" i="18"/>
  <c r="AG128" i="18"/>
  <c r="AF88" i="18"/>
  <c r="M88" i="18"/>
  <c r="M90" i="18" s="1"/>
  <c r="Q162" i="8" s="1"/>
  <c r="J113" i="18"/>
  <c r="J115" i="18" s="1"/>
  <c r="H182" i="18"/>
  <c r="H127" i="18" s="1"/>
  <c r="C88" i="18"/>
  <c r="C90" i="18" s="1"/>
  <c r="AK64" i="18"/>
  <c r="I58" i="18"/>
  <c r="AL48" i="18"/>
  <c r="I175" i="18"/>
  <c r="I178" i="18" s="1"/>
  <c r="M269" i="8" s="1"/>
  <c r="F175" i="18"/>
  <c r="H14" i="18"/>
  <c r="H7" i="18"/>
  <c r="I436" i="18"/>
  <c r="AE260" i="18"/>
  <c r="AD257" i="18"/>
  <c r="AD268" i="18" s="1"/>
  <c r="AG283" i="18"/>
  <c r="AG285" i="18" s="1"/>
  <c r="AG287" i="18" s="1"/>
  <c r="AG188" i="18" s="1"/>
  <c r="AM153" i="18"/>
  <c r="BA225" i="8" s="1"/>
  <c r="BA247" i="8" s="1"/>
  <c r="AG127" i="18"/>
  <c r="K72" i="18"/>
  <c r="AL57" i="18"/>
  <c r="M43" i="18"/>
  <c r="AL28" i="18"/>
  <c r="AH118" i="18"/>
  <c r="AH119" i="18" s="1"/>
  <c r="H118" i="18"/>
  <c r="H119" i="18" s="1"/>
  <c r="C175" i="18"/>
  <c r="C178" i="18" s="1"/>
  <c r="C467" i="18" s="1"/>
  <c r="AI15" i="18"/>
  <c r="N14" i="18"/>
  <c r="H39" i="18"/>
  <c r="N9" i="18"/>
  <c r="N460" i="18"/>
  <c r="AE453" i="18"/>
  <c r="AE462" i="18" s="1"/>
  <c r="AK453" i="18"/>
  <c r="AK462" i="18" s="1"/>
  <c r="F435" i="18"/>
  <c r="AG436" i="18"/>
  <c r="AJ382" i="18"/>
  <c r="F428" i="18"/>
  <c r="H256" i="18"/>
  <c r="AM257" i="18"/>
  <c r="AM268" i="18" s="1"/>
  <c r="AE257" i="18"/>
  <c r="L255" i="18"/>
  <c r="AL260" i="18" s="1"/>
  <c r="K283" i="18"/>
  <c r="K285" i="18" s="1"/>
  <c r="K287" i="18" s="1"/>
  <c r="K188" i="18" s="1"/>
  <c r="I283" i="18"/>
  <c r="I285" i="18" s="1"/>
  <c r="I287" i="18" s="1"/>
  <c r="I188" i="18" s="1"/>
  <c r="AF143" i="18"/>
  <c r="O127" i="18"/>
  <c r="AD118" i="18"/>
  <c r="AD119" i="18" s="1"/>
  <c r="Q377" i="18"/>
  <c r="I113" i="18"/>
  <c r="I115" i="18" s="1"/>
  <c r="AM71" i="18"/>
  <c r="J63" i="18"/>
  <c r="AL59" i="18"/>
  <c r="I57" i="18"/>
  <c r="AM43" i="18"/>
  <c r="N33" i="18"/>
  <c r="F14" i="18"/>
  <c r="N8" i="18"/>
  <c r="N31" i="18"/>
  <c r="C105" i="2"/>
  <c r="C77" i="2"/>
  <c r="C88" i="2" s="1"/>
  <c r="C97" i="2"/>
  <c r="C91" i="2"/>
  <c r="C50" i="2"/>
  <c r="D53" i="2" s="1"/>
  <c r="C47" i="2"/>
  <c r="D46" i="2"/>
  <c r="D48" i="2"/>
  <c r="D44" i="2"/>
  <c r="F79" i="2"/>
  <c r="F103" i="2"/>
  <c r="F61" i="2"/>
  <c r="AH453" i="18"/>
  <c r="AH462" i="18" s="1"/>
  <c r="K399" i="18"/>
  <c r="AI381" i="18"/>
  <c r="AE388" i="18"/>
  <c r="AK375" i="18"/>
  <c r="J373" i="18"/>
  <c r="L369" i="18"/>
  <c r="G369" i="18"/>
  <c r="AA304" i="18"/>
  <c r="K226" i="18"/>
  <c r="AK263" i="18"/>
  <c r="AJ88" i="18"/>
  <c r="AJ224" i="18"/>
  <c r="AG453" i="18"/>
  <c r="AG462" i="18" s="1"/>
  <c r="H435" i="18"/>
  <c r="AG384" i="18"/>
  <c r="AH375" i="18"/>
  <c r="AH378" i="18" s="1"/>
  <c r="M375" i="18"/>
  <c r="M378" i="18" s="1"/>
  <c r="I375" i="18"/>
  <c r="I378" i="18" s="1"/>
  <c r="AF372" i="18"/>
  <c r="AJ381" i="18"/>
  <c r="AM262" i="18"/>
  <c r="AG89" i="18"/>
  <c r="AG159" i="18"/>
  <c r="AG162" i="18" s="1"/>
  <c r="AG179" i="18" s="1"/>
  <c r="AG185" i="18" s="1"/>
  <c r="AG130" i="18" s="1"/>
  <c r="J349" i="18"/>
  <c r="AK482" i="18" s="1"/>
  <c r="AI306" i="18"/>
  <c r="I304" i="18"/>
  <c r="F256" i="18"/>
  <c r="K257" i="18"/>
  <c r="AI262" i="18"/>
  <c r="AK191" i="18"/>
  <c r="O191" i="18"/>
  <c r="AF352" i="18"/>
  <c r="L175" i="18"/>
  <c r="L178" i="18" s="1"/>
  <c r="P269" i="8" s="1"/>
  <c r="L118" i="18"/>
  <c r="L119" i="18" s="1"/>
  <c r="L240" i="18"/>
  <c r="H175" i="18"/>
  <c r="H178" i="18" s="1"/>
  <c r="L269" i="8" s="1"/>
  <c r="L219" i="8" s="1"/>
  <c r="H122" i="18"/>
  <c r="H474" i="18" s="1"/>
  <c r="L460" i="18"/>
  <c r="AM453" i="18"/>
  <c r="AM462" i="18" s="1"/>
  <c r="F445" i="18"/>
  <c r="AK409" i="18"/>
  <c r="AK418" i="18" s="1"/>
  <c r="AL390" i="18"/>
  <c r="AL393" i="18" s="1"/>
  <c r="AD384" i="18"/>
  <c r="E369" i="18"/>
  <c r="AL365" i="18"/>
  <c r="K352" i="18"/>
  <c r="L349" i="18"/>
  <c r="AL482" i="18" s="1"/>
  <c r="AM304" i="18"/>
  <c r="P302" i="18"/>
  <c r="AR301" i="18"/>
  <c r="AD263" i="18"/>
  <c r="E257" i="18"/>
  <c r="D236" i="18"/>
  <c r="AF224" i="18"/>
  <c r="Z548" i="18"/>
  <c r="J460" i="18"/>
  <c r="AD453" i="18"/>
  <c r="AD462" i="18" s="1"/>
  <c r="D445" i="18"/>
  <c r="AM409" i="18"/>
  <c r="AM418" i="18" s="1"/>
  <c r="AJ383" i="18"/>
  <c r="AD382" i="18"/>
  <c r="AI383" i="18"/>
  <c r="AL304" i="18"/>
  <c r="AN309" i="18"/>
  <c r="P309" i="18"/>
  <c r="AM263" i="18"/>
  <c r="AH257" i="18"/>
  <c r="AL262" i="18"/>
  <c r="AE262" i="18"/>
  <c r="C453" i="18"/>
  <c r="C462" i="18" s="1"/>
  <c r="AD436" i="18"/>
  <c r="E436" i="18"/>
  <c r="AL409" i="18"/>
  <c r="AL418" i="18" s="1"/>
  <c r="M388" i="18"/>
  <c r="AF381" i="18"/>
  <c r="Q303" i="18"/>
  <c r="AG257" i="18"/>
  <c r="G257" i="18"/>
  <c r="AG156" i="18"/>
  <c r="O453" i="18"/>
  <c r="O462" i="18" s="1"/>
  <c r="AJ453" i="18"/>
  <c r="AJ462" i="18" s="1"/>
  <c r="C436" i="18"/>
  <c r="L409" i="18"/>
  <c r="AD383" i="18"/>
  <c r="C378" i="18"/>
  <c r="AF382" i="18"/>
  <c r="AI388" i="18"/>
  <c r="AM386" i="18"/>
  <c r="AI365" i="18"/>
  <c r="P303" i="18"/>
  <c r="P301" i="18"/>
  <c r="AK261" i="18"/>
  <c r="AK262" i="18" s="1"/>
  <c r="AF260" i="18"/>
  <c r="C257" i="18"/>
  <c r="F259" i="18"/>
  <c r="F148" i="18"/>
  <c r="AD89" i="18"/>
  <c r="AD156" i="18"/>
  <c r="AD159" i="18"/>
  <c r="AD162" i="18" s="1"/>
  <c r="AD179" i="18" s="1"/>
  <c r="Z534" i="18"/>
  <c r="H460" i="18"/>
  <c r="F460" i="18"/>
  <c r="AI453" i="18"/>
  <c r="AI462" i="18" s="1"/>
  <c r="M409" i="18"/>
  <c r="AF388" i="18"/>
  <c r="AM384" i="18"/>
  <c r="N375" i="18"/>
  <c r="AL386" i="18"/>
  <c r="C352" i="18"/>
  <c r="Z306" i="18"/>
  <c r="I259" i="18"/>
  <c r="A2" i="18"/>
  <c r="F240" i="18"/>
  <c r="F236" i="18"/>
  <c r="AJ352" i="18"/>
  <c r="O156" i="18"/>
  <c r="M143" i="18"/>
  <c r="M154" i="18" s="1"/>
  <c r="AK42" i="18"/>
  <c r="AK41" i="18"/>
  <c r="E29" i="18"/>
  <c r="AH175" i="18"/>
  <c r="N171" i="18"/>
  <c r="N128" i="18" s="1"/>
  <c r="AE15" i="18"/>
  <c r="J39" i="18"/>
  <c r="Q23" i="18"/>
  <c r="Q9" i="18" s="1"/>
  <c r="L8" i="18"/>
  <c r="G62" i="2"/>
  <c r="G80" i="2" s="1"/>
  <c r="G89" i="2" s="1"/>
  <c r="D52" i="2"/>
  <c r="D56" i="2"/>
  <c r="D76" i="2"/>
  <c r="D98" i="2" s="1"/>
  <c r="J69" i="18"/>
  <c r="J71" i="18" s="1"/>
  <c r="L122" i="18"/>
  <c r="L474" i="18" s="1"/>
  <c r="E51" i="2"/>
  <c r="L256" i="18"/>
  <c r="AL257" i="18"/>
  <c r="AL267" i="18" s="1"/>
  <c r="AI352" i="18"/>
  <c r="AJ153" i="18"/>
  <c r="AX225" i="8" s="1"/>
  <c r="AX247" i="8" s="1"/>
  <c r="AH128" i="18"/>
  <c r="AH122" i="18"/>
  <c r="AH474" i="18" s="1"/>
  <c r="F118" i="18"/>
  <c r="F119" i="18" s="1"/>
  <c r="H112" i="18"/>
  <c r="H136" i="18"/>
  <c r="I94" i="18" s="1"/>
  <c r="AI88" i="18"/>
  <c r="AI90" i="18" s="1"/>
  <c r="AW162" i="8" s="1"/>
  <c r="L62" i="18"/>
  <c r="AK175" i="18"/>
  <c r="AY264" i="8" s="1"/>
  <c r="AE175" i="18"/>
  <c r="AE178" i="18" s="1"/>
  <c r="AJ15" i="18"/>
  <c r="D39" i="18"/>
  <c r="D42" i="18" s="1"/>
  <c r="G10" i="18"/>
  <c r="H9" i="18"/>
  <c r="E58" i="2"/>
  <c r="J272" i="18"/>
  <c r="AG143" i="18"/>
  <c r="H325" i="18"/>
  <c r="N63" i="18"/>
  <c r="E48" i="18"/>
  <c r="J32" i="18"/>
  <c r="H31" i="18"/>
  <c r="E28" i="18"/>
  <c r="J122" i="18"/>
  <c r="J474" i="18" s="1"/>
  <c r="J8" i="18"/>
  <c r="Z219" i="7"/>
  <c r="AF283" i="18"/>
  <c r="I156" i="18"/>
  <c r="L148" i="18"/>
  <c r="L191" i="18" s="1"/>
  <c r="I143" i="18"/>
  <c r="AH127" i="18"/>
  <c r="J182" i="18"/>
  <c r="J127" i="18" s="1"/>
  <c r="D182" i="18"/>
  <c r="D127" i="18" s="1"/>
  <c r="E113" i="18"/>
  <c r="E115" i="18" s="1"/>
  <c r="F136" i="18"/>
  <c r="AH88" i="18"/>
  <c r="L228" i="18"/>
  <c r="I64" i="18"/>
  <c r="AK59" i="18"/>
  <c r="L54" i="18"/>
  <c r="AH15" i="18"/>
  <c r="E15" i="18"/>
  <c r="J33" i="18"/>
  <c r="L12" i="18"/>
  <c r="N24" i="18"/>
  <c r="N26" i="18" s="1"/>
  <c r="B41" i="2"/>
  <c r="AK283" i="18"/>
  <c r="AK285" i="18" s="1"/>
  <c r="AK287" i="18" s="1"/>
  <c r="AK188" i="18" s="1"/>
  <c r="N148" i="18"/>
  <c r="N191" i="18" s="1"/>
  <c r="J148" i="18"/>
  <c r="AM143" i="18"/>
  <c r="L128" i="18"/>
  <c r="K118" i="18"/>
  <c r="K119" i="18" s="1"/>
  <c r="L136" i="18"/>
  <c r="L138" i="18" s="1"/>
  <c r="M57" i="18"/>
  <c r="J61" i="18"/>
  <c r="AD43" i="18"/>
  <c r="E27" i="18"/>
  <c r="AB4" i="18"/>
  <c r="AH153" i="18"/>
  <c r="H148" i="18"/>
  <c r="H191" i="18" s="1"/>
  <c r="AD143" i="18"/>
  <c r="AD154" i="18" s="1"/>
  <c r="C143" i="18"/>
  <c r="C154" i="18" s="1"/>
  <c r="F122" i="18"/>
  <c r="F474" i="18" s="1"/>
  <c r="AM94" i="18"/>
  <c r="AG88" i="18"/>
  <c r="H228" i="18"/>
  <c r="H476" i="18" s="1"/>
  <c r="AL43" i="18"/>
  <c r="AD42" i="18"/>
  <c r="D136" i="18"/>
  <c r="D138" i="18" s="1"/>
  <c r="D159" i="18" s="1"/>
  <c r="D162" i="18" s="1"/>
  <c r="J12" i="18"/>
  <c r="H8" i="18"/>
  <c r="H63" i="2"/>
  <c r="AI283" i="18"/>
  <c r="AI285" i="18" s="1"/>
  <c r="AI287" i="18" s="1"/>
  <c r="AI188" i="18" s="1"/>
  <c r="AG352" i="18"/>
  <c r="D200" i="18"/>
  <c r="O143" i="18"/>
  <c r="O154" i="18" s="1"/>
  <c r="O409" i="18"/>
  <c r="AI94" i="18"/>
  <c r="L69" i="18"/>
  <c r="L72" i="18" s="1"/>
  <c r="AL42" i="18"/>
  <c r="AL175" i="18"/>
  <c r="AL178" i="18" s="1"/>
  <c r="AZ269" i="8" s="1"/>
  <c r="AZ143" i="8" s="1"/>
  <c r="AZ146" i="8" s="1"/>
  <c r="L13" i="18"/>
  <c r="L86" i="2"/>
  <c r="O86" i="2"/>
  <c r="Z536" i="18"/>
  <c r="AG261" i="18"/>
  <c r="AG262" i="18" s="1"/>
  <c r="AG263" i="18"/>
  <c r="AG382" i="18"/>
  <c r="AI372" i="18"/>
  <c r="L362" i="18"/>
  <c r="L445" i="18"/>
  <c r="N445" i="18"/>
  <c r="AK397" i="18"/>
  <c r="AK393" i="18"/>
  <c r="AK396" i="18"/>
  <c r="J445" i="18"/>
  <c r="AN390" i="18"/>
  <c r="O390" i="18"/>
  <c r="AM378" i="18"/>
  <c r="AG381" i="18"/>
  <c r="AG386" i="18"/>
  <c r="AG383" i="18"/>
  <c r="C386" i="18"/>
  <c r="N407" i="18"/>
  <c r="AE304" i="18"/>
  <c r="AE306" i="18"/>
  <c r="AN448" i="18"/>
  <c r="AF436" i="18"/>
  <c r="N399" i="18"/>
  <c r="AE381" i="18"/>
  <c r="AE386" i="18"/>
  <c r="D349" i="18"/>
  <c r="AL405" i="18"/>
  <c r="AM399" i="18"/>
  <c r="M399" i="18"/>
  <c r="M403" i="18" s="1"/>
  <c r="M453" i="18"/>
  <c r="M462" i="18" s="1"/>
  <c r="M352" i="18"/>
  <c r="AP303" i="18"/>
  <c r="AP301" i="18"/>
  <c r="AP302" i="18"/>
  <c r="D460" i="18"/>
  <c r="K393" i="18"/>
  <c r="D428" i="18"/>
  <c r="F375" i="18"/>
  <c r="K378" i="18"/>
  <c r="O378" i="18"/>
  <c r="AI375" i="18"/>
  <c r="E375" i="18"/>
  <c r="AE372" i="18"/>
  <c r="O372" i="18"/>
  <c r="AM369" i="18"/>
  <c r="M369" i="18"/>
  <c r="M372" i="18" s="1"/>
  <c r="N369" i="18"/>
  <c r="AF378" i="18"/>
  <c r="N349" i="18"/>
  <c r="AM482" i="18" s="1"/>
  <c r="I257" i="18"/>
  <c r="AE383" i="18"/>
  <c r="AD378" i="18"/>
  <c r="AN375" i="18"/>
  <c r="AC304" i="18"/>
  <c r="AC306" i="18"/>
  <c r="R461" i="18"/>
  <c r="M393" i="18"/>
  <c r="AF386" i="18"/>
  <c r="E386" i="18"/>
  <c r="I372" i="18"/>
  <c r="H349" i="18"/>
  <c r="AB304" i="18"/>
  <c r="E304" i="18"/>
  <c r="AG372" i="18"/>
  <c r="M304" i="18"/>
  <c r="I405" i="18"/>
  <c r="E352" i="18"/>
  <c r="F255" i="18"/>
  <c r="AN456" i="18"/>
  <c r="N435" i="18"/>
  <c r="AM382" i="18"/>
  <c r="AH369" i="18"/>
  <c r="AH381" i="18" s="1"/>
  <c r="AJ257" i="18"/>
  <c r="F349" i="18"/>
  <c r="E259" i="18"/>
  <c r="E263" i="18"/>
  <c r="E264" i="18" s="1"/>
  <c r="R303" i="18"/>
  <c r="R301" i="18"/>
  <c r="L435" i="18"/>
  <c r="I408" i="18"/>
  <c r="I409" i="18" s="1"/>
  <c r="AN399" i="18"/>
  <c r="AM405" i="18"/>
  <c r="AG226" i="18"/>
  <c r="G375" i="18"/>
  <c r="AE226" i="18"/>
  <c r="AE246" i="18"/>
  <c r="AE247" i="18" s="1"/>
  <c r="AE248" i="18" s="1"/>
  <c r="AE249" i="18" s="1"/>
  <c r="H337" i="18"/>
  <c r="AJ481" i="18" s="1"/>
  <c r="H255" i="18"/>
  <c r="AN302" i="18"/>
  <c r="Q302" i="18"/>
  <c r="AO333" i="18"/>
  <c r="N253" i="18"/>
  <c r="AH5" i="18"/>
  <c r="C5" i="18"/>
  <c r="L253" i="18"/>
  <c r="H236" i="18"/>
  <c r="F33" i="18"/>
  <c r="D272" i="18"/>
  <c r="AF153" i="18"/>
  <c r="AI226" i="18"/>
  <c r="K138" i="18"/>
  <c r="AN8" i="18"/>
  <c r="AN340" i="18"/>
  <c r="AO36" i="18"/>
  <c r="R21" i="18"/>
  <c r="D148" i="18"/>
  <c r="D191" i="18" s="1"/>
  <c r="F277" i="18"/>
  <c r="AD127" i="18"/>
  <c r="AK10" i="18"/>
  <c r="AF175" i="18"/>
  <c r="AI26" i="18"/>
  <c r="AI28" i="18"/>
  <c r="AI48" i="18"/>
  <c r="AI47" i="18" s="1"/>
  <c r="AW258" i="8" s="1"/>
  <c r="AI34" i="18"/>
  <c r="AI27" i="18"/>
  <c r="AI29" i="18"/>
  <c r="P21" i="18"/>
  <c r="AN36" i="18"/>
  <c r="P39" i="18"/>
  <c r="P43" i="18" s="1"/>
  <c r="Z37" i="6"/>
  <c r="Z38" i="6" s="1"/>
  <c r="P371" i="18"/>
  <c r="P377" i="18"/>
  <c r="N325" i="18"/>
  <c r="AJ10" i="18"/>
  <c r="AJ26" i="18"/>
  <c r="AJ28" i="18"/>
  <c r="AJ48" i="18"/>
  <c r="AJ27" i="18"/>
  <c r="AJ29" i="18"/>
  <c r="L277" i="18"/>
  <c r="D277" i="18"/>
  <c r="J325" i="18"/>
  <c r="L7" i="18"/>
  <c r="A521" i="18"/>
  <c r="AK73" i="18"/>
  <c r="AK72" i="18"/>
  <c r="AK71" i="18"/>
  <c r="F13" i="18"/>
  <c r="F32" i="18"/>
  <c r="D174" i="18"/>
  <c r="D118" i="18" s="1"/>
  <c r="D119" i="18" s="1"/>
  <c r="AK15" i="18"/>
  <c r="AJ46" i="18"/>
  <c r="AJ34" i="18" s="1"/>
  <c r="AJ43" i="18"/>
  <c r="AJ42" i="18"/>
  <c r="I15" i="18"/>
  <c r="I46" i="18"/>
  <c r="I34" i="18" s="1"/>
  <c r="K15" i="18"/>
  <c r="I43" i="18"/>
  <c r="I42" i="18"/>
  <c r="R38" i="18"/>
  <c r="AN38" i="18"/>
  <c r="P23" i="18"/>
  <c r="T71" i="8" s="1"/>
  <c r="J7" i="18"/>
  <c r="J31" i="18"/>
  <c r="J24" i="18"/>
  <c r="K10" i="18"/>
  <c r="K27" i="18"/>
  <c r="K29" i="18"/>
  <c r="K48" i="18"/>
  <c r="K26" i="18"/>
  <c r="K28" i="18"/>
  <c r="F325" i="18"/>
  <c r="F114" i="18"/>
  <c r="AJ175" i="18"/>
  <c r="AX264" i="8" s="1"/>
  <c r="AX213" i="8" s="1"/>
  <c r="F24" i="18"/>
  <c r="F28" i="18" s="1"/>
  <c r="AJ138" i="18"/>
  <c r="AJ94" i="18"/>
  <c r="P8" i="18"/>
  <c r="K58" i="18"/>
  <c r="K64" i="18"/>
  <c r="K57" i="18"/>
  <c r="K56" i="18"/>
  <c r="K59" i="18"/>
  <c r="J175" i="18"/>
  <c r="N264" i="8" s="1"/>
  <c r="I71" i="18"/>
  <c r="I73" i="18"/>
  <c r="J14" i="18"/>
  <c r="H33" i="18"/>
  <c r="AJ64" i="18"/>
  <c r="AM57" i="18"/>
  <c r="Q7" i="18"/>
  <c r="K73" i="18"/>
  <c r="O15" i="18"/>
  <c r="G15" i="18"/>
  <c r="I10" i="18"/>
  <c r="AJ71" i="18"/>
  <c r="O64" i="18"/>
  <c r="AK57" i="18"/>
  <c r="N13" i="18"/>
  <c r="L325" i="18"/>
  <c r="AJ57" i="18"/>
  <c r="AL46" i="18"/>
  <c r="AZ255" i="8" s="1"/>
  <c r="AB7" i="25" s="1"/>
  <c r="AK27" i="18"/>
  <c r="AM72" i="18"/>
  <c r="L61" i="18"/>
  <c r="N39" i="18"/>
  <c r="N69" i="18"/>
  <c r="AM58" i="18"/>
  <c r="F39" i="18"/>
  <c r="H12" i="18"/>
  <c r="R37" i="18"/>
  <c r="Q442" i="18"/>
  <c r="AL138" i="18"/>
  <c r="AK58" i="18"/>
  <c r="AN37" i="18"/>
  <c r="Q8" i="18"/>
  <c r="AM15" i="18"/>
  <c r="L9" i="18"/>
  <c r="N7" i="18"/>
  <c r="J62" i="18"/>
  <c r="AL10" i="18"/>
  <c r="AK94" i="18"/>
  <c r="AM64" i="18"/>
  <c r="AL15" i="18"/>
  <c r="C558" i="18"/>
  <c r="D558" i="18"/>
  <c r="E558" i="18"/>
  <c r="F558" i="18"/>
  <c r="G558" i="18"/>
  <c r="H558" i="18"/>
  <c r="I558" i="18"/>
  <c r="J558" i="18"/>
  <c r="K558" i="18"/>
  <c r="L558" i="18"/>
  <c r="M558" i="18"/>
  <c r="N558" i="18"/>
  <c r="O558" i="18"/>
  <c r="P558" i="18"/>
  <c r="Q558" i="18"/>
  <c r="R558" i="18"/>
  <c r="Z558" i="18"/>
  <c r="AA558" i="18"/>
  <c r="AB558" i="18"/>
  <c r="AC558" i="18"/>
  <c r="AD558" i="18"/>
  <c r="AE558" i="18"/>
  <c r="AF558" i="18"/>
  <c r="AG558" i="18"/>
  <c r="AH558" i="18"/>
  <c r="AI558" i="18"/>
  <c r="AJ558" i="18"/>
  <c r="AK558" i="18"/>
  <c r="AL558" i="18"/>
  <c r="AM558" i="18"/>
  <c r="AN558" i="18"/>
  <c r="AO558" i="18"/>
  <c r="AP558" i="18"/>
  <c r="AQ558" i="18"/>
  <c r="AR558" i="18"/>
  <c r="Z560" i="18"/>
  <c r="AA560" i="18"/>
  <c r="B566" i="18"/>
  <c r="B567" i="18"/>
  <c r="B570" i="18"/>
  <c r="B578" i="18"/>
  <c r="B579" i="18"/>
  <c r="B580" i="18"/>
  <c r="K1" i="21"/>
  <c r="AQ5" i="8"/>
  <c r="AP5" i="8" s="1"/>
  <c r="AO5" i="8" s="1"/>
  <c r="AN5" i="8" s="1"/>
  <c r="AM5" i="8" s="1"/>
  <c r="AL5" i="8" s="1"/>
  <c r="AK5" i="8" s="1"/>
  <c r="AJ5" i="8" s="1"/>
  <c r="AI5" i="8" s="1"/>
  <c r="AH5" i="8" s="1"/>
  <c r="AG5" i="8" s="1"/>
  <c r="AF5" i="8" s="1"/>
  <c r="AE5" i="8" s="1"/>
  <c r="AD5" i="8" s="1"/>
  <c r="AC5" i="8" s="1"/>
  <c r="AB5" i="8" s="1"/>
  <c r="AA5" i="8" s="1"/>
  <c r="Z5" i="8" s="1"/>
  <c r="AX5" i="8"/>
  <c r="AY5" i="8" s="1"/>
  <c r="AZ5" i="8" s="1"/>
  <c r="BA5" i="8" s="1"/>
  <c r="BB5" i="8" s="1"/>
  <c r="BC5" i="8" s="1"/>
  <c r="D9" i="8"/>
  <c r="F9" i="8"/>
  <c r="G21" i="8" s="1"/>
  <c r="H9" i="8"/>
  <c r="H21" i="8" s="1"/>
  <c r="J9" i="8"/>
  <c r="K9" i="8"/>
  <c r="K15" i="8" s="1"/>
  <c r="L9" i="8"/>
  <c r="M9" i="8"/>
  <c r="N9" i="8"/>
  <c r="O9" i="8"/>
  <c r="P9" i="8"/>
  <c r="Q9" i="8"/>
  <c r="R9" i="8"/>
  <c r="S9" i="8"/>
  <c r="AW9" i="8"/>
  <c r="AW15" i="8" s="1"/>
  <c r="AX9" i="8"/>
  <c r="AY9" i="8"/>
  <c r="AZ9" i="8"/>
  <c r="BA9" i="8"/>
  <c r="D10" i="8"/>
  <c r="F10" i="8"/>
  <c r="H10" i="8"/>
  <c r="I22" i="8" s="1"/>
  <c r="J10" i="8"/>
  <c r="J22" i="8" s="1"/>
  <c r="K10" i="8"/>
  <c r="L10" i="8"/>
  <c r="M10" i="8"/>
  <c r="N10" i="8"/>
  <c r="O10" i="8"/>
  <c r="P10" i="8"/>
  <c r="Q10" i="8"/>
  <c r="R10" i="8"/>
  <c r="S10" i="8"/>
  <c r="AW10" i="8"/>
  <c r="AW16" i="8" s="1"/>
  <c r="AX10" i="8"/>
  <c r="AY10" i="8"/>
  <c r="AZ10" i="8"/>
  <c r="BA10" i="8"/>
  <c r="D11" i="8"/>
  <c r="F11" i="8"/>
  <c r="G23" i="8" s="1"/>
  <c r="H11" i="8"/>
  <c r="J11" i="8"/>
  <c r="K11" i="8"/>
  <c r="L11" i="8"/>
  <c r="M11" i="8"/>
  <c r="N11" i="8"/>
  <c r="O11" i="8"/>
  <c r="P11" i="8"/>
  <c r="Q11" i="8"/>
  <c r="R11" i="8"/>
  <c r="S11" i="8"/>
  <c r="AW11" i="8"/>
  <c r="AW17" i="8" s="1"/>
  <c r="AX11" i="8"/>
  <c r="AY11" i="8"/>
  <c r="AZ11" i="8"/>
  <c r="BA11" i="8"/>
  <c r="C12" i="8"/>
  <c r="E12" i="8"/>
  <c r="G12" i="8"/>
  <c r="G35" i="8" s="1"/>
  <c r="I12" i="8"/>
  <c r="AE255" i="8"/>
  <c r="G7" i="25" s="1"/>
  <c r="AF255" i="8"/>
  <c r="AG255" i="8"/>
  <c r="AH255" i="8"/>
  <c r="AI255" i="8"/>
  <c r="AJ255" i="8"/>
  <c r="L7" i="25" s="1"/>
  <c r="AK255" i="8"/>
  <c r="AL255" i="8"/>
  <c r="AM255" i="8"/>
  <c r="O7" i="25" s="1"/>
  <c r="AN255" i="8"/>
  <c r="AO255" i="8"/>
  <c r="AP255" i="8"/>
  <c r="AQ255" i="8"/>
  <c r="AR12" i="8"/>
  <c r="AR35" i="8" s="1"/>
  <c r="AS12" i="8"/>
  <c r="AS42" i="8" s="1"/>
  <c r="AT12" i="8"/>
  <c r="AU12" i="8"/>
  <c r="AU34" i="8" s="1"/>
  <c r="AV12" i="8"/>
  <c r="AV35" i="8" s="1"/>
  <c r="A15" i="8"/>
  <c r="A21" i="8" s="1"/>
  <c r="A27" i="8" s="1"/>
  <c r="G15" i="8"/>
  <c r="I15" i="8"/>
  <c r="AS15" i="8"/>
  <c r="AT15" i="8"/>
  <c r="AU15" i="8"/>
  <c r="AV15" i="8"/>
  <c r="A16" i="8"/>
  <c r="A22" i="8" s="1"/>
  <c r="A28" i="8" s="1"/>
  <c r="G16" i="8"/>
  <c r="I16" i="8"/>
  <c r="AS16" i="8"/>
  <c r="AT16" i="8"/>
  <c r="AU16" i="8"/>
  <c r="AV16" i="8"/>
  <c r="A17" i="8"/>
  <c r="A23" i="8" s="1"/>
  <c r="A29" i="8" s="1"/>
  <c r="G17" i="8"/>
  <c r="I17" i="8"/>
  <c r="AS17" i="8"/>
  <c r="AT17" i="8"/>
  <c r="AU17" i="8"/>
  <c r="AV17" i="8"/>
  <c r="A18" i="8"/>
  <c r="AS21" i="8"/>
  <c r="AS27" i="8" s="1"/>
  <c r="AT21" i="8"/>
  <c r="AT27" i="8" s="1"/>
  <c r="AU21" i="8"/>
  <c r="AU27" i="8" s="1"/>
  <c r="AV21" i="8"/>
  <c r="AV27" i="8" s="1"/>
  <c r="AS22" i="8"/>
  <c r="AS28" i="8" s="1"/>
  <c r="AT22" i="8"/>
  <c r="AT28" i="8" s="1"/>
  <c r="AU22" i="8"/>
  <c r="AU28" i="8" s="1"/>
  <c r="AV22" i="8"/>
  <c r="AV28" i="8" s="1"/>
  <c r="AS23" i="8"/>
  <c r="AS29" i="8" s="1"/>
  <c r="AT23" i="8"/>
  <c r="AT29" i="8" s="1"/>
  <c r="AU23" i="8"/>
  <c r="AU29" i="8" s="1"/>
  <c r="AV23" i="8"/>
  <c r="AV29" i="8" s="1"/>
  <c r="G27" i="8"/>
  <c r="I27" i="8"/>
  <c r="G28" i="8"/>
  <c r="I28" i="8"/>
  <c r="G29" i="8"/>
  <c r="I29" i="8"/>
  <c r="BB33" i="8"/>
  <c r="BB34" i="8"/>
  <c r="BB35" i="8"/>
  <c r="M39" i="8"/>
  <c r="N39" i="8"/>
  <c r="O39" i="8"/>
  <c r="P39" i="8"/>
  <c r="Q39" i="8"/>
  <c r="R39" i="8"/>
  <c r="S39" i="8"/>
  <c r="AX39" i="8"/>
  <c r="AY39" i="8"/>
  <c r="AZ39" i="8"/>
  <c r="BA39" i="8"/>
  <c r="BB45" i="8" s="1"/>
  <c r="M40" i="8"/>
  <c r="N40" i="8"/>
  <c r="O40" i="8"/>
  <c r="P40" i="8"/>
  <c r="Q40" i="8"/>
  <c r="R40" i="8"/>
  <c r="S40" i="8"/>
  <c r="AX40" i="8"/>
  <c r="AY40" i="8"/>
  <c r="AZ40" i="8"/>
  <c r="BA40" i="8"/>
  <c r="BB46" i="8" s="1"/>
  <c r="M41" i="8"/>
  <c r="N41" i="8"/>
  <c r="O41" i="8"/>
  <c r="P41" i="8"/>
  <c r="Q41" i="8"/>
  <c r="R41" i="8"/>
  <c r="S41" i="8"/>
  <c r="AX41" i="8"/>
  <c r="AY41" i="8"/>
  <c r="AZ41" i="8"/>
  <c r="BA41" i="8"/>
  <c r="BB47" i="8" s="1"/>
  <c r="A45" i="8"/>
  <c r="A63" i="8" s="1"/>
  <c r="A46" i="8"/>
  <c r="A52" i="8" s="1"/>
  <c r="A58" i="8" s="1"/>
  <c r="A47" i="8"/>
  <c r="A48" i="8"/>
  <c r="BB63" i="8"/>
  <c r="BB64" i="8"/>
  <c r="BB65" i="8"/>
  <c r="I69" i="8"/>
  <c r="I93" i="8" s="1"/>
  <c r="J69" i="8"/>
  <c r="K69" i="8"/>
  <c r="L69" i="8"/>
  <c r="M69" i="8"/>
  <c r="N69" i="8"/>
  <c r="O69" i="8"/>
  <c r="P69" i="8"/>
  <c r="Q69" i="8"/>
  <c r="R69" i="8"/>
  <c r="S69" i="8"/>
  <c r="AW69" i="8"/>
  <c r="AX69" i="8"/>
  <c r="AY69" i="8"/>
  <c r="AZ69" i="8"/>
  <c r="BA69" i="8"/>
  <c r="I70" i="8"/>
  <c r="I94" i="8" s="1"/>
  <c r="J70" i="8"/>
  <c r="K70" i="8"/>
  <c r="L70" i="8"/>
  <c r="M70" i="8"/>
  <c r="N70" i="8"/>
  <c r="O70" i="8"/>
  <c r="P70" i="8"/>
  <c r="Q70" i="8"/>
  <c r="R70" i="8"/>
  <c r="S70" i="8"/>
  <c r="T70" i="8"/>
  <c r="AW70" i="8"/>
  <c r="AX70" i="8"/>
  <c r="AY70" i="8"/>
  <c r="AZ70" i="8"/>
  <c r="BA70" i="8"/>
  <c r="I71" i="8"/>
  <c r="J71" i="8"/>
  <c r="K71" i="8"/>
  <c r="L71" i="8"/>
  <c r="M71" i="8"/>
  <c r="N71" i="8"/>
  <c r="O71" i="8"/>
  <c r="P71" i="8"/>
  <c r="Q71" i="8"/>
  <c r="R71" i="8"/>
  <c r="S71" i="8"/>
  <c r="AW71" i="8"/>
  <c r="AX71" i="8"/>
  <c r="AY71" i="8"/>
  <c r="AZ71" i="8"/>
  <c r="BA71" i="8"/>
  <c r="I72" i="8"/>
  <c r="K72" i="8"/>
  <c r="M72" i="8"/>
  <c r="O72" i="8"/>
  <c r="Q72" i="8"/>
  <c r="S72" i="8"/>
  <c r="AW72" i="8"/>
  <c r="AX72" i="8"/>
  <c r="AY72" i="8"/>
  <c r="AZ72" i="8"/>
  <c r="BA72" i="8"/>
  <c r="A75" i="8"/>
  <c r="A81" i="8" s="1"/>
  <c r="A87" i="8" s="1"/>
  <c r="A76" i="8"/>
  <c r="A82" i="8" s="1"/>
  <c r="A88" i="8" s="1"/>
  <c r="A77" i="8"/>
  <c r="A101" i="8" s="1"/>
  <c r="A78" i="8"/>
  <c r="A93" i="8"/>
  <c r="A94" i="8"/>
  <c r="A95" i="8"/>
  <c r="A96" i="8"/>
  <c r="C268" i="8"/>
  <c r="C218" i="8" s="1"/>
  <c r="C263" i="8"/>
  <c r="C212" i="8" s="1"/>
  <c r="C255" i="8"/>
  <c r="C380" i="8"/>
  <c r="C382" i="8"/>
  <c r="D268" i="8"/>
  <c r="D218" i="8" s="1"/>
  <c r="D263" i="8"/>
  <c r="D237" i="8" s="1"/>
  <c r="D255" i="8"/>
  <c r="D380" i="8"/>
  <c r="D382" i="8"/>
  <c r="E268" i="8"/>
  <c r="E242" i="8" s="1"/>
  <c r="E263" i="8"/>
  <c r="F263" i="8" s="1"/>
  <c r="E255" i="8"/>
  <c r="E230" i="8" s="1"/>
  <c r="E380" i="8"/>
  <c r="F380" i="8" s="1"/>
  <c r="E382" i="8"/>
  <c r="F382" i="8" s="1"/>
  <c r="AU264" i="8"/>
  <c r="G106" i="8"/>
  <c r="G114" i="8" s="1"/>
  <c r="AV264" i="8"/>
  <c r="AV269" i="8" s="1"/>
  <c r="AV271" i="8" s="1"/>
  <c r="H380" i="8"/>
  <c r="H382" i="8"/>
  <c r="I106" i="8"/>
  <c r="I114" i="8" s="1"/>
  <c r="J380" i="8"/>
  <c r="J382" i="8"/>
  <c r="K380" i="8"/>
  <c r="K382" i="8"/>
  <c r="L380" i="8"/>
  <c r="L382" i="8"/>
  <c r="M380" i="8"/>
  <c r="M382" i="8"/>
  <c r="N380" i="8"/>
  <c r="N382" i="8"/>
  <c r="O380" i="8"/>
  <c r="O382" i="8"/>
  <c r="P380" i="8"/>
  <c r="P382" i="8"/>
  <c r="Q380" i="8"/>
  <c r="Q382" i="8"/>
  <c r="R380" i="8"/>
  <c r="R382" i="8"/>
  <c r="S380" i="8"/>
  <c r="T380" i="8" s="1"/>
  <c r="S382" i="8"/>
  <c r="AE268" i="8"/>
  <c r="AE218" i="8" s="1"/>
  <c r="AE263" i="8"/>
  <c r="AE380" i="8"/>
  <c r="AE382" i="8"/>
  <c r="AF268" i="8"/>
  <c r="AF218" i="8" s="1"/>
  <c r="AF263" i="8"/>
  <c r="AF380" i="8"/>
  <c r="AF382" i="8"/>
  <c r="AG268" i="8"/>
  <c r="AG242" i="8" s="1"/>
  <c r="AG263" i="8"/>
  <c r="AG212" i="8" s="1"/>
  <c r="AG380" i="8"/>
  <c r="AG382" i="8"/>
  <c r="AH268" i="8"/>
  <c r="AH242" i="8" s="1"/>
  <c r="AH263" i="8"/>
  <c r="AH237" i="8" s="1"/>
  <c r="AH380" i="8"/>
  <c r="AH382" i="8"/>
  <c r="AI268" i="8"/>
  <c r="AI218" i="8" s="1"/>
  <c r="AI263" i="8"/>
  <c r="AI212" i="8" s="1"/>
  <c r="AI380" i="8"/>
  <c r="AI382" i="8"/>
  <c r="AJ268" i="8"/>
  <c r="AJ242" i="8" s="1"/>
  <c r="AJ263" i="8"/>
  <c r="AJ237" i="8" s="1"/>
  <c r="AJ380" i="8"/>
  <c r="AJ382" i="8"/>
  <c r="AK268" i="8"/>
  <c r="AK242" i="8" s="1"/>
  <c r="AK263" i="8"/>
  <c r="AK237" i="8" s="1"/>
  <c r="AK380" i="8"/>
  <c r="AK382" i="8"/>
  <c r="AL268" i="8"/>
  <c r="AL242" i="8" s="1"/>
  <c r="AL263" i="8"/>
  <c r="AL237" i="8" s="1"/>
  <c r="AL380" i="8"/>
  <c r="AL382" i="8"/>
  <c r="AM268" i="8"/>
  <c r="AM218" i="8" s="1"/>
  <c r="AM263" i="8"/>
  <c r="AM212" i="8" s="1"/>
  <c r="AM380" i="8"/>
  <c r="AM382" i="8"/>
  <c r="AN268" i="8"/>
  <c r="AN242" i="8" s="1"/>
  <c r="AN263" i="8"/>
  <c r="AN237" i="8" s="1"/>
  <c r="AN380" i="8"/>
  <c r="AN382" i="8"/>
  <c r="AO268" i="8"/>
  <c r="AO242" i="8" s="1"/>
  <c r="AO263" i="8"/>
  <c r="AO212" i="8" s="1"/>
  <c r="AO380" i="8"/>
  <c r="AO382" i="8"/>
  <c r="AP268" i="8"/>
  <c r="AP242" i="8" s="1"/>
  <c r="AP263" i="8"/>
  <c r="AP237" i="8" s="1"/>
  <c r="AP380" i="8"/>
  <c r="AP382" i="8"/>
  <c r="AQ268" i="8"/>
  <c r="AQ218" i="8" s="1"/>
  <c r="AQ263" i="8"/>
  <c r="AQ212" i="8" s="1"/>
  <c r="AQ380" i="8"/>
  <c r="AQ382" i="8"/>
  <c r="AR264" i="8"/>
  <c r="AR269" i="8" s="1"/>
  <c r="AR271" i="8" s="1"/>
  <c r="AS264" i="8"/>
  <c r="AS269" i="8" s="1"/>
  <c r="AS271" i="8" s="1"/>
  <c r="AT264" i="8"/>
  <c r="AT213" i="8" s="1"/>
  <c r="AW380" i="8"/>
  <c r="AW382" i="8"/>
  <c r="AX380" i="8"/>
  <c r="AX382" i="8"/>
  <c r="AY380" i="8"/>
  <c r="AY382" i="8"/>
  <c r="AZ380" i="8"/>
  <c r="AZ382" i="8"/>
  <c r="BA380" i="8"/>
  <c r="BA382" i="8"/>
  <c r="C144" i="8"/>
  <c r="C222" i="8" s="1"/>
  <c r="C145" i="8"/>
  <c r="D144" i="8"/>
  <c r="D222" i="8" s="1"/>
  <c r="D276" i="8"/>
  <c r="D145" i="8" s="1"/>
  <c r="D51" i="3" s="1"/>
  <c r="E144" i="8"/>
  <c r="F144" i="8" s="1"/>
  <c r="F222" i="8" s="1"/>
  <c r="E145" i="8"/>
  <c r="E51" i="3" s="1"/>
  <c r="G143" i="8"/>
  <c r="G276" i="8"/>
  <c r="G145" i="8" s="1"/>
  <c r="H144" i="8"/>
  <c r="H60" i="3" s="1"/>
  <c r="H276" i="8"/>
  <c r="H145" i="8" s="1"/>
  <c r="I143" i="8"/>
  <c r="I144" i="8"/>
  <c r="J144" i="8" s="1"/>
  <c r="J60" i="3" s="1"/>
  <c r="I276" i="8"/>
  <c r="I145" i="8" s="1"/>
  <c r="K385" i="8"/>
  <c r="K222" i="8" s="1"/>
  <c r="L385" i="8"/>
  <c r="L222" i="8" s="1"/>
  <c r="L144" i="8" s="1"/>
  <c r="L60" i="3" s="1"/>
  <c r="M385" i="8"/>
  <c r="M222" i="8" s="1"/>
  <c r="M144" i="8" s="1"/>
  <c r="M60" i="3" s="1"/>
  <c r="N385" i="8"/>
  <c r="N222" i="8" s="1"/>
  <c r="N277" i="8" s="1"/>
  <c r="O385" i="8"/>
  <c r="O222" i="8" s="1"/>
  <c r="O277" i="8" s="1"/>
  <c r="P385" i="8"/>
  <c r="P222" i="8" s="1"/>
  <c r="P277" i="8" s="1"/>
  <c r="Q385" i="8"/>
  <c r="Q222" i="8" s="1"/>
  <c r="Q144" i="8" s="1"/>
  <c r="Q60" i="3" s="1"/>
  <c r="R385" i="8"/>
  <c r="R222" i="8" s="1"/>
  <c r="R277" i="8" s="1"/>
  <c r="S385" i="8"/>
  <c r="S222" i="8" s="1"/>
  <c r="T386" i="8"/>
  <c r="T387" i="8"/>
  <c r="AE144" i="8"/>
  <c r="AE222" i="8" s="1"/>
  <c r="AF144" i="8"/>
  <c r="AA60" i="3" s="1"/>
  <c r="AG144" i="8"/>
  <c r="AG222" i="8" s="1"/>
  <c r="AH144" i="8"/>
  <c r="AC60" i="3" s="1"/>
  <c r="AI144" i="8"/>
  <c r="AI222" i="8" s="1"/>
  <c r="AJ144" i="8"/>
  <c r="AK144" i="8"/>
  <c r="AF60" i="3" s="1"/>
  <c r="AL144" i="8"/>
  <c r="AL222" i="8" s="1"/>
  <c r="AM144" i="8"/>
  <c r="AM222" i="8" s="1"/>
  <c r="AN144" i="8"/>
  <c r="AN222" i="8" s="1"/>
  <c r="AO144" i="8"/>
  <c r="AJ60" i="3" s="1"/>
  <c r="AP144" i="8"/>
  <c r="AP222" i="8" s="1"/>
  <c r="AQ144" i="8"/>
  <c r="AQ222" i="8" s="1"/>
  <c r="AR144" i="8"/>
  <c r="AM60" i="3" s="1"/>
  <c r="AS144" i="8"/>
  <c r="AS222" i="8" s="1"/>
  <c r="AT144" i="8"/>
  <c r="AT222" i="8" s="1"/>
  <c r="AW221" i="8"/>
  <c r="J221" i="8" s="1"/>
  <c r="J276" i="8" s="1"/>
  <c r="AW222" i="8"/>
  <c r="J222" i="8" s="1"/>
  <c r="J277" i="8" s="1"/>
  <c r="AX385" i="8"/>
  <c r="AX222" i="8" s="1"/>
  <c r="AX277" i="8" s="1"/>
  <c r="AY385" i="8"/>
  <c r="AY222" i="8" s="1"/>
  <c r="AY277" i="8" s="1"/>
  <c r="AZ385" i="8"/>
  <c r="AZ222" i="8" s="1"/>
  <c r="AZ277" i="8" s="1"/>
  <c r="BA385" i="8"/>
  <c r="BA222" i="8" s="1"/>
  <c r="BA277" i="8" s="1"/>
  <c r="A110" i="8"/>
  <c r="A114" i="8" s="1"/>
  <c r="A111" i="8"/>
  <c r="A115" i="8" s="1"/>
  <c r="H255" i="8"/>
  <c r="H230" i="8" s="1"/>
  <c r="Q255" i="8"/>
  <c r="Q230" i="8" s="1"/>
  <c r="BA255" i="8"/>
  <c r="C303" i="8"/>
  <c r="C368" i="8" s="1"/>
  <c r="C305" i="8"/>
  <c r="C306" i="8"/>
  <c r="C307" i="8"/>
  <c r="D303" i="8"/>
  <c r="D368" i="8" s="1"/>
  <c r="D305" i="8"/>
  <c r="D306" i="8"/>
  <c r="D307" i="8"/>
  <c r="E303" i="8"/>
  <c r="E368" i="8" s="1"/>
  <c r="E305" i="8"/>
  <c r="E306" i="8"/>
  <c r="E307" i="8"/>
  <c r="F120" i="8"/>
  <c r="G308" i="8"/>
  <c r="G120" i="8" s="1"/>
  <c r="H303" i="8"/>
  <c r="H368" i="8" s="1"/>
  <c r="H305" i="8"/>
  <c r="H306" i="8"/>
  <c r="H307" i="8"/>
  <c r="I308" i="8"/>
  <c r="I120" i="8" s="1"/>
  <c r="AW303" i="8"/>
  <c r="AW368" i="8" s="1"/>
  <c r="AW304" i="8"/>
  <c r="AW305" i="8"/>
  <c r="AW369" i="8" s="1"/>
  <c r="AW307" i="8"/>
  <c r="K303" i="8"/>
  <c r="K368" i="8" s="1"/>
  <c r="K304" i="8"/>
  <c r="K305" i="8"/>
  <c r="K369" i="8" s="1"/>
  <c r="K307" i="8"/>
  <c r="L303" i="8"/>
  <c r="L368" i="8" s="1"/>
  <c r="L304" i="8"/>
  <c r="L305" i="8"/>
  <c r="L369" i="8" s="1"/>
  <c r="L307" i="8"/>
  <c r="M303" i="8"/>
  <c r="M368" i="8" s="1"/>
  <c r="M304" i="8"/>
  <c r="M305" i="8"/>
  <c r="M369" i="8" s="1"/>
  <c r="M307" i="8"/>
  <c r="N303" i="8"/>
  <c r="N368" i="8" s="1"/>
  <c r="N304" i="8"/>
  <c r="N305" i="8"/>
  <c r="N369" i="8" s="1"/>
  <c r="N307" i="8"/>
  <c r="O303" i="8"/>
  <c r="O368" i="8" s="1"/>
  <c r="O304" i="8"/>
  <c r="O305" i="8"/>
  <c r="O369" i="8" s="1"/>
  <c r="O307" i="8"/>
  <c r="P303" i="8"/>
  <c r="P368" i="8" s="1"/>
  <c r="P304" i="8"/>
  <c r="P305" i="8"/>
  <c r="P369" i="8" s="1"/>
  <c r="P307" i="8"/>
  <c r="Q303" i="8"/>
  <c r="Q368" i="8" s="1"/>
  <c r="Q304" i="8"/>
  <c r="Q305" i="8"/>
  <c r="Q369" i="8" s="1"/>
  <c r="Q307" i="8"/>
  <c r="R303" i="8"/>
  <c r="R368" i="8" s="1"/>
  <c r="R304" i="8"/>
  <c r="R305" i="8"/>
  <c r="R369" i="8" s="1"/>
  <c r="R307" i="8"/>
  <c r="S303" i="8"/>
  <c r="S368" i="8" s="1"/>
  <c r="S304" i="8"/>
  <c r="S305" i="8"/>
  <c r="S369" i="8" s="1"/>
  <c r="S307" i="8"/>
  <c r="BB308" i="8"/>
  <c r="T308" i="8" s="1"/>
  <c r="T120" i="8" s="1"/>
  <c r="AE120" i="8"/>
  <c r="AF120" i="8"/>
  <c r="AG120" i="8"/>
  <c r="AH120" i="8"/>
  <c r="AI120" i="8"/>
  <c r="AJ120" i="8"/>
  <c r="AK120" i="8"/>
  <c r="AL120" i="8"/>
  <c r="AM120" i="8"/>
  <c r="AN120" i="8"/>
  <c r="AO120" i="8"/>
  <c r="AP120" i="8"/>
  <c r="AQ120" i="8"/>
  <c r="AX303" i="8"/>
  <c r="AX368" i="8" s="1"/>
  <c r="AX304" i="8"/>
  <c r="AX305" i="8"/>
  <c r="AX369" i="8" s="1"/>
  <c r="AX307" i="8"/>
  <c r="AY303" i="8"/>
  <c r="AY368" i="8" s="1"/>
  <c r="AY304" i="8"/>
  <c r="AY305" i="8"/>
  <c r="AY369" i="8" s="1"/>
  <c r="AY307" i="8"/>
  <c r="AZ303" i="8"/>
  <c r="AZ368" i="8" s="1"/>
  <c r="AZ304" i="8"/>
  <c r="AZ305" i="8"/>
  <c r="AZ369" i="8" s="1"/>
  <c r="AZ307" i="8"/>
  <c r="BA303" i="8"/>
  <c r="BA368" i="8" s="1"/>
  <c r="BA304" i="8"/>
  <c r="BA305" i="8"/>
  <c r="BA369" i="8" s="1"/>
  <c r="BA307" i="8"/>
  <c r="C309" i="8"/>
  <c r="C347" i="8" s="1"/>
  <c r="C310" i="8"/>
  <c r="C346" i="8" s="1"/>
  <c r="C311" i="8"/>
  <c r="C312" i="8"/>
  <c r="D309" i="8"/>
  <c r="D347" i="8" s="1"/>
  <c r="D310" i="8"/>
  <c r="D346" i="8" s="1"/>
  <c r="D311" i="8"/>
  <c r="D312" i="8"/>
  <c r="E309" i="8"/>
  <c r="E347" i="8" s="1"/>
  <c r="E310" i="8"/>
  <c r="E346" i="8" s="1"/>
  <c r="E311" i="8"/>
  <c r="E312" i="8"/>
  <c r="F138" i="8" s="1"/>
  <c r="F121" i="8"/>
  <c r="G313" i="8"/>
  <c r="G121" i="8" s="1"/>
  <c r="H309" i="8"/>
  <c r="H347" i="8" s="1"/>
  <c r="H310" i="8"/>
  <c r="H346" i="8" s="1"/>
  <c r="H311" i="8"/>
  <c r="H312" i="8"/>
  <c r="I313" i="8"/>
  <c r="I121" i="8" s="1"/>
  <c r="AW309" i="8"/>
  <c r="AW347" i="8" s="1"/>
  <c r="AW310" i="8"/>
  <c r="AW346" i="8" s="1"/>
  <c r="AW311" i="8"/>
  <c r="J311" i="8" s="1"/>
  <c r="AW312" i="8"/>
  <c r="AR108" i="3" s="1"/>
  <c r="H66" i="4" s="1"/>
  <c r="K309" i="8"/>
  <c r="K347" i="8" s="1"/>
  <c r="K310" i="8"/>
  <c r="K346" i="8" s="1"/>
  <c r="K311" i="8"/>
  <c r="K312" i="8"/>
  <c r="K108" i="3" s="1"/>
  <c r="L309" i="8"/>
  <c r="L347" i="8" s="1"/>
  <c r="L310" i="8"/>
  <c r="L346" i="8" s="1"/>
  <c r="L311" i="8"/>
  <c r="L312" i="8"/>
  <c r="L108" i="3" s="1"/>
  <c r="M309" i="8"/>
  <c r="M347" i="8" s="1"/>
  <c r="M310" i="8"/>
  <c r="M346" i="8" s="1"/>
  <c r="M311" i="8"/>
  <c r="M312" i="8"/>
  <c r="M108" i="3" s="1"/>
  <c r="N309" i="8"/>
  <c r="N347" i="8" s="1"/>
  <c r="N310" i="8"/>
  <c r="N346" i="8" s="1"/>
  <c r="N311" i="8"/>
  <c r="N312" i="8"/>
  <c r="N108" i="3" s="1"/>
  <c r="O309" i="8"/>
  <c r="O347" i="8" s="1"/>
  <c r="O310" i="8"/>
  <c r="O346" i="8" s="1"/>
  <c r="O311" i="8"/>
  <c r="O312" i="8"/>
  <c r="O108" i="3" s="1"/>
  <c r="P309" i="8"/>
  <c r="P347" i="8" s="1"/>
  <c r="P310" i="8"/>
  <c r="P346" i="8" s="1"/>
  <c r="P311" i="8"/>
  <c r="P312" i="8"/>
  <c r="P108" i="3" s="1"/>
  <c r="Q309" i="8"/>
  <c r="Q347" i="8" s="1"/>
  <c r="Q310" i="8"/>
  <c r="Q346" i="8" s="1"/>
  <c r="Q311" i="8"/>
  <c r="Q312" i="8"/>
  <c r="Q108" i="3" s="1"/>
  <c r="R309" i="8"/>
  <c r="R347" i="8" s="1"/>
  <c r="R310" i="8"/>
  <c r="R346" i="8" s="1"/>
  <c r="R311" i="8"/>
  <c r="R312" i="8"/>
  <c r="R108" i="3" s="1"/>
  <c r="S309" i="8"/>
  <c r="S347" i="8" s="1"/>
  <c r="S310" i="8"/>
  <c r="S346" i="8" s="1"/>
  <c r="S311" i="8"/>
  <c r="S312" i="8"/>
  <c r="S108" i="3" s="1"/>
  <c r="BB313" i="8"/>
  <c r="T313" i="8" s="1"/>
  <c r="T121" i="8" s="1"/>
  <c r="AE121" i="8"/>
  <c r="AF121" i="8"/>
  <c r="AG121" i="8"/>
  <c r="AH121" i="8"/>
  <c r="AI121" i="8"/>
  <c r="AJ121" i="8"/>
  <c r="AK121" i="8"/>
  <c r="AL121" i="8"/>
  <c r="AM121" i="8"/>
  <c r="AN121" i="8"/>
  <c r="AO121" i="8"/>
  <c r="AP121" i="8"/>
  <c r="AQ121" i="8"/>
  <c r="AX309" i="8"/>
  <c r="AX347" i="8" s="1"/>
  <c r="AX310" i="8"/>
  <c r="AX346" i="8" s="1"/>
  <c r="AX311" i="8"/>
  <c r="AX312" i="8"/>
  <c r="AS108" i="3" s="1"/>
  <c r="I66" i="4" s="1"/>
  <c r="AY309" i="8"/>
  <c r="AY347" i="8" s="1"/>
  <c r="AY310" i="8"/>
  <c r="AY346" i="8" s="1"/>
  <c r="AY311" i="8"/>
  <c r="AY312" i="8"/>
  <c r="AT108" i="3" s="1"/>
  <c r="J66" i="4" s="1"/>
  <c r="AZ309" i="8"/>
  <c r="AZ347" i="8" s="1"/>
  <c r="AZ310" i="8"/>
  <c r="AZ346" i="8" s="1"/>
  <c r="AZ311" i="8"/>
  <c r="AZ312" i="8"/>
  <c r="AU108" i="3" s="1"/>
  <c r="K66" i="4" s="1"/>
  <c r="BA309" i="8"/>
  <c r="BA347" i="8" s="1"/>
  <c r="BA310" i="8"/>
  <c r="BA346" i="8" s="1"/>
  <c r="BA311" i="8"/>
  <c r="BA312" i="8"/>
  <c r="AV108" i="3" s="1"/>
  <c r="L66" i="4" s="1"/>
  <c r="AR122" i="8"/>
  <c r="AS122" i="8"/>
  <c r="AT122" i="8"/>
  <c r="AU122" i="8"/>
  <c r="AV122" i="8"/>
  <c r="AV128" i="8" s="1"/>
  <c r="AV129" i="8" s="1"/>
  <c r="AV154" i="8" s="1"/>
  <c r="C317" i="8"/>
  <c r="C351" i="8" s="1"/>
  <c r="C352" i="8" s="1"/>
  <c r="C319" i="8"/>
  <c r="C321" i="8"/>
  <c r="C322" i="8"/>
  <c r="D317" i="8"/>
  <c r="D351" i="8" s="1"/>
  <c r="D352" i="8" s="1"/>
  <c r="D319" i="8"/>
  <c r="D321" i="8"/>
  <c r="D322" i="8"/>
  <c r="E317" i="8"/>
  <c r="E351" i="8" s="1"/>
  <c r="E352" i="8" s="1"/>
  <c r="E319" i="8"/>
  <c r="E321" i="8"/>
  <c r="E322" i="8"/>
  <c r="F125" i="8"/>
  <c r="G323" i="8"/>
  <c r="G125" i="8" s="1"/>
  <c r="H317" i="8"/>
  <c r="H319" i="8"/>
  <c r="H321" i="8"/>
  <c r="H322" i="8"/>
  <c r="I323" i="8"/>
  <c r="I125" i="8" s="1"/>
  <c r="AW317" i="8"/>
  <c r="AW318" i="8"/>
  <c r="AW319" i="8"/>
  <c r="AW320" i="8"/>
  <c r="AW322" i="8"/>
  <c r="K317" i="8"/>
  <c r="K318" i="8"/>
  <c r="K319" i="8"/>
  <c r="K320" i="8"/>
  <c r="K322" i="8"/>
  <c r="L317" i="8"/>
  <c r="L318" i="8"/>
  <c r="L319" i="8"/>
  <c r="L320" i="8"/>
  <c r="L322" i="8"/>
  <c r="M317" i="8"/>
  <c r="M318" i="8"/>
  <c r="M319" i="8"/>
  <c r="M320" i="8"/>
  <c r="M322" i="8"/>
  <c r="N317" i="8"/>
  <c r="N318" i="8"/>
  <c r="N319" i="8"/>
  <c r="N320" i="8"/>
  <c r="N322" i="8"/>
  <c r="O317" i="8"/>
  <c r="O318" i="8"/>
  <c r="O319" i="8"/>
  <c r="O320" i="8"/>
  <c r="O322" i="8"/>
  <c r="P317" i="8"/>
  <c r="P318" i="8"/>
  <c r="P319" i="8"/>
  <c r="P320" i="8"/>
  <c r="P322" i="8"/>
  <c r="Q317" i="8"/>
  <c r="Q318" i="8"/>
  <c r="Q319" i="8"/>
  <c r="Q320" i="8"/>
  <c r="Q322" i="8"/>
  <c r="R317" i="8"/>
  <c r="R318" i="8"/>
  <c r="R319" i="8"/>
  <c r="R320" i="8"/>
  <c r="R322" i="8"/>
  <c r="S317" i="8"/>
  <c r="S318" i="8"/>
  <c r="S319" i="8"/>
  <c r="S320" i="8"/>
  <c r="S322" i="8"/>
  <c r="BB323" i="8"/>
  <c r="T323" i="8" s="1"/>
  <c r="T125" i="8" s="1"/>
  <c r="AE125" i="8"/>
  <c r="AF125" i="8"/>
  <c r="AG125" i="8"/>
  <c r="AH125" i="8"/>
  <c r="AI125" i="8"/>
  <c r="AJ125" i="8"/>
  <c r="AK125" i="8"/>
  <c r="AL125" i="8"/>
  <c r="AM125" i="8"/>
  <c r="AN125" i="8"/>
  <c r="AO125" i="8"/>
  <c r="AP125" i="8"/>
  <c r="AQ125" i="8"/>
  <c r="AX317" i="8"/>
  <c r="AX318" i="8"/>
  <c r="AX319" i="8"/>
  <c r="AX320" i="8"/>
  <c r="AX322" i="8"/>
  <c r="AY317" i="8"/>
  <c r="AY318" i="8"/>
  <c r="AY319" i="8"/>
  <c r="AY320" i="8"/>
  <c r="AY322" i="8"/>
  <c r="AZ317" i="8"/>
  <c r="AZ318" i="8"/>
  <c r="AZ319" i="8"/>
  <c r="AZ320" i="8"/>
  <c r="AZ322" i="8"/>
  <c r="BA317" i="8"/>
  <c r="BA318" i="8"/>
  <c r="BA319" i="8"/>
  <c r="BA320" i="8"/>
  <c r="BA322" i="8"/>
  <c r="C324" i="8"/>
  <c r="C329" i="8"/>
  <c r="C330" i="8"/>
  <c r="C331" i="8"/>
  <c r="D324" i="8"/>
  <c r="D329" i="8"/>
  <c r="D330" i="8"/>
  <c r="D331" i="8"/>
  <c r="E324" i="8"/>
  <c r="E329" i="8"/>
  <c r="E330" i="8"/>
  <c r="E331" i="8"/>
  <c r="AU126" i="8"/>
  <c r="G332" i="8"/>
  <c r="G126" i="8" s="1"/>
  <c r="H324" i="8"/>
  <c r="H329" i="8"/>
  <c r="H330" i="8"/>
  <c r="H331" i="8"/>
  <c r="I332" i="8"/>
  <c r="AW325" i="8"/>
  <c r="AW326" i="8"/>
  <c r="AW327" i="8"/>
  <c r="AW328" i="8"/>
  <c r="K325" i="8"/>
  <c r="K326" i="8"/>
  <c r="K327" i="8"/>
  <c r="K328" i="8"/>
  <c r="L325" i="8"/>
  <c r="L326" i="8"/>
  <c r="L327" i="8"/>
  <c r="L328" i="8"/>
  <c r="M325" i="8"/>
  <c r="M326" i="8"/>
  <c r="M327" i="8"/>
  <c r="M328" i="8"/>
  <c r="N325" i="8"/>
  <c r="N326" i="8"/>
  <c r="N327" i="8"/>
  <c r="N328" i="8"/>
  <c r="O325" i="8"/>
  <c r="O326" i="8"/>
  <c r="O327" i="8"/>
  <c r="O328" i="8"/>
  <c r="P325" i="8"/>
  <c r="P326" i="8"/>
  <c r="P327" i="8"/>
  <c r="P328" i="8"/>
  <c r="Q325" i="8"/>
  <c r="Q326" i="8"/>
  <c r="Q327" i="8"/>
  <c r="Q328" i="8"/>
  <c r="R325" i="8"/>
  <c r="R326" i="8"/>
  <c r="R327" i="8"/>
  <c r="R328" i="8"/>
  <c r="S325" i="8"/>
  <c r="S326" i="8"/>
  <c r="S327" i="8"/>
  <c r="S328" i="8"/>
  <c r="BB332" i="8"/>
  <c r="T332" i="8" s="1"/>
  <c r="T126" i="8" s="1"/>
  <c r="AE126" i="8"/>
  <c r="AF126" i="8"/>
  <c r="AG126" i="8"/>
  <c r="AH126" i="8"/>
  <c r="AI126" i="8"/>
  <c r="AJ126" i="8"/>
  <c r="AK126" i="8"/>
  <c r="AL126" i="8"/>
  <c r="AM126" i="8"/>
  <c r="AN126" i="8"/>
  <c r="AO126" i="8"/>
  <c r="AP126" i="8"/>
  <c r="AQ126" i="8"/>
  <c r="AR126" i="8"/>
  <c r="AR127" i="8" s="1"/>
  <c r="AS126" i="8"/>
  <c r="AS127" i="8" s="1"/>
  <c r="AT126" i="8"/>
  <c r="AT127" i="8" s="1"/>
  <c r="AV126" i="8"/>
  <c r="AX325" i="8"/>
  <c r="AX326" i="8"/>
  <c r="AX327" i="8"/>
  <c r="AX328" i="8"/>
  <c r="AY325" i="8"/>
  <c r="AY326" i="8"/>
  <c r="AY327" i="8"/>
  <c r="AY328" i="8"/>
  <c r="AZ325" i="8"/>
  <c r="AZ326" i="8"/>
  <c r="AZ327" i="8"/>
  <c r="AZ328" i="8"/>
  <c r="BA325" i="8"/>
  <c r="BA326" i="8"/>
  <c r="BA327" i="8"/>
  <c r="BA328" i="8"/>
  <c r="C379" i="8"/>
  <c r="C383" i="8"/>
  <c r="C385" i="8"/>
  <c r="C386" i="8"/>
  <c r="C387" i="8"/>
  <c r="C389" i="8"/>
  <c r="C390" i="8"/>
  <c r="C392" i="8"/>
  <c r="C393" i="8"/>
  <c r="C394" i="8"/>
  <c r="C396" i="8"/>
  <c r="D379" i="8"/>
  <c r="D383" i="8"/>
  <c r="D385" i="8"/>
  <c r="D386" i="8"/>
  <c r="D387" i="8"/>
  <c r="D389" i="8"/>
  <c r="D390" i="8"/>
  <c r="D392" i="8"/>
  <c r="D393" i="8"/>
  <c r="D394" i="8"/>
  <c r="D396" i="8"/>
  <c r="E379" i="8"/>
  <c r="F379" i="8" s="1"/>
  <c r="E383" i="8"/>
  <c r="F383" i="8" s="1"/>
  <c r="E385" i="8"/>
  <c r="F385" i="8" s="1"/>
  <c r="E386" i="8"/>
  <c r="E387" i="8"/>
  <c r="E389" i="8"/>
  <c r="E390" i="8"/>
  <c r="F390" i="8" s="1"/>
  <c r="E392" i="8"/>
  <c r="F392" i="8" s="1"/>
  <c r="E393" i="8"/>
  <c r="F393" i="8" s="1"/>
  <c r="E394" i="8"/>
  <c r="F394" i="8" s="1"/>
  <c r="E396" i="8"/>
  <c r="F396" i="8" s="1"/>
  <c r="AU386" i="8"/>
  <c r="AU387" i="8"/>
  <c r="AU389" i="8"/>
  <c r="G391" i="8"/>
  <c r="G395" i="8" s="1"/>
  <c r="G397" i="8" s="1"/>
  <c r="G133" i="8" s="1"/>
  <c r="H379" i="8"/>
  <c r="H383" i="8"/>
  <c r="H384" i="8"/>
  <c r="H385" i="8"/>
  <c r="H386" i="8"/>
  <c r="H387" i="8"/>
  <c r="H389" i="8"/>
  <c r="H390" i="8"/>
  <c r="H392" i="8"/>
  <c r="H393" i="8"/>
  <c r="H394" i="8"/>
  <c r="H396" i="8"/>
  <c r="H102" i="3" s="1"/>
  <c r="I391" i="8"/>
  <c r="I395" i="8" s="1"/>
  <c r="I397" i="8" s="1"/>
  <c r="AW379" i="8"/>
  <c r="AW381" i="8"/>
  <c r="AW383" i="8"/>
  <c r="AW384" i="8"/>
  <c r="AW385" i="8"/>
  <c r="AW388" i="8"/>
  <c r="AW390" i="8"/>
  <c r="AW392" i="8"/>
  <c r="AW393" i="8"/>
  <c r="AW394" i="8"/>
  <c r="AW396" i="8"/>
  <c r="AR102" i="3" s="1"/>
  <c r="K379" i="8"/>
  <c r="K381" i="8"/>
  <c r="K383" i="8"/>
  <c r="K384" i="8"/>
  <c r="K388" i="8"/>
  <c r="K390" i="8"/>
  <c r="K392" i="8"/>
  <c r="K393" i="8"/>
  <c r="K394" i="8"/>
  <c r="K396" i="8"/>
  <c r="K102" i="3" s="1"/>
  <c r="L379" i="8"/>
  <c r="L381" i="8"/>
  <c r="L383" i="8"/>
  <c r="L384" i="8"/>
  <c r="L388" i="8"/>
  <c r="L390" i="8"/>
  <c r="L392" i="8"/>
  <c r="L393" i="8"/>
  <c r="L394" i="8"/>
  <c r="L396" i="8"/>
  <c r="L102" i="3" s="1"/>
  <c r="M379" i="8"/>
  <c r="M381" i="8"/>
  <c r="M383" i="8"/>
  <c r="M384" i="8"/>
  <c r="M388" i="8"/>
  <c r="M390" i="8"/>
  <c r="M392" i="8"/>
  <c r="M393" i="8"/>
  <c r="M394" i="8"/>
  <c r="M396" i="8"/>
  <c r="M102" i="3" s="1"/>
  <c r="N379" i="8"/>
  <c r="N381" i="8"/>
  <c r="N383" i="8"/>
  <c r="N384" i="8"/>
  <c r="N388" i="8"/>
  <c r="N390" i="8"/>
  <c r="N392" i="8"/>
  <c r="N393" i="8"/>
  <c r="N394" i="8"/>
  <c r="N396" i="8"/>
  <c r="N102" i="3" s="1"/>
  <c r="O379" i="8"/>
  <c r="O381" i="8"/>
  <c r="O383" i="8"/>
  <c r="O384" i="8"/>
  <c r="O388" i="8"/>
  <c r="O390" i="8"/>
  <c r="O392" i="8"/>
  <c r="O393" i="8"/>
  <c r="O394" i="8"/>
  <c r="O396" i="8"/>
  <c r="O102" i="3" s="1"/>
  <c r="P379" i="8"/>
  <c r="P381" i="8"/>
  <c r="P383" i="8"/>
  <c r="P384" i="8"/>
  <c r="P388" i="8"/>
  <c r="P390" i="8"/>
  <c r="P392" i="8"/>
  <c r="P393" i="8"/>
  <c r="P394" i="8"/>
  <c r="P396" i="8"/>
  <c r="P102" i="3" s="1"/>
  <c r="Q379" i="8"/>
  <c r="Q381" i="8"/>
  <c r="Q383" i="8"/>
  <c r="Q384" i="8"/>
  <c r="Q388" i="8"/>
  <c r="Q390" i="8"/>
  <c r="Q392" i="8"/>
  <c r="Q393" i="8"/>
  <c r="Q394" i="8"/>
  <c r="Q396" i="8"/>
  <c r="Q102" i="3" s="1"/>
  <c r="R379" i="8"/>
  <c r="R381" i="8"/>
  <c r="R383" i="8"/>
  <c r="R384" i="8"/>
  <c r="R388" i="8"/>
  <c r="R390" i="8"/>
  <c r="R392" i="8"/>
  <c r="R393" i="8"/>
  <c r="R394" i="8"/>
  <c r="R396" i="8"/>
  <c r="R102" i="3" s="1"/>
  <c r="S379" i="8"/>
  <c r="T379" i="8" s="1"/>
  <c r="S381" i="8"/>
  <c r="T381" i="8" s="1"/>
  <c r="S383" i="8"/>
  <c r="T383" i="8" s="1"/>
  <c r="S384" i="8"/>
  <c r="T384" i="8" s="1"/>
  <c r="S388" i="8"/>
  <c r="T388" i="8" s="1"/>
  <c r="S390" i="8"/>
  <c r="T390" i="8" s="1"/>
  <c r="S392" i="8"/>
  <c r="T392" i="8" s="1"/>
  <c r="S393" i="8"/>
  <c r="T393" i="8" s="1"/>
  <c r="S394" i="8"/>
  <c r="T394" i="8" s="1"/>
  <c r="S396" i="8"/>
  <c r="S102" i="3" s="1"/>
  <c r="BB391" i="8"/>
  <c r="BB395" i="8" s="1"/>
  <c r="BB397" i="8" s="1"/>
  <c r="AE133" i="8"/>
  <c r="AF133" i="8"/>
  <c r="AG133" i="8"/>
  <c r="AH133" i="8"/>
  <c r="AI133" i="8"/>
  <c r="AJ133" i="8"/>
  <c r="AK133" i="8"/>
  <c r="AL133" i="8"/>
  <c r="AM133" i="8"/>
  <c r="AN133" i="8"/>
  <c r="AO133" i="8"/>
  <c r="AP133" i="8"/>
  <c r="AQ133" i="8"/>
  <c r="AR133" i="8"/>
  <c r="AR136" i="8" s="1"/>
  <c r="AV391" i="8"/>
  <c r="AV395" i="8" s="1"/>
  <c r="AV397" i="8" s="1"/>
  <c r="AV133" i="8" s="1"/>
  <c r="AX379" i="8"/>
  <c r="AX381" i="8"/>
  <c r="AX383" i="8"/>
  <c r="AX384" i="8"/>
  <c r="AX388" i="8"/>
  <c r="AX390" i="8"/>
  <c r="AX392" i="8"/>
  <c r="AX393" i="8"/>
  <c r="AX394" i="8"/>
  <c r="AX396" i="8"/>
  <c r="AS102" i="3" s="1"/>
  <c r="AY379" i="8"/>
  <c r="AY381" i="8"/>
  <c r="AY383" i="8"/>
  <c r="AY384" i="8"/>
  <c r="AY388" i="8"/>
  <c r="AY390" i="8"/>
  <c r="AY392" i="8"/>
  <c r="AY393" i="8"/>
  <c r="AY394" i="8"/>
  <c r="AY396" i="8"/>
  <c r="AT102" i="3" s="1"/>
  <c r="AZ379" i="8"/>
  <c r="AZ381" i="8"/>
  <c r="AZ383" i="8"/>
  <c r="AZ384" i="8"/>
  <c r="AZ388" i="8"/>
  <c r="AZ390" i="8"/>
  <c r="AZ392" i="8"/>
  <c r="AZ393" i="8"/>
  <c r="AZ394" i="8"/>
  <c r="AZ396" i="8"/>
  <c r="AU102" i="3" s="1"/>
  <c r="BA379" i="8"/>
  <c r="BA381" i="8"/>
  <c r="BA383" i="8"/>
  <c r="BA384" i="8"/>
  <c r="BA388" i="8"/>
  <c r="BA390" i="8"/>
  <c r="BA392" i="8"/>
  <c r="BA393" i="8"/>
  <c r="BA394" i="8"/>
  <c r="BA396" i="8"/>
  <c r="AV102" i="3" s="1"/>
  <c r="C425" i="8"/>
  <c r="C401" i="8"/>
  <c r="C426" i="8" s="1"/>
  <c r="C402" i="8"/>
  <c r="C427" i="8" s="1"/>
  <c r="C405" i="8"/>
  <c r="C428" i="8" s="1"/>
  <c r="D223" i="8"/>
  <c r="D425" i="8" s="1"/>
  <c r="D401" i="8"/>
  <c r="D426" i="8" s="1"/>
  <c r="D402" i="8"/>
  <c r="D427" i="8" s="1"/>
  <c r="D405" i="8"/>
  <c r="D428" i="8" s="1"/>
  <c r="E425" i="8"/>
  <c r="E401" i="8"/>
  <c r="E402" i="8"/>
  <c r="E405" i="8"/>
  <c r="F425" i="8"/>
  <c r="G425" i="8"/>
  <c r="G426" i="8"/>
  <c r="G427" i="8"/>
  <c r="G428" i="8"/>
  <c r="H223" i="8"/>
  <c r="H401" i="8"/>
  <c r="H426" i="8" s="1"/>
  <c r="H402" i="8"/>
  <c r="H427" i="8" s="1"/>
  <c r="H405" i="8"/>
  <c r="H428" i="8" s="1"/>
  <c r="I425" i="8"/>
  <c r="I426" i="8"/>
  <c r="I427" i="8"/>
  <c r="I428" i="8"/>
  <c r="AW400" i="8"/>
  <c r="AW401" i="8"/>
  <c r="AW426" i="8" s="1"/>
  <c r="AW402" i="8"/>
  <c r="AW427" i="8" s="1"/>
  <c r="AW405" i="8"/>
  <c r="AW428" i="8" s="1"/>
  <c r="K400" i="8"/>
  <c r="K401" i="8"/>
  <c r="K402" i="8"/>
  <c r="K405" i="8"/>
  <c r="L400" i="8"/>
  <c r="L401" i="8"/>
  <c r="L402" i="8"/>
  <c r="L405" i="8"/>
  <c r="M400" i="8"/>
  <c r="M401" i="8"/>
  <c r="M402" i="8"/>
  <c r="M405" i="8"/>
  <c r="N400" i="8"/>
  <c r="N401" i="8"/>
  <c r="N402" i="8"/>
  <c r="N405" i="8"/>
  <c r="O400" i="8"/>
  <c r="O401" i="8"/>
  <c r="O402" i="8"/>
  <c r="O405" i="8"/>
  <c r="P400" i="8"/>
  <c r="P401" i="8"/>
  <c r="P402" i="8"/>
  <c r="P405" i="8"/>
  <c r="Q400" i="8"/>
  <c r="Q401" i="8"/>
  <c r="Q402" i="8"/>
  <c r="Q405" i="8"/>
  <c r="R400" i="8"/>
  <c r="R401" i="8"/>
  <c r="R402" i="8"/>
  <c r="R405" i="8"/>
  <c r="S400" i="8"/>
  <c r="T400" i="8" s="1"/>
  <c r="S401" i="8"/>
  <c r="S402" i="8"/>
  <c r="T402" i="8" s="1"/>
  <c r="S405" i="8"/>
  <c r="T405" i="8" s="1"/>
  <c r="BB406" i="8"/>
  <c r="AE134" i="8"/>
  <c r="AF134" i="8"/>
  <c r="AG134" i="8"/>
  <c r="AH134" i="8"/>
  <c r="AI134" i="8"/>
  <c r="AJ134" i="8"/>
  <c r="AK134" i="8"/>
  <c r="AL134" i="8"/>
  <c r="AM134" i="8"/>
  <c r="AN134" i="8"/>
  <c r="AO134" i="8"/>
  <c r="AP134" i="8"/>
  <c r="AQ134" i="8"/>
  <c r="AU403" i="8"/>
  <c r="AU404" i="8"/>
  <c r="F404" i="8" s="1"/>
  <c r="AV406" i="8"/>
  <c r="AV134" i="8" s="1"/>
  <c r="AX400" i="8"/>
  <c r="AX401" i="8"/>
  <c r="AX402" i="8"/>
  <c r="AX405" i="8"/>
  <c r="AY400" i="8"/>
  <c r="AY401" i="8"/>
  <c r="AY402" i="8"/>
  <c r="AY405" i="8"/>
  <c r="AZ400" i="8"/>
  <c r="AZ401" i="8"/>
  <c r="AZ402" i="8"/>
  <c r="AZ405" i="8"/>
  <c r="BA400" i="8"/>
  <c r="BA401" i="8"/>
  <c r="BA402" i="8"/>
  <c r="BA405" i="8"/>
  <c r="C409" i="8"/>
  <c r="C431" i="8" s="1"/>
  <c r="C411" i="8"/>
  <c r="C432" i="8" s="1"/>
  <c r="C412" i="8"/>
  <c r="C433" i="8" s="1"/>
  <c r="C415" i="8"/>
  <c r="C434" i="8" s="1"/>
  <c r="D409" i="8"/>
  <c r="D431" i="8" s="1"/>
  <c r="D411" i="8"/>
  <c r="D432" i="8" s="1"/>
  <c r="D412" i="8"/>
  <c r="D433" i="8" s="1"/>
  <c r="D415" i="8"/>
  <c r="D434" i="8" s="1"/>
  <c r="E409" i="8"/>
  <c r="E411" i="8"/>
  <c r="E432" i="8" s="1"/>
  <c r="E412" i="8"/>
  <c r="E415" i="8"/>
  <c r="F415" i="8" s="1"/>
  <c r="F434" i="8" s="1"/>
  <c r="G431" i="8"/>
  <c r="G432" i="8"/>
  <c r="G433" i="8"/>
  <c r="G434" i="8"/>
  <c r="H409" i="8"/>
  <c r="H431" i="8" s="1"/>
  <c r="H411" i="8"/>
  <c r="H432" i="8" s="1"/>
  <c r="H412" i="8"/>
  <c r="H433" i="8" s="1"/>
  <c r="H415" i="8"/>
  <c r="H434" i="8" s="1"/>
  <c r="I431" i="8"/>
  <c r="I432" i="8"/>
  <c r="I433" i="8"/>
  <c r="I434" i="8"/>
  <c r="AW409" i="8"/>
  <c r="AW431" i="8" s="1"/>
  <c r="AW411" i="8"/>
  <c r="AW432" i="8" s="1"/>
  <c r="AW412" i="8"/>
  <c r="AR105" i="3" s="1"/>
  <c r="AW413" i="8"/>
  <c r="AW414" i="8"/>
  <c r="AW415" i="8"/>
  <c r="AW434" i="8" s="1"/>
  <c r="K409" i="8"/>
  <c r="K411" i="8"/>
  <c r="K412" i="8"/>
  <c r="K105" i="3" s="1"/>
  <c r="K413" i="8"/>
  <c r="K414" i="8"/>
  <c r="K415" i="8"/>
  <c r="L409" i="8"/>
  <c r="L411" i="8"/>
  <c r="L412" i="8"/>
  <c r="L105" i="3" s="1"/>
  <c r="L413" i="8"/>
  <c r="L414" i="8"/>
  <c r="L415" i="8"/>
  <c r="M409" i="8"/>
  <c r="M411" i="8"/>
  <c r="M412" i="8"/>
  <c r="M105" i="3" s="1"/>
  <c r="M413" i="8"/>
  <c r="M414" i="8"/>
  <c r="M415" i="8"/>
  <c r="N409" i="8"/>
  <c r="N411" i="8"/>
  <c r="N412" i="8"/>
  <c r="N105" i="3" s="1"/>
  <c r="N413" i="8"/>
  <c r="N414" i="8"/>
  <c r="N415" i="8"/>
  <c r="O409" i="8"/>
  <c r="O411" i="8"/>
  <c r="O412" i="8"/>
  <c r="O105" i="3" s="1"/>
  <c r="O413" i="8"/>
  <c r="O414" i="8"/>
  <c r="O415" i="8"/>
  <c r="P409" i="8"/>
  <c r="P411" i="8"/>
  <c r="P412" i="8"/>
  <c r="P105" i="3" s="1"/>
  <c r="P413" i="8"/>
  <c r="P414" i="8"/>
  <c r="P415" i="8"/>
  <c r="Q409" i="8"/>
  <c r="Q411" i="8"/>
  <c r="Q412" i="8"/>
  <c r="Q105" i="3" s="1"/>
  <c r="Q413" i="8"/>
  <c r="Q414" i="8"/>
  <c r="Q415" i="8"/>
  <c r="R409" i="8"/>
  <c r="R411" i="8"/>
  <c r="R412" i="8"/>
  <c r="R105" i="3" s="1"/>
  <c r="R413" i="8"/>
  <c r="R414" i="8"/>
  <c r="R415" i="8"/>
  <c r="S409" i="8"/>
  <c r="T409" i="8" s="1"/>
  <c r="S411" i="8"/>
  <c r="T411" i="8" s="1"/>
  <c r="S412" i="8"/>
  <c r="S105" i="3" s="1"/>
  <c r="S413" i="8"/>
  <c r="T413" i="8" s="1"/>
  <c r="S414" i="8"/>
  <c r="T414" i="8" s="1"/>
  <c r="S415" i="8"/>
  <c r="T415" i="8" s="1"/>
  <c r="BB416" i="8"/>
  <c r="AE135" i="8"/>
  <c r="AF135" i="8"/>
  <c r="AG135" i="8"/>
  <c r="AH135" i="8"/>
  <c r="AI135" i="8"/>
  <c r="AJ135" i="8"/>
  <c r="AK135" i="8"/>
  <c r="AL135" i="8"/>
  <c r="AM135" i="8"/>
  <c r="AN135" i="8"/>
  <c r="AO135" i="8"/>
  <c r="AP135" i="8"/>
  <c r="AQ135" i="8"/>
  <c r="AU410" i="8"/>
  <c r="AU416" i="8" s="1"/>
  <c r="AU435" i="8" s="1"/>
  <c r="AU135" i="8" s="1"/>
  <c r="AV416" i="8"/>
  <c r="AV435" i="8" s="1"/>
  <c r="AV135" i="8" s="1"/>
  <c r="AX409" i="8"/>
  <c r="AX411" i="8"/>
  <c r="AX412" i="8"/>
  <c r="AS105" i="3" s="1"/>
  <c r="AX413" i="8"/>
  <c r="AX414" i="8"/>
  <c r="AX415" i="8"/>
  <c r="AY409" i="8"/>
  <c r="AY411" i="8"/>
  <c r="AY412" i="8"/>
  <c r="AT105" i="3" s="1"/>
  <c r="AY413" i="8"/>
  <c r="AY414" i="8"/>
  <c r="AY415" i="8"/>
  <c r="AZ409" i="8"/>
  <c r="AZ411" i="8"/>
  <c r="AZ412" i="8"/>
  <c r="AU105" i="3" s="1"/>
  <c r="AZ413" i="8"/>
  <c r="AZ414" i="8"/>
  <c r="AZ415" i="8"/>
  <c r="BA409" i="8"/>
  <c r="BA411" i="8"/>
  <c r="BA412" i="8"/>
  <c r="AV105" i="3" s="1"/>
  <c r="BA413" i="8"/>
  <c r="BA414" i="8"/>
  <c r="BA415" i="8"/>
  <c r="AS136" i="8"/>
  <c r="AT136" i="8"/>
  <c r="C137" i="8"/>
  <c r="D137" i="8"/>
  <c r="E137" i="8"/>
  <c r="F137" i="8"/>
  <c r="G137" i="8"/>
  <c r="H137" i="8"/>
  <c r="I137" i="8"/>
  <c r="J417" i="8"/>
  <c r="J137" i="8" s="1"/>
  <c r="K417" i="8"/>
  <c r="K137" i="8" s="1"/>
  <c r="L417" i="8"/>
  <c r="L137" i="8" s="1"/>
  <c r="M417" i="8"/>
  <c r="M137" i="8" s="1"/>
  <c r="N417" i="8"/>
  <c r="N137" i="8" s="1"/>
  <c r="O417" i="8"/>
  <c r="O137" i="8" s="1"/>
  <c r="P417" i="8"/>
  <c r="P137" i="8" s="1"/>
  <c r="Q417" i="8"/>
  <c r="Q137" i="8" s="1"/>
  <c r="R417" i="8"/>
  <c r="R137" i="8" s="1"/>
  <c r="S417" i="8"/>
  <c r="S137" i="8" s="1"/>
  <c r="AR137" i="8"/>
  <c r="AS137" i="8"/>
  <c r="AT137" i="8"/>
  <c r="AU137" i="8"/>
  <c r="AV137" i="8"/>
  <c r="AW417" i="8"/>
  <c r="AW137" i="8" s="1"/>
  <c r="AX417" i="8"/>
  <c r="AX137" i="8" s="1"/>
  <c r="AY417" i="8"/>
  <c r="AY137" i="8" s="1"/>
  <c r="AZ417" i="8"/>
  <c r="AZ137" i="8" s="1"/>
  <c r="BA417" i="8"/>
  <c r="BA137" i="8" s="1"/>
  <c r="AU138" i="8"/>
  <c r="AV138" i="8"/>
  <c r="K276" i="8"/>
  <c r="K145" i="8" s="1"/>
  <c r="L276" i="8"/>
  <c r="L145" i="8" s="1"/>
  <c r="M276" i="8"/>
  <c r="M145" i="8" s="1"/>
  <c r="N276" i="8"/>
  <c r="N145" i="8" s="1"/>
  <c r="O276" i="8"/>
  <c r="O145" i="8" s="1"/>
  <c r="P276" i="8"/>
  <c r="P145" i="8" s="1"/>
  <c r="Q276" i="8"/>
  <c r="Q145" i="8" s="1"/>
  <c r="R276" i="8"/>
  <c r="R145" i="8" s="1"/>
  <c r="S276" i="8"/>
  <c r="S145" i="8" s="1"/>
  <c r="BB276" i="8"/>
  <c r="C152" i="8"/>
  <c r="D225" i="8"/>
  <c r="D152" i="8" s="1"/>
  <c r="E152" i="8"/>
  <c r="F152" i="8" s="1"/>
  <c r="G152" i="8"/>
  <c r="H225" i="8"/>
  <c r="H152" i="8" s="1"/>
  <c r="I152" i="8"/>
  <c r="K225" i="8"/>
  <c r="O225" i="8"/>
  <c r="O152" i="8" s="1"/>
  <c r="Q225" i="8"/>
  <c r="Q152" i="8" s="1"/>
  <c r="S225" i="8"/>
  <c r="S152" i="8" s="1"/>
  <c r="AE152" i="8"/>
  <c r="AF152" i="8"/>
  <c r="AG152" i="8"/>
  <c r="AH152" i="8"/>
  <c r="AI152" i="8"/>
  <c r="AJ152" i="8"/>
  <c r="AK152" i="8"/>
  <c r="AL152" i="8"/>
  <c r="AM152" i="8"/>
  <c r="AN152" i="8"/>
  <c r="AO152" i="8"/>
  <c r="AP152" i="8"/>
  <c r="AQ152" i="8"/>
  <c r="G158" i="8"/>
  <c r="D277" i="8"/>
  <c r="AU221" i="8"/>
  <c r="AU276" i="8" s="1"/>
  <c r="F276" i="8" s="1"/>
  <c r="AU222" i="8"/>
  <c r="AU277" i="8" s="1"/>
  <c r="F277" i="8" s="1"/>
  <c r="G268" i="8"/>
  <c r="G242" i="8" s="1"/>
  <c r="G213" i="8"/>
  <c r="G277" i="8"/>
  <c r="AV222" i="8"/>
  <c r="H222" i="8" s="1"/>
  <c r="H277" i="8" s="1"/>
  <c r="I242" i="8"/>
  <c r="I277" i="8"/>
  <c r="J268" i="8"/>
  <c r="J242" i="8" s="1"/>
  <c r="BB268" i="8"/>
  <c r="BB218" i="8" s="1"/>
  <c r="BB213" i="8"/>
  <c r="BC214" i="8" s="1"/>
  <c r="BB222" i="8"/>
  <c r="BB277" i="8" s="1"/>
  <c r="H162" i="8"/>
  <c r="AF379" i="8"/>
  <c r="AF383" i="8"/>
  <c r="AF385" i="8"/>
  <c r="AF386" i="8"/>
  <c r="AF387" i="8"/>
  <c r="AF389" i="8"/>
  <c r="AF390" i="8"/>
  <c r="AF392" i="8"/>
  <c r="AF393" i="8"/>
  <c r="AF394" i="8"/>
  <c r="AF401" i="8"/>
  <c r="AF426" i="8" s="1"/>
  <c r="AF402" i="8"/>
  <c r="AF427" i="8" s="1"/>
  <c r="AG379" i="8"/>
  <c r="AG383" i="8"/>
  <c r="AG385" i="8"/>
  <c r="AG386" i="8"/>
  <c r="AG387" i="8"/>
  <c r="AG389" i="8"/>
  <c r="AG390" i="8"/>
  <c r="AG392" i="8"/>
  <c r="AG393" i="8"/>
  <c r="AG394" i="8"/>
  <c r="AG401" i="8"/>
  <c r="AG426" i="8" s="1"/>
  <c r="AG402" i="8"/>
  <c r="AH379" i="8"/>
  <c r="AH383" i="8"/>
  <c r="AH385" i="8"/>
  <c r="AH386" i="8"/>
  <c r="AH387" i="8"/>
  <c r="AH389" i="8"/>
  <c r="AH390" i="8"/>
  <c r="AH392" i="8"/>
  <c r="AH393" i="8"/>
  <c r="AH394" i="8"/>
  <c r="AH401" i="8"/>
  <c r="AH402" i="8"/>
  <c r="AH427" i="8" s="1"/>
  <c r="AI379" i="8"/>
  <c r="AI383" i="8"/>
  <c r="AI385" i="8"/>
  <c r="AI386" i="8"/>
  <c r="AI387" i="8"/>
  <c r="AI389" i="8"/>
  <c r="AI390" i="8"/>
  <c r="AI392" i="8"/>
  <c r="AI393" i="8"/>
  <c r="AI394" i="8"/>
  <c r="AI401" i="8"/>
  <c r="AI426" i="8" s="1"/>
  <c r="AI402" i="8"/>
  <c r="AJ379" i="8"/>
  <c r="AJ383" i="8"/>
  <c r="AJ385" i="8"/>
  <c r="AJ386" i="8"/>
  <c r="AJ387" i="8"/>
  <c r="AJ389" i="8"/>
  <c r="AJ390" i="8"/>
  <c r="AJ392" i="8"/>
  <c r="AJ393" i="8"/>
  <c r="AJ394" i="8"/>
  <c r="AJ401" i="8"/>
  <c r="AJ426" i="8" s="1"/>
  <c r="AJ402" i="8"/>
  <c r="AJ427" i="8" s="1"/>
  <c r="AK379" i="8"/>
  <c r="AK383" i="8"/>
  <c r="AK385" i="8"/>
  <c r="AK386" i="8"/>
  <c r="AK387" i="8"/>
  <c r="AK389" i="8"/>
  <c r="AK390" i="8"/>
  <c r="AK392" i="8"/>
  <c r="AK393" i="8"/>
  <c r="AK394" i="8"/>
  <c r="AK401" i="8"/>
  <c r="AK426" i="8" s="1"/>
  <c r="AK402" i="8"/>
  <c r="AK427" i="8" s="1"/>
  <c r="AL379" i="8"/>
  <c r="AL383" i="8"/>
  <c r="AL385" i="8"/>
  <c r="AL386" i="8"/>
  <c r="AL387" i="8"/>
  <c r="AL389" i="8"/>
  <c r="AL390" i="8"/>
  <c r="AL392" i="8"/>
  <c r="AL393" i="8"/>
  <c r="AL394" i="8"/>
  <c r="AL401" i="8"/>
  <c r="AL426" i="8" s="1"/>
  <c r="AL402" i="8"/>
  <c r="AL427" i="8" s="1"/>
  <c r="AM379" i="8"/>
  <c r="AM383" i="8"/>
  <c r="AM385" i="8"/>
  <c r="AM386" i="8"/>
  <c r="AM387" i="8"/>
  <c r="AM389" i="8"/>
  <c r="AM390" i="8"/>
  <c r="AM392" i="8"/>
  <c r="AM393" i="8"/>
  <c r="AM394" i="8"/>
  <c r="AM401" i="8"/>
  <c r="AM426" i="8" s="1"/>
  <c r="AM402" i="8"/>
  <c r="AM427" i="8" s="1"/>
  <c r="AN379" i="8"/>
  <c r="AN383" i="8"/>
  <c r="AN385" i="8"/>
  <c r="AN386" i="8"/>
  <c r="AN387" i="8"/>
  <c r="AN389" i="8"/>
  <c r="AN390" i="8"/>
  <c r="AN392" i="8"/>
  <c r="AN393" i="8"/>
  <c r="AN394" i="8"/>
  <c r="AN401" i="8"/>
  <c r="AN426" i="8" s="1"/>
  <c r="AN402" i="8"/>
  <c r="AN427" i="8" s="1"/>
  <c r="AO379" i="8"/>
  <c r="AO383" i="8"/>
  <c r="AO385" i="8"/>
  <c r="AO386" i="8"/>
  <c r="AO387" i="8"/>
  <c r="AO389" i="8"/>
  <c r="AO390" i="8"/>
  <c r="AO392" i="8"/>
  <c r="AO393" i="8"/>
  <c r="AO394" i="8"/>
  <c r="AO401" i="8"/>
  <c r="AO426" i="8" s="1"/>
  <c r="AO402" i="8"/>
  <c r="AO427" i="8" s="1"/>
  <c r="AP379" i="8"/>
  <c r="AP383" i="8"/>
  <c r="AP385" i="8"/>
  <c r="AP386" i="8"/>
  <c r="AP387" i="8"/>
  <c r="AP389" i="8"/>
  <c r="AP390" i="8"/>
  <c r="AP392" i="8"/>
  <c r="AP393" i="8"/>
  <c r="AP394" i="8"/>
  <c r="AP401" i="8"/>
  <c r="AP426" i="8" s="1"/>
  <c r="AP402" i="8"/>
  <c r="AP427" i="8" s="1"/>
  <c r="AQ379" i="8"/>
  <c r="AQ383" i="8"/>
  <c r="AQ385" i="8"/>
  <c r="AQ386" i="8"/>
  <c r="AQ387" i="8"/>
  <c r="AQ389" i="8"/>
  <c r="AQ390" i="8"/>
  <c r="AQ392" i="8"/>
  <c r="AQ393" i="8"/>
  <c r="AQ394" i="8"/>
  <c r="AQ401" i="8"/>
  <c r="AQ402" i="8"/>
  <c r="AQ427" i="8" s="1"/>
  <c r="AQ337" i="8"/>
  <c r="AQ338" i="8"/>
  <c r="AQ339" i="8"/>
  <c r="AQ340" i="8"/>
  <c r="AM166" i="8"/>
  <c r="AN166" i="8"/>
  <c r="AO166" i="8"/>
  <c r="AP166" i="8"/>
  <c r="AQ166" i="8"/>
  <c r="AR167" i="8" s="1"/>
  <c r="AS167" i="8"/>
  <c r="AT167" i="8"/>
  <c r="A169" i="8"/>
  <c r="A120" i="3" s="1"/>
  <c r="K169" i="8"/>
  <c r="K120" i="3" s="1"/>
  <c r="L169" i="8"/>
  <c r="L120" i="3" s="1"/>
  <c r="M169" i="8"/>
  <c r="N169" i="8"/>
  <c r="N120" i="3" s="1"/>
  <c r="O169" i="8"/>
  <c r="O120" i="3" s="1"/>
  <c r="P169" i="8"/>
  <c r="P120" i="3" s="1"/>
  <c r="Q169" i="8"/>
  <c r="Q120" i="3" s="1"/>
  <c r="R169" i="8"/>
  <c r="T169" i="8"/>
  <c r="AU169" i="8"/>
  <c r="AP120" i="3" s="1"/>
  <c r="AP121" i="3" s="1"/>
  <c r="AV169" i="8"/>
  <c r="AW169" i="8"/>
  <c r="AR120" i="3" s="1"/>
  <c r="AX169" i="8"/>
  <c r="AS120" i="3" s="1"/>
  <c r="AY169" i="8"/>
  <c r="AT120" i="3" s="1"/>
  <c r="AZ169" i="8"/>
  <c r="AU120" i="3" s="1"/>
  <c r="BA169" i="8"/>
  <c r="BB170" i="8" s="1"/>
  <c r="AT175" i="8"/>
  <c r="AU175" i="8"/>
  <c r="AV175" i="8"/>
  <c r="AW175" i="8"/>
  <c r="AX175" i="8"/>
  <c r="AY175" i="8"/>
  <c r="AZ175" i="8"/>
  <c r="BA175" i="8"/>
  <c r="AT176" i="8"/>
  <c r="AU176" i="8"/>
  <c r="AV176" i="8"/>
  <c r="AW176" i="8"/>
  <c r="AX176" i="8"/>
  <c r="AY176" i="8"/>
  <c r="AZ176" i="8"/>
  <c r="BA176" i="8"/>
  <c r="AT177" i="8"/>
  <c r="AU177" i="8"/>
  <c r="AV177" i="8"/>
  <c r="AW177" i="8"/>
  <c r="AX177" i="8"/>
  <c r="AY177" i="8"/>
  <c r="AZ177" i="8"/>
  <c r="BA177" i="8"/>
  <c r="K186" i="8"/>
  <c r="L186" i="8"/>
  <c r="L136" i="3" s="1"/>
  <c r="M186" i="8"/>
  <c r="M136" i="3" s="1"/>
  <c r="N186" i="8"/>
  <c r="O186" i="8"/>
  <c r="O136" i="3" s="1"/>
  <c r="P186" i="8"/>
  <c r="P136" i="3" s="1"/>
  <c r="Q186" i="8"/>
  <c r="Q136" i="3" s="1"/>
  <c r="R186" i="8"/>
  <c r="R136" i="3" s="1"/>
  <c r="S186" i="8"/>
  <c r="T186" i="8"/>
  <c r="V187" i="8" s="1"/>
  <c r="AR178" i="8"/>
  <c r="AS178" i="8"/>
  <c r="AT178" i="8"/>
  <c r="AU178" i="8"/>
  <c r="AV178" i="8"/>
  <c r="AW178" i="8"/>
  <c r="AX178" i="8"/>
  <c r="AY178" i="8"/>
  <c r="AZ178" i="8"/>
  <c r="BA178" i="8"/>
  <c r="BA186" i="8"/>
  <c r="BB187" i="8" s="1"/>
  <c r="AW186" i="8"/>
  <c r="AR136" i="3" s="1"/>
  <c r="K21" i="25" s="1"/>
  <c r="AR186" i="8"/>
  <c r="AM136" i="3" s="1"/>
  <c r="F21" i="25" s="1"/>
  <c r="AS186" i="8"/>
  <c r="AN136" i="3" s="1"/>
  <c r="G21" i="25" s="1"/>
  <c r="AT186" i="8"/>
  <c r="AO136" i="3" s="1"/>
  <c r="H21" i="25" s="1"/>
  <c r="AV186" i="8"/>
  <c r="AQ136" i="3" s="1"/>
  <c r="J21" i="25" s="1"/>
  <c r="AX186" i="8"/>
  <c r="AS136" i="3" s="1"/>
  <c r="L21" i="25" s="1"/>
  <c r="AY186" i="8"/>
  <c r="AT136" i="3" s="1"/>
  <c r="M21" i="25" s="1"/>
  <c r="AZ186" i="8"/>
  <c r="AP187" i="8"/>
  <c r="AQ187" i="8"/>
  <c r="AP188" i="8"/>
  <c r="AQ188" i="8"/>
  <c r="AE198" i="8"/>
  <c r="AJ198" i="8"/>
  <c r="AO198" i="8"/>
  <c r="AP198" i="8"/>
  <c r="AQ198" i="8"/>
  <c r="AR198" i="8"/>
  <c r="AS198" i="8"/>
  <c r="AT198" i="8"/>
  <c r="BB198" i="8"/>
  <c r="I200" i="8"/>
  <c r="A205" i="8"/>
  <c r="A230" i="8" s="1"/>
  <c r="A359" i="8" s="1"/>
  <c r="G205" i="8"/>
  <c r="I205" i="8"/>
  <c r="AR205" i="8"/>
  <c r="AS205" i="8"/>
  <c r="AT205" i="8"/>
  <c r="AU205" i="8"/>
  <c r="AV205" i="8"/>
  <c r="AV230" i="8" s="1"/>
  <c r="AW205" i="8"/>
  <c r="AW230" i="8" s="1"/>
  <c r="AW359" i="8" s="1"/>
  <c r="BB205" i="8"/>
  <c r="BC206" i="8" s="1"/>
  <c r="S259" i="8"/>
  <c r="AW259" i="8"/>
  <c r="AX259" i="8"/>
  <c r="AX208" i="8" s="1"/>
  <c r="AX233" i="8" s="1"/>
  <c r="AY259" i="8"/>
  <c r="AY208" i="8" s="1"/>
  <c r="AY233" i="8" s="1"/>
  <c r="AZ259" i="8"/>
  <c r="BA259" i="8"/>
  <c r="BA208" i="8" s="1"/>
  <c r="BB208" i="8"/>
  <c r="G263" i="8"/>
  <c r="I212" i="8"/>
  <c r="J212" i="8"/>
  <c r="AR212" i="8"/>
  <c r="AS212" i="8"/>
  <c r="AT212" i="8"/>
  <c r="AU212" i="8"/>
  <c r="AU237" i="8" s="1"/>
  <c r="AV212" i="8"/>
  <c r="AV237" i="8" s="1"/>
  <c r="AW212" i="8"/>
  <c r="AW237" i="8" s="1"/>
  <c r="I218" i="8"/>
  <c r="AR218" i="8"/>
  <c r="AS218" i="8"/>
  <c r="AT218" i="8"/>
  <c r="AU218" i="8"/>
  <c r="AU242" i="8" s="1"/>
  <c r="AU298" i="8" s="1"/>
  <c r="AV218" i="8"/>
  <c r="AV242" i="8" s="1"/>
  <c r="AW218" i="8"/>
  <c r="G219" i="8"/>
  <c r="G224" i="8" s="1"/>
  <c r="G226" i="8" s="1"/>
  <c r="I219" i="8"/>
  <c r="I224" i="8" s="1"/>
  <c r="I226" i="8" s="1"/>
  <c r="BB219" i="8"/>
  <c r="AE221" i="8"/>
  <c r="AF221" i="8"/>
  <c r="AG221" i="8"/>
  <c r="AH221" i="8"/>
  <c r="AI221" i="8"/>
  <c r="AJ221" i="8"/>
  <c r="AK221" i="8"/>
  <c r="AL221" i="8"/>
  <c r="AM221" i="8"/>
  <c r="AN221" i="8"/>
  <c r="AO221" i="8"/>
  <c r="AP221" i="8"/>
  <c r="AQ221" i="8"/>
  <c r="AR221" i="8"/>
  <c r="AS221" i="8"/>
  <c r="AT221" i="8"/>
  <c r="AV221" i="8"/>
  <c r="AV276" i="8" s="1"/>
  <c r="AW223" i="8"/>
  <c r="AR79" i="3" s="1"/>
  <c r="AR90" i="3" s="1"/>
  <c r="K223" i="8"/>
  <c r="K245" i="8" s="1"/>
  <c r="L223" i="8"/>
  <c r="L79" i="3" s="1"/>
  <c r="L90" i="3" s="1"/>
  <c r="M223" i="8"/>
  <c r="M79" i="3" s="1"/>
  <c r="M90" i="3" s="1"/>
  <c r="N223" i="8"/>
  <c r="N245" i="8" s="1"/>
  <c r="O223" i="8"/>
  <c r="Q223" i="8"/>
  <c r="Q79" i="3" s="1"/>
  <c r="Q90" i="3" s="1"/>
  <c r="R223" i="8"/>
  <c r="R79" i="3" s="1"/>
  <c r="R90" i="3" s="1"/>
  <c r="S223" i="8"/>
  <c r="S79" i="3" s="1"/>
  <c r="S90" i="3" s="1"/>
  <c r="T223" i="8"/>
  <c r="T79" i="3" s="1"/>
  <c r="T90" i="3" s="1"/>
  <c r="AE223" i="8"/>
  <c r="Z79" i="3" s="1"/>
  <c r="Z90" i="3" s="1"/>
  <c r="AF223" i="8"/>
  <c r="AF245" i="8" s="1"/>
  <c r="AG223" i="8"/>
  <c r="AG425" i="8" s="1"/>
  <c r="AH223" i="8"/>
  <c r="AH245" i="8" s="1"/>
  <c r="AI223" i="8"/>
  <c r="AI245" i="8" s="1"/>
  <c r="AJ223" i="8"/>
  <c r="AJ245" i="8" s="1"/>
  <c r="AK223" i="8"/>
  <c r="AK245" i="8" s="1"/>
  <c r="AL223" i="8"/>
  <c r="AL425" i="8" s="1"/>
  <c r="AM223" i="8"/>
  <c r="AM425" i="8" s="1"/>
  <c r="AN223" i="8"/>
  <c r="AN425" i="8" s="1"/>
  <c r="AO223" i="8"/>
  <c r="AJ79" i="3" s="1"/>
  <c r="AJ90" i="3" s="1"/>
  <c r="AP223" i="8"/>
  <c r="AP245" i="8" s="1"/>
  <c r="AQ223" i="8"/>
  <c r="AQ245" i="8" s="1"/>
  <c r="AX223" i="8"/>
  <c r="AX245" i="8" s="1"/>
  <c r="AY223" i="8"/>
  <c r="AY245" i="8" s="1"/>
  <c r="AZ223" i="8"/>
  <c r="AZ245" i="8" s="1"/>
  <c r="BA223" i="8"/>
  <c r="AV79" i="3" s="1"/>
  <c r="AV90" i="3" s="1"/>
  <c r="BB223" i="8"/>
  <c r="BB245" i="8" s="1"/>
  <c r="AE225" i="8"/>
  <c r="AE235" i="8" s="1"/>
  <c r="AF225" i="8"/>
  <c r="AF235" i="8" s="1"/>
  <c r="AG225" i="8"/>
  <c r="AG235" i="8" s="1"/>
  <c r="AH225" i="8"/>
  <c r="AI225" i="8"/>
  <c r="AI235" i="8" s="1"/>
  <c r="AJ225" i="8"/>
  <c r="AJ235" i="8" s="1"/>
  <c r="AK225" i="8"/>
  <c r="AK235" i="8" s="1"/>
  <c r="AL225" i="8"/>
  <c r="AM225" i="8"/>
  <c r="AN225" i="8"/>
  <c r="AO225" i="8"/>
  <c r="AP225" i="8"/>
  <c r="AQ225" i="8"/>
  <c r="G230" i="8"/>
  <c r="I230" i="8"/>
  <c r="I359" i="8" s="1"/>
  <c r="AS231" i="8"/>
  <c r="AT231" i="8"/>
  <c r="A233" i="8"/>
  <c r="C235" i="8"/>
  <c r="E235" i="8"/>
  <c r="F235" i="8"/>
  <c r="I237" i="8"/>
  <c r="J237" i="8"/>
  <c r="AW242" i="8"/>
  <c r="AW298" i="8" s="1"/>
  <c r="AT245" i="8"/>
  <c r="AU245" i="8"/>
  <c r="G245" i="8"/>
  <c r="I245" i="8"/>
  <c r="AR245" i="8"/>
  <c r="AS245" i="8"/>
  <c r="AV245" i="8"/>
  <c r="D247" i="8"/>
  <c r="AU247" i="8"/>
  <c r="F247" i="8" s="1"/>
  <c r="G247" i="8"/>
  <c r="I247" i="8"/>
  <c r="BB247" i="8"/>
  <c r="AE247" i="8"/>
  <c r="AF247" i="8"/>
  <c r="AG247" i="8"/>
  <c r="AH247" i="8"/>
  <c r="AI247" i="8"/>
  <c r="AJ247" i="8"/>
  <c r="AK247" i="8"/>
  <c r="AL247" i="8"/>
  <c r="AM247" i="8"/>
  <c r="AN247" i="8"/>
  <c r="AO247" i="8"/>
  <c r="AP247" i="8"/>
  <c r="AQ247" i="8"/>
  <c r="AV247" i="8"/>
  <c r="H249" i="8"/>
  <c r="AE249" i="8"/>
  <c r="AF249" i="8"/>
  <c r="AG249" i="8"/>
  <c r="AH249" i="8"/>
  <c r="AI249" i="8"/>
  <c r="AJ249" i="8"/>
  <c r="AK249" i="8"/>
  <c r="AL249" i="8"/>
  <c r="AM249" i="8"/>
  <c r="AN249" i="8"/>
  <c r="AO249" i="8"/>
  <c r="AP249" i="8"/>
  <c r="AQ249" i="8"/>
  <c r="I256" i="8"/>
  <c r="AS256" i="8"/>
  <c r="AT256" i="8"/>
  <c r="AU256" i="8"/>
  <c r="AV256" i="8"/>
  <c r="AW256" i="8"/>
  <c r="A258" i="8"/>
  <c r="BB258" i="8"/>
  <c r="BB261" i="8"/>
  <c r="A266" i="8"/>
  <c r="G266" i="8"/>
  <c r="BB266" i="8"/>
  <c r="I270" i="8"/>
  <c r="G271" i="8"/>
  <c r="I271" i="8"/>
  <c r="BB271" i="8"/>
  <c r="G272" i="8"/>
  <c r="BB272" i="8"/>
  <c r="A275" i="8"/>
  <c r="AX276" i="8"/>
  <c r="AY276" i="8"/>
  <c r="AZ276" i="8"/>
  <c r="BA276" i="8"/>
  <c r="AE277" i="8"/>
  <c r="AF277" i="8"/>
  <c r="AG277" i="8"/>
  <c r="AH277" i="8"/>
  <c r="AI277" i="8"/>
  <c r="AJ277" i="8"/>
  <c r="AK277" i="8"/>
  <c r="AL277" i="8"/>
  <c r="AM277" i="8"/>
  <c r="AN277" i="8"/>
  <c r="AO277" i="8"/>
  <c r="AP277" i="8"/>
  <c r="AQ277" i="8"/>
  <c r="F283" i="8"/>
  <c r="H283" i="8"/>
  <c r="K283" i="8"/>
  <c r="M283" i="8"/>
  <c r="O283" i="8"/>
  <c r="Q283" i="8"/>
  <c r="S283" i="8"/>
  <c r="T283" i="8" s="1"/>
  <c r="AW283" i="8"/>
  <c r="AX283" i="8"/>
  <c r="AY283" i="8"/>
  <c r="AZ283" i="8"/>
  <c r="BA283" i="8"/>
  <c r="F284" i="8"/>
  <c r="H284" i="8"/>
  <c r="K285" i="8"/>
  <c r="K83" i="3" s="1"/>
  <c r="M285" i="8"/>
  <c r="M83" i="3" s="1"/>
  <c r="O285" i="8"/>
  <c r="O83" i="3" s="1"/>
  <c r="Q285" i="8"/>
  <c r="Q83" i="3" s="1"/>
  <c r="S285" i="8"/>
  <c r="S83" i="3" s="1"/>
  <c r="AW285" i="8"/>
  <c r="AX285" i="8"/>
  <c r="AY285" i="8"/>
  <c r="AT83" i="3" s="1"/>
  <c r="AZ285" i="8"/>
  <c r="AU83" i="3" s="1"/>
  <c r="BA285" i="8"/>
  <c r="C285" i="8"/>
  <c r="D285" i="8"/>
  <c r="E285" i="8"/>
  <c r="G285" i="8"/>
  <c r="G83" i="3" s="1"/>
  <c r="I285" i="8"/>
  <c r="I83" i="3" s="1"/>
  <c r="AR285" i="8"/>
  <c r="AS285" i="8"/>
  <c r="AT285" i="8"/>
  <c r="AU285" i="8"/>
  <c r="AV285" i="8"/>
  <c r="D287" i="8"/>
  <c r="F287" i="8"/>
  <c r="H287" i="8"/>
  <c r="J287" i="8"/>
  <c r="D288" i="8"/>
  <c r="F288" i="8"/>
  <c r="H288" i="8"/>
  <c r="J288" i="8"/>
  <c r="D290" i="8"/>
  <c r="F290" i="8"/>
  <c r="H290" i="8"/>
  <c r="J290" i="8"/>
  <c r="D291" i="8"/>
  <c r="F291" i="8"/>
  <c r="H291" i="8"/>
  <c r="J291" i="8"/>
  <c r="AE298" i="8"/>
  <c r="AF298" i="8"/>
  <c r="AG298" i="8"/>
  <c r="AH298" i="8"/>
  <c r="AI298" i="8"/>
  <c r="AJ298" i="8"/>
  <c r="AK298" i="8"/>
  <c r="AL298" i="8"/>
  <c r="AM298" i="8"/>
  <c r="AN298" i="8"/>
  <c r="AO298" i="8"/>
  <c r="AP298" i="8"/>
  <c r="AQ298" i="8"/>
  <c r="AR298" i="8"/>
  <c r="AS298" i="8"/>
  <c r="AT298" i="8"/>
  <c r="F303" i="8"/>
  <c r="F368" i="8" s="1"/>
  <c r="J303" i="8"/>
  <c r="J368" i="8" s="1"/>
  <c r="T303" i="8"/>
  <c r="T368" i="8" s="1"/>
  <c r="AQ303" i="8"/>
  <c r="AQ368" i="8" s="1"/>
  <c r="J304" i="8"/>
  <c r="T304" i="8"/>
  <c r="F305" i="8"/>
  <c r="J305" i="8"/>
  <c r="T305" i="8"/>
  <c r="AQ305" i="8"/>
  <c r="F306" i="8"/>
  <c r="J306" i="8"/>
  <c r="T306" i="8"/>
  <c r="AQ306" i="8"/>
  <c r="F307" i="8"/>
  <c r="J307" i="8"/>
  <c r="T307" i="8"/>
  <c r="AQ307" i="8"/>
  <c r="AE308" i="8"/>
  <c r="AF308" i="8"/>
  <c r="AG308" i="8"/>
  <c r="AH308" i="8"/>
  <c r="AI308" i="8"/>
  <c r="AJ308" i="8"/>
  <c r="AK308" i="8"/>
  <c r="AL308" i="8"/>
  <c r="AM308" i="8"/>
  <c r="AN308" i="8"/>
  <c r="AO308" i="8"/>
  <c r="AP308" i="8"/>
  <c r="AR308" i="8"/>
  <c r="AS308" i="8"/>
  <c r="AT308" i="8"/>
  <c r="AU308" i="8"/>
  <c r="AV308" i="8"/>
  <c r="F309" i="8"/>
  <c r="T309" i="8"/>
  <c r="T347" i="8" s="1"/>
  <c r="U363" i="8" s="1"/>
  <c r="AE309" i="8"/>
  <c r="AE347" i="8" s="1"/>
  <c r="AF309" i="8"/>
  <c r="AF347" i="8" s="1"/>
  <c r="AG309" i="8"/>
  <c r="AG347" i="8" s="1"/>
  <c r="AH309" i="8"/>
  <c r="AI309" i="8"/>
  <c r="AJ309" i="8"/>
  <c r="AJ347" i="8" s="1"/>
  <c r="AK309" i="8"/>
  <c r="AK347" i="8" s="1"/>
  <c r="AL309" i="8"/>
  <c r="AM309" i="8"/>
  <c r="AN309" i="8"/>
  <c r="AN347" i="8" s="1"/>
  <c r="AO309" i="8"/>
  <c r="AP309" i="8"/>
  <c r="AQ309" i="8"/>
  <c r="AQ347" i="8" s="1"/>
  <c r="F310" i="8"/>
  <c r="F346" i="8" s="1"/>
  <c r="T310" i="8"/>
  <c r="T346" i="8" s="1"/>
  <c r="AE310" i="8"/>
  <c r="AE346" i="8" s="1"/>
  <c r="AF310" i="8"/>
  <c r="AF346" i="8" s="1"/>
  <c r="AG310" i="8"/>
  <c r="AG346" i="8" s="1"/>
  <c r="AH310" i="8"/>
  <c r="AH346" i="8" s="1"/>
  <c r="AI310" i="8"/>
  <c r="AI346" i="8" s="1"/>
  <c r="AJ310" i="8"/>
  <c r="AJ346" i="8" s="1"/>
  <c r="AK310" i="8"/>
  <c r="AK346" i="8" s="1"/>
  <c r="AL310" i="8"/>
  <c r="AL346" i="8" s="1"/>
  <c r="AM310" i="8"/>
  <c r="AM346" i="8" s="1"/>
  <c r="AN310" i="8"/>
  <c r="AN346" i="8" s="1"/>
  <c r="AO310" i="8"/>
  <c r="AO346" i="8" s="1"/>
  <c r="AP310" i="8"/>
  <c r="AP346" i="8" s="1"/>
  <c r="AQ310" i="8"/>
  <c r="AQ346" i="8" s="1"/>
  <c r="F311" i="8"/>
  <c r="T311" i="8"/>
  <c r="AE311" i="8"/>
  <c r="AF311" i="8"/>
  <c r="AG311" i="8"/>
  <c r="AH311" i="8"/>
  <c r="AI311" i="8"/>
  <c r="AJ311" i="8"/>
  <c r="AK311" i="8"/>
  <c r="AL311" i="8"/>
  <c r="AM311" i="8"/>
  <c r="AN311" i="8"/>
  <c r="AO311" i="8"/>
  <c r="AP311" i="8"/>
  <c r="AQ311" i="8"/>
  <c r="F312" i="8"/>
  <c r="J312" i="8"/>
  <c r="J108" i="3" s="1"/>
  <c r="T312" i="8"/>
  <c r="AE312" i="8"/>
  <c r="AF312" i="8"/>
  <c r="AG312" i="8"/>
  <c r="AH312" i="8"/>
  <c r="AI312" i="8"/>
  <c r="AJ312" i="8"/>
  <c r="AK312" i="8"/>
  <c r="AL312" i="8"/>
  <c r="AM312" i="8"/>
  <c r="AN312" i="8"/>
  <c r="AO312" i="8"/>
  <c r="AP312" i="8"/>
  <c r="AQ312" i="8"/>
  <c r="AR313" i="8"/>
  <c r="AS313" i="8"/>
  <c r="AT313" i="8"/>
  <c r="AU313" i="8"/>
  <c r="AV313" i="8"/>
  <c r="F317" i="8"/>
  <c r="F351" i="8" s="1"/>
  <c r="F352" i="8" s="1"/>
  <c r="J317" i="8"/>
  <c r="T317" i="8"/>
  <c r="AQ317" i="8"/>
  <c r="AQ351" i="8" s="1"/>
  <c r="AQ352" i="8" s="1"/>
  <c r="J318" i="8"/>
  <c r="T318" i="8"/>
  <c r="F319" i="8"/>
  <c r="J319" i="8"/>
  <c r="T319" i="8"/>
  <c r="AQ319" i="8"/>
  <c r="J320" i="8"/>
  <c r="T320" i="8"/>
  <c r="AU321" i="8"/>
  <c r="F321" i="8" s="1"/>
  <c r="T321" i="8"/>
  <c r="AQ321" i="8"/>
  <c r="AR321" i="8"/>
  <c r="AR323" i="8" s="1"/>
  <c r="AS321" i="8"/>
  <c r="AS323" i="8" s="1"/>
  <c r="AT321" i="8"/>
  <c r="AT323" i="8" s="1"/>
  <c r="F322" i="8"/>
  <c r="J322" i="8"/>
  <c r="T322" i="8"/>
  <c r="AQ322" i="8"/>
  <c r="AE323" i="8"/>
  <c r="AF323" i="8"/>
  <c r="AG323" i="8"/>
  <c r="AH323" i="8"/>
  <c r="AI323" i="8"/>
  <c r="AJ323" i="8"/>
  <c r="AK323" i="8"/>
  <c r="AL323" i="8"/>
  <c r="AM323" i="8"/>
  <c r="AN323" i="8"/>
  <c r="AO323" i="8"/>
  <c r="AP323" i="8"/>
  <c r="AV323" i="8"/>
  <c r="A324" i="8"/>
  <c r="AU324" i="8"/>
  <c r="T324" i="8"/>
  <c r="AE324" i="8"/>
  <c r="AF324" i="8"/>
  <c r="AG324" i="8"/>
  <c r="AH324" i="8"/>
  <c r="AI324" i="8"/>
  <c r="AJ324" i="8"/>
  <c r="AK324" i="8"/>
  <c r="AL324" i="8"/>
  <c r="AM324" i="8"/>
  <c r="AN324" i="8"/>
  <c r="AO324" i="8"/>
  <c r="AP324" i="8"/>
  <c r="AQ324" i="8"/>
  <c r="AR324" i="8"/>
  <c r="AS324" i="8"/>
  <c r="AT324" i="8"/>
  <c r="A325" i="8"/>
  <c r="J325" i="8"/>
  <c r="T325" i="8"/>
  <c r="A326" i="8"/>
  <c r="J326" i="8"/>
  <c r="T326" i="8"/>
  <c r="A327" i="8"/>
  <c r="J327" i="8"/>
  <c r="T327" i="8"/>
  <c r="A328" i="8"/>
  <c r="J328" i="8"/>
  <c r="T328" i="8"/>
  <c r="A329" i="8"/>
  <c r="AU329" i="8"/>
  <c r="F329" i="8" s="1"/>
  <c r="T329" i="8"/>
  <c r="AE329" i="8"/>
  <c r="AF329" i="8"/>
  <c r="AG329" i="8"/>
  <c r="AH329" i="8"/>
  <c r="AI329" i="8"/>
  <c r="AJ329" i="8"/>
  <c r="AK329" i="8"/>
  <c r="AL329" i="8"/>
  <c r="AM329" i="8"/>
  <c r="AN329" i="8"/>
  <c r="AO329" i="8"/>
  <c r="AP329" i="8"/>
  <c r="AQ329" i="8"/>
  <c r="AR329" i="8"/>
  <c r="AS329" i="8"/>
  <c r="AT329" i="8"/>
  <c r="A330" i="8"/>
  <c r="AU330" i="8"/>
  <c r="F330" i="8" s="1"/>
  <c r="T330" i="8"/>
  <c r="AE330" i="8"/>
  <c r="AF330" i="8"/>
  <c r="AG330" i="8"/>
  <c r="AH330" i="8"/>
  <c r="AI330" i="8"/>
  <c r="AJ330" i="8"/>
  <c r="AK330" i="8"/>
  <c r="AL330" i="8"/>
  <c r="AM330" i="8"/>
  <c r="AN330" i="8"/>
  <c r="AO330" i="8"/>
  <c r="AP330" i="8"/>
  <c r="AQ330" i="8"/>
  <c r="AR330" i="8"/>
  <c r="AS330" i="8"/>
  <c r="AT330" i="8"/>
  <c r="A331" i="8"/>
  <c r="AU331" i="8"/>
  <c r="F331" i="8" s="1"/>
  <c r="T331" i="8"/>
  <c r="AE331" i="8"/>
  <c r="AF331" i="8"/>
  <c r="AG331" i="8"/>
  <c r="AH331" i="8"/>
  <c r="AI331" i="8"/>
  <c r="AJ331" i="8"/>
  <c r="AK331" i="8"/>
  <c r="AL331" i="8"/>
  <c r="AM331" i="8"/>
  <c r="AN331" i="8"/>
  <c r="AO331" i="8"/>
  <c r="AP331" i="8"/>
  <c r="AQ331" i="8"/>
  <c r="AR331" i="8"/>
  <c r="AS331" i="8"/>
  <c r="AT331" i="8"/>
  <c r="AV332" i="8"/>
  <c r="C337" i="8"/>
  <c r="D337" i="8"/>
  <c r="E337" i="8"/>
  <c r="F337" i="8"/>
  <c r="H337" i="8"/>
  <c r="J337" i="8"/>
  <c r="K337" i="8"/>
  <c r="L337" i="8"/>
  <c r="M337" i="8"/>
  <c r="N337" i="8"/>
  <c r="O337" i="8"/>
  <c r="P337" i="8"/>
  <c r="Q337" i="8"/>
  <c r="R337" i="8"/>
  <c r="S337" i="8"/>
  <c r="T337" i="8"/>
  <c r="AE337" i="8"/>
  <c r="AF337" i="8"/>
  <c r="AG337" i="8"/>
  <c r="AH337" i="8"/>
  <c r="AI337" i="8"/>
  <c r="AJ337" i="8"/>
  <c r="AK337" i="8"/>
  <c r="AL337" i="8"/>
  <c r="AM337" i="8"/>
  <c r="AN337" i="8"/>
  <c r="AO337" i="8"/>
  <c r="AP337" i="8"/>
  <c r="AW337" i="8"/>
  <c r="AX337" i="8"/>
  <c r="AY337" i="8"/>
  <c r="AZ337" i="8"/>
  <c r="BA337" i="8"/>
  <c r="C338" i="8"/>
  <c r="D338" i="8"/>
  <c r="E338" i="8"/>
  <c r="F338" i="8"/>
  <c r="H338" i="8"/>
  <c r="J338" i="8"/>
  <c r="K338" i="8"/>
  <c r="L338" i="8"/>
  <c r="M338" i="8"/>
  <c r="N338" i="8"/>
  <c r="O338" i="8"/>
  <c r="P338" i="8"/>
  <c r="Q338" i="8"/>
  <c r="R338" i="8"/>
  <c r="S338" i="8"/>
  <c r="T338" i="8"/>
  <c r="AE338" i="8"/>
  <c r="AF338" i="8"/>
  <c r="AG338" i="8"/>
  <c r="AH338" i="8"/>
  <c r="AI338" i="8"/>
  <c r="AJ338" i="8"/>
  <c r="AK338" i="8"/>
  <c r="AL338" i="8"/>
  <c r="AM338" i="8"/>
  <c r="AN338" i="8"/>
  <c r="AO338" i="8"/>
  <c r="AP338" i="8"/>
  <c r="AW338" i="8"/>
  <c r="AX338" i="8"/>
  <c r="AY338" i="8"/>
  <c r="AZ338" i="8"/>
  <c r="BA338" i="8"/>
  <c r="C339" i="8"/>
  <c r="D339" i="8"/>
  <c r="E339" i="8"/>
  <c r="F339" i="8"/>
  <c r="H339" i="8"/>
  <c r="J339" i="8"/>
  <c r="K339" i="8"/>
  <c r="L339" i="8"/>
  <c r="M339" i="8"/>
  <c r="N339" i="8"/>
  <c r="O339" i="8"/>
  <c r="P339" i="8"/>
  <c r="Q339" i="8"/>
  <c r="R339" i="8"/>
  <c r="S339" i="8"/>
  <c r="BB339" i="8"/>
  <c r="T339" i="8" s="1"/>
  <c r="AE339" i="8"/>
  <c r="AF339" i="8"/>
  <c r="AG339" i="8"/>
  <c r="AH339" i="8"/>
  <c r="AI339" i="8"/>
  <c r="AJ339" i="8"/>
  <c r="AK339" i="8"/>
  <c r="AL339" i="8"/>
  <c r="AM339" i="8"/>
  <c r="AN339" i="8"/>
  <c r="AO339" i="8"/>
  <c r="AP339" i="8"/>
  <c r="AW339" i="8"/>
  <c r="AX339" i="8"/>
  <c r="AY339" i="8"/>
  <c r="AZ339" i="8"/>
  <c r="BA339" i="8"/>
  <c r="C340" i="8"/>
  <c r="D340" i="8"/>
  <c r="E340" i="8"/>
  <c r="F340" i="8"/>
  <c r="H340" i="8"/>
  <c r="J340" i="8"/>
  <c r="K340" i="8"/>
  <c r="L340" i="8"/>
  <c r="M340" i="8"/>
  <c r="N340" i="8"/>
  <c r="O340" i="8"/>
  <c r="P340" i="8"/>
  <c r="Q340" i="8"/>
  <c r="R340" i="8"/>
  <c r="S340" i="8"/>
  <c r="T340" i="8"/>
  <c r="AE340" i="8"/>
  <c r="AF340" i="8"/>
  <c r="AG340" i="8"/>
  <c r="AH340" i="8"/>
  <c r="AI340" i="8"/>
  <c r="AJ340" i="8"/>
  <c r="AK340" i="8"/>
  <c r="AL340" i="8"/>
  <c r="AM340" i="8"/>
  <c r="AN340" i="8"/>
  <c r="AO340" i="8"/>
  <c r="AP340" i="8"/>
  <c r="AW340" i="8"/>
  <c r="AX340" i="8"/>
  <c r="AY340" i="8"/>
  <c r="AZ340" i="8"/>
  <c r="BA340" i="8"/>
  <c r="G341" i="8"/>
  <c r="I341" i="8"/>
  <c r="AR341" i="8"/>
  <c r="AS341" i="8"/>
  <c r="AT341" i="8"/>
  <c r="AU341" i="8"/>
  <c r="AV341" i="8"/>
  <c r="G346" i="8"/>
  <c r="I346" i="8"/>
  <c r="Y346" i="8"/>
  <c r="Z346" i="8"/>
  <c r="AD346" i="8"/>
  <c r="AR346" i="8"/>
  <c r="AS346" i="8"/>
  <c r="AT346" i="8"/>
  <c r="AU346" i="8"/>
  <c r="AV346" i="8"/>
  <c r="BB346" i="8"/>
  <c r="G347" i="8"/>
  <c r="I347" i="8"/>
  <c r="Y347" i="8"/>
  <c r="Z347" i="8"/>
  <c r="AD347" i="8"/>
  <c r="AR347" i="8"/>
  <c r="AS347" i="8"/>
  <c r="AT347" i="8"/>
  <c r="AU347" i="8"/>
  <c r="AV347" i="8"/>
  <c r="BB347" i="8"/>
  <c r="BC363" i="8" s="1"/>
  <c r="G351" i="8"/>
  <c r="G352" i="8" s="1"/>
  <c r="I351" i="8"/>
  <c r="I352" i="8" s="1"/>
  <c r="Y351" i="8"/>
  <c r="Y352" i="8" s="1"/>
  <c r="Z351" i="8"/>
  <c r="Z352" i="8" s="1"/>
  <c r="AD351" i="8"/>
  <c r="AD352" i="8" s="1"/>
  <c r="AE351" i="8"/>
  <c r="AE352" i="8" s="1"/>
  <c r="AF351" i="8"/>
  <c r="AF352" i="8" s="1"/>
  <c r="AG351" i="8"/>
  <c r="AG352" i="8" s="1"/>
  <c r="AH351" i="8"/>
  <c r="AH352" i="8" s="1"/>
  <c r="AI351" i="8"/>
  <c r="AI352" i="8" s="1"/>
  <c r="AJ351" i="8"/>
  <c r="AJ352" i="8" s="1"/>
  <c r="AK351" i="8"/>
  <c r="AK352" i="8" s="1"/>
  <c r="AL351" i="8"/>
  <c r="AL352" i="8" s="1"/>
  <c r="AM351" i="8"/>
  <c r="AM352" i="8" s="1"/>
  <c r="AN351" i="8"/>
  <c r="AN352" i="8" s="1"/>
  <c r="AO351" i="8"/>
  <c r="AO352" i="8" s="1"/>
  <c r="AP351" i="8"/>
  <c r="AP352" i="8" s="1"/>
  <c r="AR351" i="8"/>
  <c r="AR352" i="8" s="1"/>
  <c r="AS351" i="8"/>
  <c r="AS352" i="8" s="1"/>
  <c r="AT351" i="8"/>
  <c r="AT352" i="8" s="1"/>
  <c r="AU351" i="8"/>
  <c r="AU352" i="8" s="1"/>
  <c r="AV351" i="8"/>
  <c r="AV352" i="8" s="1"/>
  <c r="BB351" i="8"/>
  <c r="Y359" i="8"/>
  <c r="Z359" i="8"/>
  <c r="AD359" i="8"/>
  <c r="BB359" i="8"/>
  <c r="G368" i="8"/>
  <c r="I368" i="8"/>
  <c r="Y368" i="8"/>
  <c r="Z368" i="8"/>
  <c r="AD368" i="8"/>
  <c r="AE368" i="8"/>
  <c r="AF368" i="8"/>
  <c r="AG368" i="8"/>
  <c r="AH368" i="8"/>
  <c r="AI368" i="8"/>
  <c r="AJ368" i="8"/>
  <c r="AK368" i="8"/>
  <c r="AL368" i="8"/>
  <c r="AM368" i="8"/>
  <c r="AN368" i="8"/>
  <c r="AO368" i="8"/>
  <c r="AP368" i="8"/>
  <c r="AR368" i="8"/>
  <c r="AS368" i="8"/>
  <c r="AT368" i="8"/>
  <c r="AU368" i="8"/>
  <c r="AV368" i="8"/>
  <c r="BB368" i="8"/>
  <c r="G369" i="8"/>
  <c r="I369" i="8"/>
  <c r="Y369" i="8"/>
  <c r="Z369" i="8"/>
  <c r="AD369" i="8"/>
  <c r="AE369" i="8"/>
  <c r="AF369" i="8"/>
  <c r="AG369" i="8"/>
  <c r="AH369" i="8"/>
  <c r="AI369" i="8"/>
  <c r="AJ369" i="8"/>
  <c r="AK369" i="8"/>
  <c r="AL369" i="8"/>
  <c r="AM369" i="8"/>
  <c r="AN369" i="8"/>
  <c r="AO369" i="8"/>
  <c r="AP369" i="8"/>
  <c r="AR369" i="8"/>
  <c r="AS369" i="8"/>
  <c r="AT369" i="8"/>
  <c r="AU369" i="8"/>
  <c r="AV369" i="8"/>
  <c r="BB369" i="8"/>
  <c r="J379" i="8"/>
  <c r="AE379" i="8"/>
  <c r="A381" i="8"/>
  <c r="J381" i="8"/>
  <c r="J383" i="8"/>
  <c r="AE383" i="8"/>
  <c r="J384" i="8"/>
  <c r="J385" i="8"/>
  <c r="AE385" i="8"/>
  <c r="A386" i="8"/>
  <c r="AE386" i="8"/>
  <c r="AR386" i="8"/>
  <c r="AS386" i="8"/>
  <c r="AT386" i="8"/>
  <c r="A387" i="8"/>
  <c r="AE387" i="8"/>
  <c r="AR387" i="8"/>
  <c r="AS387" i="8"/>
  <c r="AT387" i="8"/>
  <c r="A388" i="8"/>
  <c r="J388" i="8"/>
  <c r="A389" i="8"/>
  <c r="T389" i="8"/>
  <c r="AE389" i="8"/>
  <c r="AR389" i="8"/>
  <c r="AS389" i="8"/>
  <c r="AT389" i="8"/>
  <c r="J390" i="8"/>
  <c r="AE390" i="8"/>
  <c r="J392" i="8"/>
  <c r="AE392" i="8"/>
  <c r="A393" i="8"/>
  <c r="J393" i="8"/>
  <c r="AE393" i="8"/>
  <c r="A394" i="8"/>
  <c r="J394" i="8"/>
  <c r="AE394" i="8"/>
  <c r="J396" i="8"/>
  <c r="J102" i="3" s="1"/>
  <c r="AE396" i="8"/>
  <c r="AF396" i="8"/>
  <c r="AG396" i="8"/>
  <c r="AH396" i="8"/>
  <c r="AI396" i="8"/>
  <c r="AJ396" i="8"/>
  <c r="AK396" i="8"/>
  <c r="AL396" i="8"/>
  <c r="AM396" i="8"/>
  <c r="AN396" i="8"/>
  <c r="AO396" i="8"/>
  <c r="AP396" i="8"/>
  <c r="AQ396" i="8"/>
  <c r="C400" i="8"/>
  <c r="E400" i="8"/>
  <c r="F400" i="8" s="1"/>
  <c r="H400" i="8"/>
  <c r="J400" i="8"/>
  <c r="AE400" i="8"/>
  <c r="AF400" i="8"/>
  <c r="AG400" i="8"/>
  <c r="AH400" i="8"/>
  <c r="AI400" i="8"/>
  <c r="AJ400" i="8"/>
  <c r="AK400" i="8"/>
  <c r="AL400" i="8"/>
  <c r="AM400" i="8"/>
  <c r="AN400" i="8"/>
  <c r="AO400" i="8"/>
  <c r="AP400" i="8"/>
  <c r="AQ400" i="8"/>
  <c r="J401" i="8"/>
  <c r="J426" i="8" s="1"/>
  <c r="AE401" i="8"/>
  <c r="J402" i="8"/>
  <c r="AE402" i="8"/>
  <c r="AE427" i="8" s="1"/>
  <c r="A403" i="8"/>
  <c r="C403" i="8"/>
  <c r="D403" i="8"/>
  <c r="E403" i="8"/>
  <c r="H403" i="8"/>
  <c r="T403" i="8"/>
  <c r="AE403" i="8"/>
  <c r="AF403" i="8"/>
  <c r="AG403" i="8"/>
  <c r="AH403" i="8"/>
  <c r="AI403" i="8"/>
  <c r="AJ403" i="8"/>
  <c r="AK403" i="8"/>
  <c r="AL403" i="8"/>
  <c r="AM403" i="8"/>
  <c r="AN403" i="8"/>
  <c r="AO403" i="8"/>
  <c r="AP403" i="8"/>
  <c r="AQ403" i="8"/>
  <c r="AR403" i="8"/>
  <c r="AS403" i="8"/>
  <c r="AT403" i="8"/>
  <c r="H404" i="8"/>
  <c r="T404" i="8"/>
  <c r="AE404" i="8"/>
  <c r="AF404" i="8"/>
  <c r="AG404" i="8"/>
  <c r="AH404" i="8"/>
  <c r="AI404" i="8"/>
  <c r="AJ404" i="8"/>
  <c r="AK404" i="8"/>
  <c r="AL404" i="8"/>
  <c r="AM404" i="8"/>
  <c r="AN404" i="8"/>
  <c r="AO404" i="8"/>
  <c r="AP404" i="8"/>
  <c r="AQ404" i="8"/>
  <c r="AR404" i="8"/>
  <c r="AS404" i="8"/>
  <c r="AT404" i="8"/>
  <c r="J405" i="8"/>
  <c r="J428" i="8" s="1"/>
  <c r="AE405" i="8"/>
  <c r="AE428" i="8" s="1"/>
  <c r="AF405" i="8"/>
  <c r="AF428" i="8" s="1"/>
  <c r="AG405" i="8"/>
  <c r="AG428" i="8" s="1"/>
  <c r="AH405" i="8"/>
  <c r="AH428" i="8" s="1"/>
  <c r="AI405" i="8"/>
  <c r="AI428" i="8" s="1"/>
  <c r="AJ405" i="8"/>
  <c r="AJ428" i="8" s="1"/>
  <c r="AK405" i="8"/>
  <c r="AK428" i="8" s="1"/>
  <c r="AL405" i="8"/>
  <c r="AL428" i="8" s="1"/>
  <c r="AM405" i="8"/>
  <c r="AM428" i="8" s="1"/>
  <c r="AN405" i="8"/>
  <c r="AN428" i="8" s="1"/>
  <c r="AO405" i="8"/>
  <c r="AO428" i="8" s="1"/>
  <c r="AP405" i="8"/>
  <c r="AP428" i="8" s="1"/>
  <c r="AQ405" i="8"/>
  <c r="AQ428" i="8" s="1"/>
  <c r="G406" i="8"/>
  <c r="I406" i="8"/>
  <c r="J409" i="8"/>
  <c r="AE409" i="8"/>
  <c r="AE431" i="8" s="1"/>
  <c r="AF409" i="8"/>
  <c r="AF431" i="8" s="1"/>
  <c r="AG409" i="8"/>
  <c r="AG431" i="8" s="1"/>
  <c r="AH409" i="8"/>
  <c r="AH431" i="8" s="1"/>
  <c r="AI409" i="8"/>
  <c r="AI431" i="8" s="1"/>
  <c r="AJ409" i="8"/>
  <c r="AJ431" i="8" s="1"/>
  <c r="AK409" i="8"/>
  <c r="AL409" i="8"/>
  <c r="AL431" i="8" s="1"/>
  <c r="AM409" i="8"/>
  <c r="AM431" i="8" s="1"/>
  <c r="AN409" i="8"/>
  <c r="AN431" i="8" s="1"/>
  <c r="AO409" i="8"/>
  <c r="AO431" i="8" s="1"/>
  <c r="AP409" i="8"/>
  <c r="AP431" i="8" s="1"/>
  <c r="AQ409" i="8"/>
  <c r="AQ431" i="8" s="1"/>
  <c r="A410" i="8"/>
  <c r="C410" i="8"/>
  <c r="D410" i="8"/>
  <c r="E410" i="8"/>
  <c r="H410" i="8"/>
  <c r="T410" i="8"/>
  <c r="AE410" i="8"/>
  <c r="AF410" i="8"/>
  <c r="AG410" i="8"/>
  <c r="AH410" i="8"/>
  <c r="AI410" i="8"/>
  <c r="AJ410" i="8"/>
  <c r="AK410" i="8"/>
  <c r="AL410" i="8"/>
  <c r="AM410" i="8"/>
  <c r="AN410" i="8"/>
  <c r="AO410" i="8"/>
  <c r="AP410" i="8"/>
  <c r="AQ410" i="8"/>
  <c r="AR410" i="8"/>
  <c r="AR416" i="8" s="1"/>
  <c r="AS410" i="8"/>
  <c r="AT410" i="8"/>
  <c r="AO66" i="3" s="1"/>
  <c r="J411" i="8"/>
  <c r="J432" i="8" s="1"/>
  <c r="AE411" i="8"/>
  <c r="AF411" i="8"/>
  <c r="AF432" i="8" s="1"/>
  <c r="AG411" i="8"/>
  <c r="AG432" i="8" s="1"/>
  <c r="AH411" i="8"/>
  <c r="AH432" i="8" s="1"/>
  <c r="AI411" i="8"/>
  <c r="AI432" i="8" s="1"/>
  <c r="AJ411" i="8"/>
  <c r="AJ432" i="8" s="1"/>
  <c r="AK411" i="8"/>
  <c r="AK432" i="8" s="1"/>
  <c r="AL411" i="8"/>
  <c r="AL432" i="8" s="1"/>
  <c r="AM411" i="8"/>
  <c r="AN411" i="8"/>
  <c r="AN432" i="8" s="1"/>
  <c r="AO411" i="8"/>
  <c r="AO432" i="8" s="1"/>
  <c r="AP411" i="8"/>
  <c r="AP432" i="8" s="1"/>
  <c r="AQ411" i="8"/>
  <c r="AQ432" i="8" s="1"/>
  <c r="J412" i="8"/>
  <c r="J433" i="8" s="1"/>
  <c r="AE412" i="8"/>
  <c r="AE433" i="8" s="1"/>
  <c r="AF412" i="8"/>
  <c r="AF433" i="8" s="1"/>
  <c r="AG412" i="8"/>
  <c r="AG433" i="8" s="1"/>
  <c r="AH412" i="8"/>
  <c r="AH433" i="8" s="1"/>
  <c r="AI412" i="8"/>
  <c r="AI433" i="8" s="1"/>
  <c r="AJ412" i="8"/>
  <c r="AJ433" i="8" s="1"/>
  <c r="AK412" i="8"/>
  <c r="AK433" i="8" s="1"/>
  <c r="AL412" i="8"/>
  <c r="AL433" i="8" s="1"/>
  <c r="AM412" i="8"/>
  <c r="AM433" i="8" s="1"/>
  <c r="AN412" i="8"/>
  <c r="AN433" i="8" s="1"/>
  <c r="AO412" i="8"/>
  <c r="AO433" i="8" s="1"/>
  <c r="AP412" i="8"/>
  <c r="AP433" i="8" s="1"/>
  <c r="AQ412" i="8"/>
  <c r="AQ433" i="8" s="1"/>
  <c r="A413" i="8"/>
  <c r="J413" i="8"/>
  <c r="A414" i="8"/>
  <c r="J414" i="8"/>
  <c r="J415" i="8"/>
  <c r="J434" i="8" s="1"/>
  <c r="AE415" i="8"/>
  <c r="AE434" i="8" s="1"/>
  <c r="AF415" i="8"/>
  <c r="AF434" i="8" s="1"/>
  <c r="AG415" i="8"/>
  <c r="AG434" i="8" s="1"/>
  <c r="AH415" i="8"/>
  <c r="AH434" i="8" s="1"/>
  <c r="AI415" i="8"/>
  <c r="AI434" i="8" s="1"/>
  <c r="AJ415" i="8"/>
  <c r="AJ434" i="8" s="1"/>
  <c r="AK415" i="8"/>
  <c r="AK434" i="8" s="1"/>
  <c r="AL415" i="8"/>
  <c r="AL434" i="8" s="1"/>
  <c r="AM415" i="8"/>
  <c r="AM434" i="8" s="1"/>
  <c r="AN415" i="8"/>
  <c r="AN434" i="8" s="1"/>
  <c r="AO415" i="8"/>
  <c r="AO434" i="8" s="1"/>
  <c r="AP415" i="8"/>
  <c r="AP434" i="8" s="1"/>
  <c r="AQ415" i="8"/>
  <c r="AQ434" i="8" s="1"/>
  <c r="G416" i="8"/>
  <c r="I416" i="8"/>
  <c r="A417" i="8"/>
  <c r="AR435" i="8"/>
  <c r="AR429" i="8"/>
  <c r="AS435" i="8"/>
  <c r="AS429" i="8"/>
  <c r="AT435" i="8"/>
  <c r="AT429" i="8"/>
  <c r="AC5" i="3"/>
  <c r="AB5" i="3" s="1"/>
  <c r="AA5" i="3" s="1"/>
  <c r="Z5" i="3" s="1"/>
  <c r="AE5" i="3"/>
  <c r="AF5" i="3" s="1"/>
  <c r="AG5" i="3" s="1"/>
  <c r="AH5" i="3" s="1"/>
  <c r="AI5" i="3" s="1"/>
  <c r="AJ5" i="3" s="1"/>
  <c r="AK5" i="3" s="1"/>
  <c r="AL5" i="3" s="1"/>
  <c r="AM5" i="3" s="1"/>
  <c r="AN5" i="3" s="1"/>
  <c r="AO5" i="3" s="1"/>
  <c r="A9" i="3"/>
  <c r="AP9" i="3"/>
  <c r="G9" i="3"/>
  <c r="G10" i="27" s="1"/>
  <c r="I9" i="3"/>
  <c r="I10" i="27" s="1"/>
  <c r="AM9" i="3"/>
  <c r="AN9" i="3"/>
  <c r="AQ9" i="3"/>
  <c r="AQ10" i="27" s="1"/>
  <c r="AR9" i="3"/>
  <c r="BB15" i="3"/>
  <c r="BC15" i="3"/>
  <c r="BD15" i="3"/>
  <c r="BE15" i="3"/>
  <c r="BF15" i="3"/>
  <c r="G22" i="3"/>
  <c r="G22" i="27" s="1"/>
  <c r="A27" i="3"/>
  <c r="A27" i="27" s="1"/>
  <c r="G60" i="3"/>
  <c r="G53" i="3"/>
  <c r="I53" i="3"/>
  <c r="AM53" i="3"/>
  <c r="C36" i="4" s="1"/>
  <c r="AN53" i="3"/>
  <c r="D36" i="4" s="1"/>
  <c r="AP60" i="3"/>
  <c r="AQ60" i="3"/>
  <c r="AR60" i="3"/>
  <c r="AS60" i="3"/>
  <c r="AT60" i="3"/>
  <c r="AU60" i="3"/>
  <c r="AV60" i="3"/>
  <c r="A38" i="3"/>
  <c r="K38" i="3"/>
  <c r="L38" i="3"/>
  <c r="M38" i="3"/>
  <c r="N38" i="3"/>
  <c r="O38" i="3"/>
  <c r="P38" i="3"/>
  <c r="Q38" i="3"/>
  <c r="R38" i="3"/>
  <c r="Z38" i="3"/>
  <c r="AA38" i="3"/>
  <c r="AB38" i="3"/>
  <c r="AC38" i="3"/>
  <c r="AD38" i="3"/>
  <c r="AE38" i="3"/>
  <c r="AF38" i="3"/>
  <c r="AG38" i="3"/>
  <c r="AH38" i="3"/>
  <c r="AI38" i="3"/>
  <c r="AJ38" i="3"/>
  <c r="AK38" i="3"/>
  <c r="AL38" i="3"/>
  <c r="AM38" i="3"/>
  <c r="AN38" i="3"/>
  <c r="AO38" i="3"/>
  <c r="AP38" i="3"/>
  <c r="AQ38" i="3"/>
  <c r="AR38" i="3"/>
  <c r="AS38" i="3"/>
  <c r="AT38" i="3"/>
  <c r="AU38" i="3"/>
  <c r="AV38" i="3"/>
  <c r="Z42" i="3"/>
  <c r="AA42" i="3"/>
  <c r="AB42" i="3"/>
  <c r="AC42" i="3"/>
  <c r="AD42" i="3"/>
  <c r="AE42" i="3"/>
  <c r="AF42" i="3"/>
  <c r="AG42" i="3"/>
  <c r="AH42" i="3"/>
  <c r="AI42" i="3"/>
  <c r="AJ42" i="3"/>
  <c r="AK42" i="3"/>
  <c r="AL42" i="3"/>
  <c r="AM42" i="3"/>
  <c r="G66" i="3"/>
  <c r="G89" i="3" s="1"/>
  <c r="I66" i="3"/>
  <c r="AQ66" i="3"/>
  <c r="AQ89" i="3" s="1"/>
  <c r="C79" i="3"/>
  <c r="C90" i="3" s="1"/>
  <c r="E79" i="3"/>
  <c r="E90" i="3" s="1"/>
  <c r="F79" i="3"/>
  <c r="F90" i="3" s="1"/>
  <c r="G79" i="3"/>
  <c r="I79" i="3"/>
  <c r="I90" i="3" s="1"/>
  <c r="AM79" i="3"/>
  <c r="AM90" i="3" s="1"/>
  <c r="AN79" i="3"/>
  <c r="D52" i="4" s="1"/>
  <c r="C83" i="3"/>
  <c r="D83" i="3"/>
  <c r="AO83" i="3"/>
  <c r="AN83" i="3" s="1"/>
  <c r="AM83" i="3" s="1"/>
  <c r="AL83" i="3" s="1"/>
  <c r="AK83" i="3" s="1"/>
  <c r="AJ83" i="3" s="1"/>
  <c r="AI83" i="3" s="1"/>
  <c r="AH83" i="3" s="1"/>
  <c r="AG83" i="3" s="1"/>
  <c r="AF83" i="3" s="1"/>
  <c r="AE83" i="3" s="1"/>
  <c r="AD83" i="3" s="1"/>
  <c r="AC83" i="3" s="1"/>
  <c r="AB83" i="3" s="1"/>
  <c r="AA83" i="3" s="1"/>
  <c r="Z83" i="3" s="1"/>
  <c r="AP83" i="3"/>
  <c r="A91" i="3"/>
  <c r="C92" i="3"/>
  <c r="D92" i="3"/>
  <c r="E92" i="3"/>
  <c r="F92" i="3"/>
  <c r="Z92" i="3"/>
  <c r="AA92" i="3"/>
  <c r="AB92" i="3"/>
  <c r="AC92" i="3"/>
  <c r="AD92" i="3"/>
  <c r="AE92" i="3"/>
  <c r="AF92" i="3"/>
  <c r="AG92" i="3"/>
  <c r="AH92" i="3"/>
  <c r="AI92" i="3"/>
  <c r="AJ92" i="3"/>
  <c r="AK92" i="3"/>
  <c r="AL92" i="3"/>
  <c r="AM92" i="3"/>
  <c r="C57" i="4" s="1"/>
  <c r="AN92" i="3"/>
  <c r="D57" i="4" s="1"/>
  <c r="AO92" i="3"/>
  <c r="E57" i="4" s="1"/>
  <c r="AP92" i="3"/>
  <c r="F57" i="4" s="1"/>
  <c r="AQ92" i="3"/>
  <c r="G57" i="4" s="1"/>
  <c r="C101" i="3"/>
  <c r="D101" i="3"/>
  <c r="E101" i="3"/>
  <c r="C102" i="3"/>
  <c r="D102" i="3"/>
  <c r="E102" i="3"/>
  <c r="F102" i="3" s="1"/>
  <c r="G102" i="3"/>
  <c r="I102" i="3"/>
  <c r="Z102" i="3"/>
  <c r="AA102" i="3"/>
  <c r="AB102" i="3"/>
  <c r="AC102" i="3"/>
  <c r="AD102" i="3"/>
  <c r="AE102" i="3"/>
  <c r="AF102" i="3"/>
  <c r="AG102" i="3"/>
  <c r="AH102" i="3"/>
  <c r="AI102" i="3"/>
  <c r="AJ102" i="3"/>
  <c r="AK102" i="3"/>
  <c r="AL102" i="3"/>
  <c r="AM102" i="3"/>
  <c r="AN102" i="3"/>
  <c r="AO102" i="3"/>
  <c r="C103" i="3"/>
  <c r="D103" i="3"/>
  <c r="E103" i="3"/>
  <c r="Z103" i="3"/>
  <c r="AA103" i="3"/>
  <c r="AB103" i="3"/>
  <c r="AC103" i="3"/>
  <c r="AD103" i="3"/>
  <c r="AE103" i="3"/>
  <c r="AF103" i="3"/>
  <c r="AG103" i="3"/>
  <c r="AH103" i="3"/>
  <c r="AI103" i="3"/>
  <c r="AJ103" i="3"/>
  <c r="AK103" i="3"/>
  <c r="AL103" i="3"/>
  <c r="AM103" i="3"/>
  <c r="AN103" i="3"/>
  <c r="AO103" i="3"/>
  <c r="AW103" i="3"/>
  <c r="C104" i="3"/>
  <c r="D104" i="3"/>
  <c r="E104" i="3"/>
  <c r="Z104" i="3"/>
  <c r="AA104" i="3"/>
  <c r="AB104" i="3"/>
  <c r="AC104" i="3"/>
  <c r="AD104" i="3"/>
  <c r="AE104" i="3"/>
  <c r="AF104" i="3"/>
  <c r="AG104" i="3"/>
  <c r="AH104" i="3"/>
  <c r="AI104" i="3"/>
  <c r="AJ104" i="3"/>
  <c r="AK104" i="3"/>
  <c r="AL104" i="3"/>
  <c r="AM104" i="3"/>
  <c r="AN104" i="3"/>
  <c r="AO104" i="3"/>
  <c r="AW104" i="3"/>
  <c r="C105" i="3"/>
  <c r="D105" i="3"/>
  <c r="E105" i="3"/>
  <c r="G105" i="3"/>
  <c r="I105" i="3"/>
  <c r="Z105" i="3"/>
  <c r="AA105" i="3"/>
  <c r="AB105" i="3"/>
  <c r="AC105" i="3"/>
  <c r="AD105" i="3"/>
  <c r="AE105" i="3"/>
  <c r="AF105" i="3"/>
  <c r="AG105" i="3"/>
  <c r="AH105" i="3"/>
  <c r="AI105" i="3"/>
  <c r="AJ105" i="3"/>
  <c r="AK105" i="3"/>
  <c r="AL105" i="3"/>
  <c r="AM105" i="3"/>
  <c r="AN105" i="3"/>
  <c r="AO105" i="3"/>
  <c r="C106" i="3"/>
  <c r="D106" i="3"/>
  <c r="E106" i="3"/>
  <c r="AP106" i="3" s="1"/>
  <c r="S106" i="3"/>
  <c r="T106" i="3"/>
  <c r="Z106" i="3"/>
  <c r="AA106" i="3"/>
  <c r="AB106" i="3"/>
  <c r="AC106" i="3"/>
  <c r="AD106" i="3"/>
  <c r="AE106" i="3"/>
  <c r="AF106" i="3"/>
  <c r="AG106" i="3"/>
  <c r="AH106" i="3"/>
  <c r="AI106" i="3"/>
  <c r="AJ106" i="3"/>
  <c r="AK106" i="3"/>
  <c r="AL106" i="3"/>
  <c r="AM106" i="3"/>
  <c r="AN106" i="3"/>
  <c r="AO106" i="3"/>
  <c r="AQ106" i="3"/>
  <c r="AV106" i="3"/>
  <c r="D108" i="3"/>
  <c r="E108" i="3"/>
  <c r="G108" i="3"/>
  <c r="I108" i="3"/>
  <c r="Z108" i="3"/>
  <c r="AA108" i="3"/>
  <c r="AB108" i="3"/>
  <c r="AC108" i="3"/>
  <c r="AD108" i="3"/>
  <c r="AE108" i="3"/>
  <c r="AF108" i="3"/>
  <c r="AG108" i="3"/>
  <c r="AH108" i="3"/>
  <c r="AI108" i="3"/>
  <c r="AJ108" i="3"/>
  <c r="AK108" i="3"/>
  <c r="AL108" i="3"/>
  <c r="AM108" i="3"/>
  <c r="C66" i="4" s="1"/>
  <c r="AN108" i="3"/>
  <c r="D66" i="4" s="1"/>
  <c r="AO108" i="3"/>
  <c r="E66" i="4" s="1"/>
  <c r="AP108" i="3"/>
  <c r="F66" i="4" s="1"/>
  <c r="F113" i="3"/>
  <c r="Z121" i="3"/>
  <c r="AA121" i="3"/>
  <c r="AB121" i="3"/>
  <c r="AC121" i="3"/>
  <c r="AD121" i="3"/>
  <c r="AE121" i="3"/>
  <c r="AF121" i="3"/>
  <c r="AG121" i="3"/>
  <c r="AH121" i="3"/>
  <c r="AI121" i="3"/>
  <c r="AJ121" i="3"/>
  <c r="AK121" i="3"/>
  <c r="AL121" i="3"/>
  <c r="AM121" i="3"/>
  <c r="D122" i="3"/>
  <c r="AA122" i="3"/>
  <c r="AB122" i="3"/>
  <c r="AC122" i="3"/>
  <c r="AD122" i="3"/>
  <c r="AE122" i="3"/>
  <c r="AF122" i="3"/>
  <c r="AF123" i="3" s="1"/>
  <c r="AG122" i="3"/>
  <c r="AG123" i="3" s="1"/>
  <c r="AH122" i="3"/>
  <c r="AH123" i="3" s="1"/>
  <c r="AI122" i="3"/>
  <c r="AI123" i="3" s="1"/>
  <c r="AJ122" i="3"/>
  <c r="AJ123" i="3" s="1"/>
  <c r="AK122" i="3"/>
  <c r="AK123" i="3" s="1"/>
  <c r="AL122" i="3"/>
  <c r="AL123" i="3" s="1"/>
  <c r="AM122" i="3"/>
  <c r="AM123" i="3" s="1"/>
  <c r="AF127" i="3"/>
  <c r="AG127" i="3"/>
  <c r="AH127" i="3"/>
  <c r="AI127" i="3"/>
  <c r="AJ127" i="3"/>
  <c r="AK127" i="3"/>
  <c r="AL127" i="3"/>
  <c r="AM127" i="3"/>
  <c r="AN127" i="3"/>
  <c r="AO127" i="3"/>
  <c r="AF131" i="3"/>
  <c r="AG131" i="3"/>
  <c r="AH131" i="3"/>
  <c r="AI131" i="3"/>
  <c r="AJ131" i="3"/>
  <c r="AK131" i="3"/>
  <c r="AL131" i="3"/>
  <c r="AM131" i="3"/>
  <c r="Z136" i="3"/>
  <c r="AA136" i="3"/>
  <c r="AB136" i="3"/>
  <c r="AC136" i="3"/>
  <c r="AD136" i="3"/>
  <c r="AE136" i="3"/>
  <c r="AF136" i="3"/>
  <c r="AG136" i="3"/>
  <c r="AH136" i="3"/>
  <c r="AI136" i="3"/>
  <c r="AJ136" i="3"/>
  <c r="C21" i="25" s="1"/>
  <c r="AK136" i="3"/>
  <c r="D21" i="25" s="1"/>
  <c r="AL136" i="3"/>
  <c r="E21" i="25" s="1"/>
  <c r="D138" i="3"/>
  <c r="A144" i="3"/>
  <c r="A148" i="3" s="1"/>
  <c r="A149" i="3"/>
  <c r="H4" i="4"/>
  <c r="I5" i="4"/>
  <c r="A19" i="4"/>
  <c r="A40" i="4" s="1"/>
  <c r="A23" i="4"/>
  <c r="A42" i="4"/>
  <c r="H57" i="4"/>
  <c r="I57" i="4"/>
  <c r="J57" i="4"/>
  <c r="K57" i="4"/>
  <c r="L57" i="4"/>
  <c r="AB63" i="4"/>
  <c r="AD63" i="4"/>
  <c r="AA549" i="18"/>
  <c r="AA542" i="18"/>
  <c r="AA535" i="18"/>
  <c r="H64" i="2"/>
  <c r="D60" i="2"/>
  <c r="Y95" i="4"/>
  <c r="AA556" i="18"/>
  <c r="AX362" i="8" l="1"/>
  <c r="H8" i="4"/>
  <c r="AR10" i="27"/>
  <c r="D8" i="4"/>
  <c r="AN10" i="27"/>
  <c r="F8" i="4"/>
  <c r="AP10" i="27"/>
  <c r="A8" i="4"/>
  <c r="A10" i="27"/>
  <c r="C8" i="4"/>
  <c r="AM10" i="27"/>
  <c r="U83" i="8"/>
  <c r="U82" i="8"/>
  <c r="BB233" i="8"/>
  <c r="BC234" i="8" s="1"/>
  <c r="BC209" i="8"/>
  <c r="BB352" i="8"/>
  <c r="BC364" i="8"/>
  <c r="BC362" i="8"/>
  <c r="T120" i="3"/>
  <c r="AW120" i="3" s="1"/>
  <c r="V170" i="8"/>
  <c r="AM364" i="18"/>
  <c r="AL364" i="18"/>
  <c r="AN230" i="8"/>
  <c r="AN12" i="8" s="1"/>
  <c r="P7" i="25"/>
  <c r="AO230" i="8"/>
  <c r="AO12" i="8" s="1"/>
  <c r="Q7" i="25"/>
  <c r="AP230" i="8"/>
  <c r="AP12" i="8" s="1"/>
  <c r="AP42" i="8" s="1"/>
  <c r="R7" i="25"/>
  <c r="AL230" i="8"/>
  <c r="N7" i="25"/>
  <c r="AK230" i="8"/>
  <c r="AK12" i="8" s="1"/>
  <c r="AK42" i="8" s="1"/>
  <c r="M7" i="25"/>
  <c r="BA205" i="8"/>
  <c r="BA210" i="8" s="1"/>
  <c r="AC7" i="25"/>
  <c r="AH230" i="8"/>
  <c r="AH12" i="8" s="1"/>
  <c r="AH42" i="8" s="1"/>
  <c r="J7" i="25"/>
  <c r="AG230" i="8"/>
  <c r="AG12" i="8" s="1"/>
  <c r="AG42" i="8" s="1"/>
  <c r="I7" i="25"/>
  <c r="AF230" i="8"/>
  <c r="AF12" i="8" s="1"/>
  <c r="AF42" i="8" s="1"/>
  <c r="H7" i="25"/>
  <c r="AI230" i="8"/>
  <c r="AI12" i="8" s="1"/>
  <c r="AI42" i="8" s="1"/>
  <c r="K7" i="25"/>
  <c r="AQ205" i="8"/>
  <c r="AR206" i="8" s="1"/>
  <c r="S7" i="25"/>
  <c r="T39" i="8"/>
  <c r="U45" i="8"/>
  <c r="U57" i="8"/>
  <c r="U88" i="8"/>
  <c r="U76" i="8"/>
  <c r="U59" i="8"/>
  <c r="U47" i="8"/>
  <c r="S15" i="3"/>
  <c r="U16" i="3" s="1"/>
  <c r="U260" i="8"/>
  <c r="T11" i="8"/>
  <c r="U17" i="8"/>
  <c r="U29" i="8"/>
  <c r="U15" i="8"/>
  <c r="U27" i="8"/>
  <c r="U28" i="8"/>
  <c r="U16" i="8"/>
  <c r="U75" i="8"/>
  <c r="U87" i="8"/>
  <c r="U46" i="8"/>
  <c r="U58" i="8"/>
  <c r="T38" i="3"/>
  <c r="S136" i="3"/>
  <c r="S141" i="3" s="1"/>
  <c r="U186" i="8"/>
  <c r="W187" i="8" s="1"/>
  <c r="U90" i="8"/>
  <c r="U78" i="8"/>
  <c r="U89" i="8"/>
  <c r="U77" i="8"/>
  <c r="AE366" i="18"/>
  <c r="AF366" i="18"/>
  <c r="AE364" i="18"/>
  <c r="AF225" i="18"/>
  <c r="AK472" i="18"/>
  <c r="H129" i="3"/>
  <c r="G8" i="24"/>
  <c r="AM29" i="18"/>
  <c r="G178" i="18"/>
  <c r="I18" i="18" s="1"/>
  <c r="L365" i="18"/>
  <c r="K255" i="8"/>
  <c r="K9" i="3" s="1"/>
  <c r="AF44" i="18"/>
  <c r="AL366" i="18"/>
  <c r="Q42" i="18"/>
  <c r="AI268" i="18"/>
  <c r="AK366" i="18"/>
  <c r="AK364" i="18"/>
  <c r="I21" i="8"/>
  <c r="AH223" i="18"/>
  <c r="G366" i="18"/>
  <c r="H364" i="18"/>
  <c r="G101" i="3"/>
  <c r="G98" i="3" s="1"/>
  <c r="F273" i="18"/>
  <c r="F275" i="18" s="1"/>
  <c r="J386" i="18"/>
  <c r="C44" i="18"/>
  <c r="AA548" i="18"/>
  <c r="AA543" i="18"/>
  <c r="M223" i="18"/>
  <c r="M225" i="18"/>
  <c r="J366" i="18"/>
  <c r="G44" i="18"/>
  <c r="AD9" i="3"/>
  <c r="AD10" i="27" s="1"/>
  <c r="AL223" i="18"/>
  <c r="N58" i="18"/>
  <c r="H366" i="18"/>
  <c r="G223" i="18"/>
  <c r="AH384" i="18"/>
  <c r="AI205" i="8"/>
  <c r="G47" i="18"/>
  <c r="K258" i="8" s="1"/>
  <c r="M364" i="18"/>
  <c r="N94" i="18"/>
  <c r="AK411" i="18"/>
  <c r="AK413" i="18" s="1"/>
  <c r="L364" i="18"/>
  <c r="K364" i="18"/>
  <c r="G225" i="18"/>
  <c r="AE223" i="18"/>
  <c r="AM154" i="18"/>
  <c r="H365" i="18"/>
  <c r="AG242" i="18"/>
  <c r="AG243" i="18" s="1"/>
  <c r="AG244" i="18" s="1"/>
  <c r="AG245" i="18" s="1"/>
  <c r="AG225" i="18"/>
  <c r="AK47" i="18"/>
  <c r="AY258" i="8" s="1"/>
  <c r="G246" i="18"/>
  <c r="G247" i="18" s="1"/>
  <c r="G248" i="18" s="1"/>
  <c r="G249" i="18" s="1"/>
  <c r="AD60" i="3"/>
  <c r="AC4" i="18"/>
  <c r="AM226" i="18"/>
  <c r="J94" i="18"/>
  <c r="K94" i="18"/>
  <c r="E57" i="2"/>
  <c r="AA536" i="18"/>
  <c r="K53" i="3"/>
  <c r="Q43" i="18"/>
  <c r="C184" i="18"/>
  <c r="C129" i="18" s="1"/>
  <c r="AF425" i="8"/>
  <c r="AF429" i="8" s="1"/>
  <c r="AA79" i="3"/>
  <c r="AA90" i="3" s="1"/>
  <c r="AE90" i="18"/>
  <c r="AS314" i="8"/>
  <c r="L42" i="18"/>
  <c r="AM66" i="3"/>
  <c r="C44" i="4" s="1"/>
  <c r="M365" i="18"/>
  <c r="E221" i="8"/>
  <c r="O29" i="18"/>
  <c r="BB256" i="8"/>
  <c r="J378" i="18"/>
  <c r="AP66" i="3"/>
  <c r="F44" i="4" s="1"/>
  <c r="BA230" i="8"/>
  <c r="BA359" i="8" s="1"/>
  <c r="BB362" i="8" s="1"/>
  <c r="N64" i="18"/>
  <c r="K74" i="18"/>
  <c r="AH382" i="18"/>
  <c r="D453" i="18"/>
  <c r="D462" i="18" s="1"/>
  <c r="H261" i="18"/>
  <c r="AJ242" i="18"/>
  <c r="AJ243" i="18" s="1"/>
  <c r="AJ244" i="18" s="1"/>
  <c r="AJ245" i="18" s="1"/>
  <c r="F145" i="8"/>
  <c r="F221" i="8" s="1"/>
  <c r="K79" i="3"/>
  <c r="K90" i="3" s="1"/>
  <c r="AE242" i="18"/>
  <c r="AE243" i="18" s="1"/>
  <c r="AE244" i="18" s="1"/>
  <c r="AE245" i="18" s="1"/>
  <c r="M366" i="18"/>
  <c r="AJ366" i="18"/>
  <c r="AN22" i="3"/>
  <c r="AV9" i="3"/>
  <c r="N56" i="18"/>
  <c r="AP304" i="18"/>
  <c r="AF222" i="8"/>
  <c r="S264" i="8"/>
  <c r="R304" i="18"/>
  <c r="H279" i="18"/>
  <c r="AU79" i="3"/>
  <c r="K52" i="4" s="1"/>
  <c r="AI237" i="8"/>
  <c r="AL9" i="3"/>
  <c r="AM397" i="18"/>
  <c r="AG90" i="18"/>
  <c r="L15" i="18"/>
  <c r="E388" i="18"/>
  <c r="E372" i="18"/>
  <c r="AH159" i="18"/>
  <c r="AH162" i="18" s="1"/>
  <c r="AH179" i="18" s="1"/>
  <c r="AH124" i="18" s="1"/>
  <c r="L403" i="18"/>
  <c r="Q46" i="18"/>
  <c r="AD267" i="18"/>
  <c r="AD90" i="18"/>
  <c r="AG366" i="18"/>
  <c r="H9" i="3"/>
  <c r="K106" i="3"/>
  <c r="O184" i="18"/>
  <c r="O129" i="18" s="1"/>
  <c r="Q15" i="18"/>
  <c r="H378" i="18"/>
  <c r="AK205" i="8"/>
  <c r="S269" i="8"/>
  <c r="K365" i="18"/>
  <c r="M255" i="8"/>
  <c r="M230" i="8" s="1"/>
  <c r="M359" i="8" s="1"/>
  <c r="N362" i="8" s="1"/>
  <c r="L72" i="8"/>
  <c r="M84" i="8" s="1"/>
  <c r="BA22" i="8"/>
  <c r="BA28" i="8" s="1"/>
  <c r="H48" i="18"/>
  <c r="I364" i="18"/>
  <c r="AJ364" i="18"/>
  <c r="Q27" i="8"/>
  <c r="N453" i="18"/>
  <c r="N462" i="18" s="1"/>
  <c r="P264" i="8"/>
  <c r="P22" i="3" s="1"/>
  <c r="P22" i="27" s="1"/>
  <c r="AI44" i="18"/>
  <c r="M351" i="8"/>
  <c r="M352" i="8" s="1"/>
  <c r="C53" i="3"/>
  <c r="AF154" i="18"/>
  <c r="AF164" i="18" s="1"/>
  <c r="AF168" i="18" s="1"/>
  <c r="H27" i="18"/>
  <c r="C223" i="18"/>
  <c r="AK141" i="3"/>
  <c r="AL403" i="18"/>
  <c r="H469" i="18"/>
  <c r="AI60" i="3"/>
  <c r="G256" i="8"/>
  <c r="O94" i="8"/>
  <c r="AO290" i="18"/>
  <c r="C242" i="18"/>
  <c r="C243" i="18" s="1"/>
  <c r="C244" i="18" s="1"/>
  <c r="C245" i="18" s="1"/>
  <c r="D386" i="18"/>
  <c r="H29" i="18"/>
  <c r="H28" i="18"/>
  <c r="I365" i="18"/>
  <c r="AW276" i="8"/>
  <c r="D41" i="18"/>
  <c r="M17" i="18"/>
  <c r="AG237" i="8"/>
  <c r="T396" i="8"/>
  <c r="T102" i="3" s="1"/>
  <c r="AW102" i="3" s="1"/>
  <c r="I154" i="18"/>
  <c r="AK383" i="18"/>
  <c r="AO60" i="3"/>
  <c r="AW433" i="8"/>
  <c r="E237" i="8"/>
  <c r="C242" i="8"/>
  <c r="AB560" i="18"/>
  <c r="J72" i="18"/>
  <c r="AM411" i="18"/>
  <c r="AK365" i="18"/>
  <c r="J364" i="18"/>
  <c r="H453" i="18"/>
  <c r="H462" i="18" s="1"/>
  <c r="E212" i="8"/>
  <c r="AF9" i="3"/>
  <c r="AF10" i="27" s="1"/>
  <c r="Q264" i="8"/>
  <c r="Q266" i="8" s="1"/>
  <c r="L405" i="18"/>
  <c r="AK154" i="18"/>
  <c r="AL242" i="18"/>
  <c r="AL243" i="18" s="1"/>
  <c r="AL244" i="18" s="1"/>
  <c r="AL245" i="18" s="1"/>
  <c r="AE44" i="18"/>
  <c r="H105" i="3"/>
  <c r="AQ105" i="3" s="1"/>
  <c r="AI242" i="8"/>
  <c r="M264" i="8"/>
  <c r="M213" i="8" s="1"/>
  <c r="J64" i="18"/>
  <c r="AI223" i="18"/>
  <c r="AI242" i="18"/>
  <c r="AI243" i="18" s="1"/>
  <c r="AI244" i="18" s="1"/>
  <c r="AI245" i="18" s="1"/>
  <c r="AM388" i="18"/>
  <c r="G365" i="18"/>
  <c r="O59" i="18"/>
  <c r="K242" i="18"/>
  <c r="K243" i="18" s="1"/>
  <c r="K244" i="18" s="1"/>
  <c r="K245" i="18" s="1"/>
  <c r="L386" i="18"/>
  <c r="AN60" i="3"/>
  <c r="F410" i="8"/>
  <c r="AQ237" i="8"/>
  <c r="L264" i="8"/>
  <c r="L213" i="8" s="1"/>
  <c r="L238" i="8" s="1"/>
  <c r="AS106" i="3"/>
  <c r="P106" i="3"/>
  <c r="L106" i="3"/>
  <c r="M178" i="18"/>
  <c r="M184" i="18" s="1"/>
  <c r="M129" i="18" s="1"/>
  <c r="O17" i="18"/>
  <c r="G388" i="18"/>
  <c r="L453" i="18"/>
  <c r="L462" i="18" s="1"/>
  <c r="E47" i="18"/>
  <c r="I258" i="8" s="1"/>
  <c r="I259" i="8" s="1"/>
  <c r="I15" i="3" s="1"/>
  <c r="I19" i="3" s="1"/>
  <c r="H113" i="18"/>
  <c r="H115" i="18" s="1"/>
  <c r="AG60" i="3"/>
  <c r="AG9" i="3"/>
  <c r="AG10" i="27" s="1"/>
  <c r="K223" i="18"/>
  <c r="G423" i="8"/>
  <c r="AR256" i="8"/>
  <c r="AO237" i="8"/>
  <c r="BA264" i="8"/>
  <c r="BB265" i="8" s="1"/>
  <c r="AF124" i="18"/>
  <c r="AD44" i="18"/>
  <c r="H53" i="3"/>
  <c r="AQ53" i="3" s="1"/>
  <c r="G36" i="4" s="1"/>
  <c r="K403" i="18"/>
  <c r="H205" i="8"/>
  <c r="P144" i="8"/>
  <c r="P60" i="3" s="1"/>
  <c r="AG79" i="3"/>
  <c r="AG90" i="3" s="1"/>
  <c r="AS34" i="8"/>
  <c r="AL44" i="18"/>
  <c r="L257" i="18"/>
  <c r="AH366" i="18"/>
  <c r="AM44" i="18"/>
  <c r="M94" i="8"/>
  <c r="AH44" i="18"/>
  <c r="AL472" i="18"/>
  <c r="F313" i="8"/>
  <c r="AX351" i="8"/>
  <c r="AX352" i="8" s="1"/>
  <c r="R351" i="8"/>
  <c r="R352" i="8" s="1"/>
  <c r="J89" i="18"/>
  <c r="AF90" i="18"/>
  <c r="BB314" i="8"/>
  <c r="T314" i="8" s="1"/>
  <c r="I60" i="3"/>
  <c r="J369" i="8"/>
  <c r="J370" i="8" s="1"/>
  <c r="AS213" i="8"/>
  <c r="AS238" i="8" s="1"/>
  <c r="AS240" i="8" s="1"/>
  <c r="AN212" i="8"/>
  <c r="I264" i="8"/>
  <c r="I158" i="8" s="1"/>
  <c r="D43" i="18"/>
  <c r="AL74" i="18"/>
  <c r="AI472" i="18"/>
  <c r="E44" i="18"/>
  <c r="AP212" i="8"/>
  <c r="AG365" i="18"/>
  <c r="AH425" i="8"/>
  <c r="AL212" i="8"/>
  <c r="Q277" i="8"/>
  <c r="AX84" i="8"/>
  <c r="AX90" i="8" s="1"/>
  <c r="AS33" i="8"/>
  <c r="K34" i="18"/>
  <c r="D436" i="18"/>
  <c r="E472" i="18" s="1"/>
  <c r="AN253" i="18"/>
  <c r="AK79" i="3"/>
  <c r="AK90" i="3" s="1"/>
  <c r="S38" i="3"/>
  <c r="AB60" i="3"/>
  <c r="G333" i="8"/>
  <c r="AW277" i="8"/>
  <c r="D221" i="8"/>
  <c r="AJ212" i="8"/>
  <c r="AR106" i="3"/>
  <c r="O106" i="3"/>
  <c r="BA94" i="8"/>
  <c r="K47" i="18"/>
  <c r="O258" i="8" s="1"/>
  <c r="O259" i="8" s="1"/>
  <c r="O15" i="3" s="1"/>
  <c r="E17" i="18"/>
  <c r="AK225" i="18"/>
  <c r="AM223" i="18"/>
  <c r="AG154" i="18"/>
  <c r="AG164" i="18" s="1"/>
  <c r="AG168" i="18" s="1"/>
  <c r="AH464" i="18"/>
  <c r="AH472" i="18"/>
  <c r="AM472" i="18"/>
  <c r="AI364" i="18"/>
  <c r="E60" i="3"/>
  <c r="J309" i="8"/>
  <c r="J347" i="8" s="1"/>
  <c r="AH212" i="8"/>
  <c r="O242" i="18"/>
  <c r="O243" i="18" s="1"/>
  <c r="O244" i="18" s="1"/>
  <c r="O245" i="18" s="1"/>
  <c r="E222" i="8"/>
  <c r="AC79" i="3"/>
  <c r="AC90" i="3" s="1"/>
  <c r="AP425" i="8"/>
  <c r="AP429" i="8" s="1"/>
  <c r="P53" i="3"/>
  <c r="AL411" i="18"/>
  <c r="T136" i="3"/>
  <c r="F347" i="8"/>
  <c r="F348" i="8" s="1"/>
  <c r="F354" i="8" s="1"/>
  <c r="AP218" i="8"/>
  <c r="M170" i="8"/>
  <c r="O351" i="8"/>
  <c r="O352" i="8" s="1"/>
  <c r="F122" i="8"/>
  <c r="R370" i="8"/>
  <c r="D369" i="8"/>
  <c r="D370" i="8" s="1"/>
  <c r="O53" i="3"/>
  <c r="O28" i="8"/>
  <c r="O403" i="18"/>
  <c r="AD189" i="18"/>
  <c r="AD204" i="18" s="1"/>
  <c r="AL464" i="18"/>
  <c r="P351" i="8"/>
  <c r="P352" i="8" s="1"/>
  <c r="AL53" i="3"/>
  <c r="AJ53" i="3"/>
  <c r="AH53" i="3"/>
  <c r="AF53" i="3"/>
  <c r="AD53" i="3"/>
  <c r="AB53" i="3"/>
  <c r="Z53" i="3"/>
  <c r="R53" i="3"/>
  <c r="K101" i="8"/>
  <c r="AX81" i="8"/>
  <c r="AX87" i="8" s="1"/>
  <c r="Q24" i="18"/>
  <c r="Q28" i="18" s="1"/>
  <c r="L46" i="18"/>
  <c r="P255" i="8" s="1"/>
  <c r="P205" i="8" s="1"/>
  <c r="AZ187" i="8"/>
  <c r="AS66" i="3"/>
  <c r="AS89" i="3" s="1"/>
  <c r="P66" i="3"/>
  <c r="P89" i="3" s="1"/>
  <c r="L66" i="3"/>
  <c r="L89" i="3" s="1"/>
  <c r="M53" i="3"/>
  <c r="S59" i="8"/>
  <c r="AJ256" i="8"/>
  <c r="BA256" i="8"/>
  <c r="AB3" i="18"/>
  <c r="AB530" i="18" s="1"/>
  <c r="AH242" i="18"/>
  <c r="AH243" i="18" s="1"/>
  <c r="AH244" i="18" s="1"/>
  <c r="AH245" i="18" s="1"/>
  <c r="D115" i="18"/>
  <c r="AO313" i="8"/>
  <c r="AO314" i="8" s="1"/>
  <c r="AV170" i="8"/>
  <c r="L73" i="18"/>
  <c r="AU106" i="3"/>
  <c r="F403" i="8"/>
  <c r="BA351" i="8"/>
  <c r="BA352" i="8" s="1"/>
  <c r="C464" i="18"/>
  <c r="C388" i="18"/>
  <c r="E44" i="4"/>
  <c r="AO89" i="3"/>
  <c r="G464" i="18"/>
  <c r="O464" i="18"/>
  <c r="AT416" i="8"/>
  <c r="AJ66" i="3"/>
  <c r="AJ89" i="3" s="1"/>
  <c r="AS348" i="8"/>
  <c r="AS354" i="8" s="1"/>
  <c r="AK256" i="8"/>
  <c r="AE242" i="8"/>
  <c r="T178" i="8"/>
  <c r="L178" i="8"/>
  <c r="AW351" i="8"/>
  <c r="AW352" i="8" s="1"/>
  <c r="AM74" i="18"/>
  <c r="AK44" i="18"/>
  <c r="AH285" i="18"/>
  <c r="AH287" i="18" s="1"/>
  <c r="AH188" i="18" s="1"/>
  <c r="AG348" i="8"/>
  <c r="AG354" i="8" s="1"/>
  <c r="AO218" i="8"/>
  <c r="O144" i="8"/>
  <c r="O60" i="3" s="1"/>
  <c r="AV66" i="3"/>
  <c r="L44" i="23" s="1"/>
  <c r="H436" i="18"/>
  <c r="I472" i="18" s="1"/>
  <c r="G44" i="4"/>
  <c r="N79" i="3"/>
  <c r="N90" i="3" s="1"/>
  <c r="Z60" i="3"/>
  <c r="O247" i="8"/>
  <c r="AG218" i="8"/>
  <c r="Q205" i="8"/>
  <c r="Q206" i="8" s="1"/>
  <c r="R170" i="8"/>
  <c r="N106" i="3"/>
  <c r="J106" i="3"/>
  <c r="I151" i="8"/>
  <c r="I153" i="8" s="1"/>
  <c r="K178" i="18"/>
  <c r="O269" i="8" s="1"/>
  <c r="O143" i="8" s="1"/>
  <c r="O151" i="8" s="1"/>
  <c r="O153" i="8" s="1"/>
  <c r="AE124" i="18"/>
  <c r="AL383" i="18"/>
  <c r="O223" i="18"/>
  <c r="AL420" i="18"/>
  <c r="L41" i="18"/>
  <c r="AT66" i="3"/>
  <c r="AT89" i="3" s="1"/>
  <c r="O88" i="8"/>
  <c r="AK267" i="18"/>
  <c r="AA541" i="18"/>
  <c r="AA550" i="18"/>
  <c r="AE9" i="3"/>
  <c r="AE10" i="27" s="1"/>
  <c r="AO347" i="8"/>
  <c r="AO348" i="8" s="1"/>
  <c r="AO354" i="8" s="1"/>
  <c r="BA284" i="8"/>
  <c r="AQ242" i="8"/>
  <c r="C237" i="8"/>
  <c r="D242" i="8"/>
  <c r="AS128" i="8"/>
  <c r="AS129" i="8" s="1"/>
  <c r="AS154" i="8" s="1"/>
  <c r="AY351" i="8"/>
  <c r="AY352" i="8" s="1"/>
  <c r="AP127" i="8"/>
  <c r="AH127" i="8"/>
  <c r="S351" i="8"/>
  <c r="S352" i="8" s="1"/>
  <c r="K351" i="8"/>
  <c r="K352" i="8" s="1"/>
  <c r="C369" i="8"/>
  <c r="C370" i="8" s="1"/>
  <c r="N53" i="3"/>
  <c r="J53" i="3"/>
  <c r="AR53" i="3" s="1"/>
  <c r="H36" i="4" s="1"/>
  <c r="E53" i="3"/>
  <c r="AZ95" i="8"/>
  <c r="BA75" i="8"/>
  <c r="AU42" i="8"/>
  <c r="Q47" i="8"/>
  <c r="O57" i="8"/>
  <c r="AR33" i="8"/>
  <c r="J365" i="18"/>
  <c r="AL372" i="18"/>
  <c r="O226" i="18"/>
  <c r="K464" i="18"/>
  <c r="N115" i="18"/>
  <c r="D372" i="18"/>
  <c r="J310" i="8"/>
  <c r="J143" i="18"/>
  <c r="N436" i="18"/>
  <c r="G364" i="18"/>
  <c r="AH60" i="3"/>
  <c r="D60" i="3"/>
  <c r="Q9" i="3"/>
  <c r="Q10" i="27" s="1"/>
  <c r="G314" i="8"/>
  <c r="AV277" i="8"/>
  <c r="AM242" i="8"/>
  <c r="M95" i="8"/>
  <c r="O82" i="8"/>
  <c r="O81" i="8"/>
  <c r="AE17" i="18"/>
  <c r="AG124" i="18"/>
  <c r="O179" i="18"/>
  <c r="O124" i="18" s="1"/>
  <c r="N143" i="18"/>
  <c r="AD388" i="18"/>
  <c r="E242" i="18"/>
  <c r="E243" i="18" s="1"/>
  <c r="E244" i="18" s="1"/>
  <c r="E245" i="18" s="1"/>
  <c r="AK464" i="18"/>
  <c r="AE154" i="18"/>
  <c r="O47" i="18"/>
  <c r="S258" i="8" s="1"/>
  <c r="T258" i="8" s="1"/>
  <c r="V258" i="8" s="1"/>
  <c r="E223" i="18"/>
  <c r="AQ120" i="3"/>
  <c r="AR121" i="3" s="1"/>
  <c r="AK370" i="8"/>
  <c r="Z370" i="8"/>
  <c r="N187" i="8"/>
  <c r="L277" i="8"/>
  <c r="S255" i="8"/>
  <c r="U256" i="8" s="1"/>
  <c r="AA534" i="18"/>
  <c r="AL388" i="18"/>
  <c r="J284" i="18"/>
  <c r="J279" i="18"/>
  <c r="AT22" i="3"/>
  <c r="AT22" i="27" s="1"/>
  <c r="AY213" i="8"/>
  <c r="AY238" i="8" s="1"/>
  <c r="P143" i="8"/>
  <c r="P151" i="8" s="1"/>
  <c r="BA370" i="8"/>
  <c r="AI79" i="3"/>
  <c r="AI90" i="3" s="1"/>
  <c r="C60" i="3"/>
  <c r="AS266" i="8"/>
  <c r="H247" i="8"/>
  <c r="AK212" i="8"/>
  <c r="AT180" i="8"/>
  <c r="AY95" i="8"/>
  <c r="AY100" i="8"/>
  <c r="J56" i="18"/>
  <c r="J59" i="18"/>
  <c r="AM393" i="18"/>
  <c r="D51" i="2"/>
  <c r="AM225" i="18"/>
  <c r="AH79" i="3"/>
  <c r="AH90" i="3" s="1"/>
  <c r="AL60" i="3"/>
  <c r="AA9" i="3"/>
  <c r="AA10" i="27" s="1"/>
  <c r="AU66" i="3"/>
  <c r="K44" i="4" s="1"/>
  <c r="R66" i="3"/>
  <c r="R89" i="3" s="1"/>
  <c r="N66" i="3"/>
  <c r="N89" i="3" s="1"/>
  <c r="AJ122" i="8"/>
  <c r="E256" i="8"/>
  <c r="AV136" i="3"/>
  <c r="O21" i="25" s="1"/>
  <c r="K136" i="3"/>
  <c r="L138" i="3" s="1"/>
  <c r="R106" i="3"/>
  <c r="AN90" i="3"/>
  <c r="AE425" i="8"/>
  <c r="AO370" i="8"/>
  <c r="BA261" i="8"/>
  <c r="AG256" i="8"/>
  <c r="AN205" i="8"/>
  <c r="M277" i="8"/>
  <c r="AS158" i="8"/>
  <c r="AZ264" i="8"/>
  <c r="AZ272" i="8" s="1"/>
  <c r="AS139" i="8"/>
  <c r="C138" i="8" s="1"/>
  <c r="N351" i="8"/>
  <c r="N352" i="8" s="1"/>
  <c r="H108" i="3"/>
  <c r="AQ108" i="3" s="1"/>
  <c r="G66" i="4" s="1"/>
  <c r="H369" i="8"/>
  <c r="H370" i="8" s="1"/>
  <c r="L53" i="3"/>
  <c r="D53" i="3"/>
  <c r="M78" i="8"/>
  <c r="AX99" i="8"/>
  <c r="M81" i="8"/>
  <c r="AY45" i="8"/>
  <c r="AK178" i="18"/>
  <c r="AK184" i="18" s="1"/>
  <c r="AK129" i="18" s="1"/>
  <c r="L153" i="18"/>
  <c r="P225" i="8" s="1"/>
  <c r="Q259" i="8"/>
  <c r="Q15" i="3" s="1"/>
  <c r="AH256" i="8"/>
  <c r="D212" i="8"/>
  <c r="BB188" i="8"/>
  <c r="AF79" i="3"/>
  <c r="AF90" i="3" s="1"/>
  <c r="F60" i="3"/>
  <c r="AE245" i="8"/>
  <c r="AL205" i="8"/>
  <c r="AN264" i="8"/>
  <c r="AN269" i="8" s="1"/>
  <c r="AF264" i="8"/>
  <c r="AF213" i="8" s="1"/>
  <c r="T83" i="8"/>
  <c r="J57" i="18"/>
  <c r="R348" i="8"/>
  <c r="AM237" i="8"/>
  <c r="S370" i="8"/>
  <c r="AT79" i="3"/>
  <c r="AT90" i="3" s="1"/>
  <c r="AI9" i="3"/>
  <c r="AI10" i="27" s="1"/>
  <c r="E9" i="3"/>
  <c r="C416" i="8"/>
  <c r="Q247" i="8"/>
  <c r="AK222" i="8"/>
  <c r="L188" i="8"/>
  <c r="AX255" i="8"/>
  <c r="A35" i="8"/>
  <c r="C189" i="18"/>
  <c r="C205" i="18" s="1"/>
  <c r="K44" i="18"/>
  <c r="AJ472" i="18"/>
  <c r="AL264" i="18"/>
  <c r="AE348" i="8"/>
  <c r="AE354" i="8" s="1"/>
  <c r="L27" i="8"/>
  <c r="J105" i="3"/>
  <c r="AQ101" i="3"/>
  <c r="AQ98" i="3" s="1"/>
  <c r="G63" i="4" s="1"/>
  <c r="AL79" i="3"/>
  <c r="AL90" i="3" s="1"/>
  <c r="AU39" i="3"/>
  <c r="AK425" i="8"/>
  <c r="AK429" i="8" s="1"/>
  <c r="BB333" i="8"/>
  <c r="T333" i="8" s="1"/>
  <c r="I314" i="8"/>
  <c r="AK313" i="8"/>
  <c r="AK314" i="8" s="1"/>
  <c r="T108" i="3"/>
  <c r="AW108" i="3" s="1"/>
  <c r="M66" i="4" s="1"/>
  <c r="AL256" i="8"/>
  <c r="AF205" i="8"/>
  <c r="AC66" i="3"/>
  <c r="AC89" i="3" s="1"/>
  <c r="G151" i="8"/>
  <c r="G153" i="8" s="1"/>
  <c r="Q53" i="3"/>
  <c r="Q83" i="8"/>
  <c r="Q88" i="8"/>
  <c r="Q87" i="8"/>
  <c r="AL268" i="18"/>
  <c r="AP290" i="18"/>
  <c r="J436" i="18"/>
  <c r="K472" i="18" s="1"/>
  <c r="N386" i="18"/>
  <c r="AW269" i="8"/>
  <c r="AW106" i="8" s="1"/>
  <c r="AW114" i="8" s="1"/>
  <c r="AW213" i="8"/>
  <c r="AW216" i="8" s="1"/>
  <c r="AW158" i="8"/>
  <c r="AW266" i="8"/>
  <c r="AR22" i="3"/>
  <c r="AR22" i="27" s="1"/>
  <c r="AW265" i="8"/>
  <c r="N121" i="3"/>
  <c r="N123" i="3"/>
  <c r="K13" i="4"/>
  <c r="K213" i="8"/>
  <c r="K238" i="8" s="1"/>
  <c r="K22" i="3"/>
  <c r="K22" i="27" s="1"/>
  <c r="AR10" i="3"/>
  <c r="AR11" i="27" s="1"/>
  <c r="E416" i="8"/>
  <c r="N387" i="18"/>
  <c r="N473" i="18"/>
  <c r="AG66" i="3"/>
  <c r="AG89" i="3" s="1"/>
  <c r="AW425" i="8"/>
  <c r="AH426" i="8"/>
  <c r="AI66" i="3"/>
  <c r="AI89" i="3" s="1"/>
  <c r="AA66" i="3"/>
  <c r="AA89" i="3" s="1"/>
  <c r="AF406" i="8"/>
  <c r="AP256" i="8"/>
  <c r="C230" i="8"/>
  <c r="E231" i="8" s="1"/>
  <c r="AN218" i="8"/>
  <c r="AR213" i="8"/>
  <c r="AR238" i="8" s="1"/>
  <c r="AR240" i="8" s="1"/>
  <c r="AG205" i="8"/>
  <c r="AV158" i="8"/>
  <c r="BB418" i="8"/>
  <c r="AN127" i="8"/>
  <c r="AF127" i="8"/>
  <c r="BA269" i="8"/>
  <c r="O78" i="8"/>
  <c r="O76" i="8"/>
  <c r="O29" i="8"/>
  <c r="D12" i="8"/>
  <c r="S27" i="8"/>
  <c r="M15" i="8"/>
  <c r="K17" i="18"/>
  <c r="G17" i="18"/>
  <c r="L436" i="18"/>
  <c r="AI178" i="18"/>
  <c r="AI184" i="18" s="1"/>
  <c r="AI129" i="18" s="1"/>
  <c r="N378" i="18"/>
  <c r="C185" i="18"/>
  <c r="C130" i="18" s="1"/>
  <c r="AI366" i="18"/>
  <c r="N476" i="18"/>
  <c r="AH222" i="8"/>
  <c r="H13" i="4"/>
  <c r="AV83" i="3"/>
  <c r="AE66" i="3"/>
  <c r="AE89" i="3" s="1"/>
  <c r="G51" i="3"/>
  <c r="AQ51" i="3" s="1"/>
  <c r="AQ52" i="3" s="1"/>
  <c r="AQ39" i="3"/>
  <c r="O9" i="3"/>
  <c r="O10" i="27" s="1"/>
  <c r="AQ425" i="8"/>
  <c r="AT406" i="8"/>
  <c r="BA348" i="8"/>
  <c r="T351" i="8"/>
  <c r="AV265" i="8"/>
  <c r="AO256" i="8"/>
  <c r="Q256" i="8"/>
  <c r="AF242" i="8"/>
  <c r="AL218" i="8"/>
  <c r="AP205" i="8"/>
  <c r="AT106" i="3"/>
  <c r="Q106" i="3"/>
  <c r="M106" i="3"/>
  <c r="M66" i="3"/>
  <c r="M89" i="3" s="1"/>
  <c r="A83" i="8"/>
  <c r="A89" i="8" s="1"/>
  <c r="BA84" i="8"/>
  <c r="BA90" i="8" s="1"/>
  <c r="N23" i="8"/>
  <c r="R21" i="8"/>
  <c r="I17" i="18"/>
  <c r="AJ464" i="18"/>
  <c r="J453" i="18"/>
  <c r="J462" i="18" s="1"/>
  <c r="AL384" i="18"/>
  <c r="AI464" i="18"/>
  <c r="K348" i="8"/>
  <c r="AH205" i="8"/>
  <c r="AN137" i="3"/>
  <c r="AF137" i="3"/>
  <c r="AS79" i="3"/>
  <c r="AS90" i="3" s="1"/>
  <c r="AR66" i="3"/>
  <c r="H44" i="23" s="1"/>
  <c r="AK60" i="3"/>
  <c r="AQ22" i="3"/>
  <c r="AQ22" i="27" s="1"/>
  <c r="G27" i="3"/>
  <c r="G27" i="27" s="1"/>
  <c r="AC9" i="3"/>
  <c r="AC10" i="27" s="1"/>
  <c r="C9" i="3"/>
  <c r="C10" i="27" s="1"/>
  <c r="AV348" i="8"/>
  <c r="AV354" i="8" s="1"/>
  <c r="AP332" i="8"/>
  <c r="AP333" i="8" s="1"/>
  <c r="AH332" i="8"/>
  <c r="AH333" i="8" s="1"/>
  <c r="AU314" i="8"/>
  <c r="AX284" i="8"/>
  <c r="AV266" i="8"/>
  <c r="AS265" i="8"/>
  <c r="AY260" i="8"/>
  <c r="AF237" i="8"/>
  <c r="O230" i="8"/>
  <c r="O359" i="8" s="1"/>
  <c r="P362" i="8" s="1"/>
  <c r="AV219" i="8"/>
  <c r="AV224" i="8" s="1"/>
  <c r="AV226" i="8" s="1"/>
  <c r="AO205" i="8"/>
  <c r="C205" i="8"/>
  <c r="F268" i="8"/>
  <c r="F242" i="8" s="1"/>
  <c r="AR158" i="8"/>
  <c r="AO127" i="8"/>
  <c r="A100" i="8"/>
  <c r="AW93" i="8"/>
  <c r="AW21" i="8"/>
  <c r="AW27" i="8" s="1"/>
  <c r="F115" i="18"/>
  <c r="AM17" i="18"/>
  <c r="M464" i="18"/>
  <c r="AI470" i="18"/>
  <c r="AE464" i="18"/>
  <c r="AH483" i="18"/>
  <c r="AM483" i="18"/>
  <c r="AK39" i="3"/>
  <c r="E218" i="8"/>
  <c r="N136" i="3"/>
  <c r="N137" i="3" s="1"/>
  <c r="AK9" i="3"/>
  <c r="AK10" i="27" s="1"/>
  <c r="AB9" i="3"/>
  <c r="AB10" i="27" s="1"/>
  <c r="AJ425" i="8"/>
  <c r="AJ429" i="8" s="1"/>
  <c r="AP406" i="8"/>
  <c r="AN370" i="8"/>
  <c r="AF370" i="8"/>
  <c r="P370" i="8"/>
  <c r="I348" i="8"/>
  <c r="I354" i="8" s="1"/>
  <c r="AF341" i="8"/>
  <c r="D341" i="8"/>
  <c r="AW284" i="8"/>
  <c r="AY225" i="8"/>
  <c r="AY247" i="8" s="1"/>
  <c r="AO222" i="8"/>
  <c r="AR219" i="8"/>
  <c r="AR224" i="8" s="1"/>
  <c r="AR226" i="8" s="1"/>
  <c r="H264" i="8"/>
  <c r="H213" i="8" s="1"/>
  <c r="AG53" i="3"/>
  <c r="AE53" i="3"/>
  <c r="AC53" i="3"/>
  <c r="AA53" i="3"/>
  <c r="F53" i="3"/>
  <c r="S95" i="8"/>
  <c r="T88" i="8"/>
  <c r="M82" i="8"/>
  <c r="A51" i="8"/>
  <c r="A57" i="8" s="1"/>
  <c r="AR42" i="8"/>
  <c r="AS54" i="8" s="1"/>
  <c r="AS60" i="8" s="1"/>
  <c r="L23" i="8"/>
  <c r="AY94" i="8"/>
  <c r="AK223" i="18"/>
  <c r="AL378" i="18"/>
  <c r="O44" i="18"/>
  <c r="AD242" i="18"/>
  <c r="AD243" i="18" s="1"/>
  <c r="AD244" i="18" s="1"/>
  <c r="AD245" i="18" s="1"/>
  <c r="D473" i="18"/>
  <c r="AQ256" i="8"/>
  <c r="G8" i="4"/>
  <c r="AE79" i="3"/>
  <c r="AE90" i="3" s="1"/>
  <c r="AM22" i="3"/>
  <c r="N22" i="3"/>
  <c r="N22" i="27" s="1"/>
  <c r="AJ9" i="3"/>
  <c r="AJ10" i="27" s="1"/>
  <c r="BB348" i="8"/>
  <c r="AF348" i="8"/>
  <c r="AF354" i="8" s="1"/>
  <c r="AV272" i="8"/>
  <c r="AR266" i="8"/>
  <c r="AW206" i="8"/>
  <c r="N213" i="8"/>
  <c r="N238" i="8" s="1"/>
  <c r="AM267" i="18"/>
  <c r="AF285" i="18"/>
  <c r="AF287" i="18" s="1"/>
  <c r="AF188" i="18" s="1"/>
  <c r="AM464" i="18"/>
  <c r="AM189" i="18"/>
  <c r="AM193" i="18" s="1"/>
  <c r="AK381" i="18"/>
  <c r="D476" i="18"/>
  <c r="H282" i="18"/>
  <c r="H283" i="18" s="1"/>
  <c r="H285" i="18" s="1"/>
  <c r="H287" i="18" s="1"/>
  <c r="H188" i="18" s="1"/>
  <c r="H189" i="18" s="1"/>
  <c r="H273" i="18"/>
  <c r="H275" i="18" s="1"/>
  <c r="M120" i="3"/>
  <c r="M123" i="3" s="1"/>
  <c r="AD79" i="3"/>
  <c r="AD90" i="3" s="1"/>
  <c r="S53" i="3"/>
  <c r="AI425" i="8"/>
  <c r="AR272" i="8"/>
  <c r="AI256" i="8"/>
  <c r="S247" i="8"/>
  <c r="T247" i="8" s="1"/>
  <c r="T225" i="8" s="1"/>
  <c r="T152" i="8" s="1"/>
  <c r="AV213" i="8"/>
  <c r="AV238" i="8" s="1"/>
  <c r="AV243" i="8" s="1"/>
  <c r="AV246" i="8" s="1"/>
  <c r="AV248" i="8" s="1"/>
  <c r="AV250" i="8" s="1"/>
  <c r="AV251" i="8" s="1"/>
  <c r="AF212" i="8"/>
  <c r="AT179" i="8"/>
  <c r="AZ151" i="8"/>
  <c r="AZ153" i="8" s="1"/>
  <c r="AT128" i="8"/>
  <c r="AT129" i="8" s="1"/>
  <c r="AT154" i="8" s="1"/>
  <c r="AP264" i="8"/>
  <c r="AK22" i="3" s="1"/>
  <c r="AK22" i="27" s="1"/>
  <c r="AL264" i="8"/>
  <c r="AL269" i="8" s="1"/>
  <c r="AL143" i="8" s="1"/>
  <c r="AH264" i="8"/>
  <c r="AH269" i="8" s="1"/>
  <c r="P89" i="8"/>
  <c r="P77" i="8"/>
  <c r="Q46" i="8"/>
  <c r="A33" i="8"/>
  <c r="K23" i="8"/>
  <c r="N21" i="8"/>
  <c r="AH388" i="18"/>
  <c r="H52" i="4"/>
  <c r="L52" i="4"/>
  <c r="D79" i="3"/>
  <c r="D90" i="3" s="1"/>
  <c r="I133" i="8"/>
  <c r="I423" i="8"/>
  <c r="I101" i="3"/>
  <c r="J257" i="18"/>
  <c r="AK264" i="18"/>
  <c r="I366" i="18"/>
  <c r="K366" i="18"/>
  <c r="H425" i="8"/>
  <c r="H429" i="8" s="1"/>
  <c r="H134" i="8" s="1"/>
  <c r="H79" i="3"/>
  <c r="H90" i="3" s="1"/>
  <c r="AI137" i="3"/>
  <c r="AI138" i="3"/>
  <c r="AI139" i="3" s="1"/>
  <c r="AH137" i="3"/>
  <c r="AU269" i="8"/>
  <c r="AU106" i="8" s="1"/>
  <c r="AU114" i="8" s="1"/>
  <c r="AU213" i="8"/>
  <c r="AU216" i="8" s="1"/>
  <c r="AU158" i="8"/>
  <c r="AP22" i="3"/>
  <c r="AP22" i="27" s="1"/>
  <c r="AU265" i="8"/>
  <c r="AU266" i="8"/>
  <c r="D264" i="8"/>
  <c r="D213" i="8" s="1"/>
  <c r="D9" i="3"/>
  <c r="D10" i="27" s="1"/>
  <c r="D205" i="8"/>
  <c r="D230" i="8"/>
  <c r="AY101" i="8"/>
  <c r="AZ52" i="8"/>
  <c r="AZ58" i="8" s="1"/>
  <c r="AI154" i="18"/>
  <c r="AW225" i="8"/>
  <c r="AK34" i="18"/>
  <c r="AY255" i="8"/>
  <c r="E426" i="8"/>
  <c r="E66" i="3"/>
  <c r="E89" i="3" s="1"/>
  <c r="E98" i="3" s="1"/>
  <c r="O89" i="8"/>
  <c r="O83" i="8"/>
  <c r="O101" i="8"/>
  <c r="AZ94" i="8"/>
  <c r="AZ76" i="8"/>
  <c r="AZ82" i="8"/>
  <c r="AZ88" i="8" s="1"/>
  <c r="AZ100" i="8"/>
  <c r="P87" i="8"/>
  <c r="P81" i="8"/>
  <c r="AG138" i="3"/>
  <c r="AG139" i="3" s="1"/>
  <c r="AG141" i="3"/>
  <c r="H245" i="8"/>
  <c r="N144" i="8"/>
  <c r="N60" i="3" s="1"/>
  <c r="AE264" i="8"/>
  <c r="AE158" i="8" s="1"/>
  <c r="AE212" i="8"/>
  <c r="AE237" i="8"/>
  <c r="P51" i="8"/>
  <c r="R45" i="8"/>
  <c r="R57" i="8"/>
  <c r="AK260" i="18"/>
  <c r="L94" i="18"/>
  <c r="M94" i="18"/>
  <c r="AF268" i="18"/>
  <c r="AF267" i="18"/>
  <c r="Q141" i="3"/>
  <c r="AV429" i="8"/>
  <c r="AV418" i="8" s="1"/>
  <c r="F237" i="8"/>
  <c r="F212" i="8"/>
  <c r="AN391" i="8"/>
  <c r="AN395" i="8" s="1"/>
  <c r="AN397" i="8" s="1"/>
  <c r="AM230" i="8"/>
  <c r="AM12" i="8" s="1"/>
  <c r="AM42" i="8" s="1"/>
  <c r="AH9" i="3"/>
  <c r="AH10" i="27" s="1"/>
  <c r="AM205" i="8"/>
  <c r="AM256" i="8"/>
  <c r="AN256" i="8"/>
  <c r="AE230" i="8"/>
  <c r="Z9" i="3"/>
  <c r="Z10" i="27" s="1"/>
  <c r="AE205" i="8"/>
  <c r="AF256" i="8"/>
  <c r="AX23" i="8"/>
  <c r="AX29" i="8" s="1"/>
  <c r="AX95" i="8"/>
  <c r="BA16" i="8"/>
  <c r="BB22" i="8"/>
  <c r="BB28" i="8" s="1"/>
  <c r="BB16" i="8"/>
  <c r="P22" i="8"/>
  <c r="R28" i="8"/>
  <c r="G22" i="8"/>
  <c r="H28" i="8"/>
  <c r="L15" i="8"/>
  <c r="J21" i="8"/>
  <c r="J15" i="8"/>
  <c r="J27" i="8"/>
  <c r="O22" i="3"/>
  <c r="O22" i="27" s="1"/>
  <c r="AE60" i="3"/>
  <c r="AJ222" i="8"/>
  <c r="S144" i="8"/>
  <c r="S60" i="3" s="1"/>
  <c r="S277" i="8"/>
  <c r="T277" i="8" s="1"/>
  <c r="C51" i="3"/>
  <c r="AO51" i="3" s="1"/>
  <c r="C221" i="8"/>
  <c r="AT269" i="8"/>
  <c r="AT106" i="8" s="1"/>
  <c r="AT158" i="8"/>
  <c r="AT265" i="8"/>
  <c r="AT266" i="8"/>
  <c r="AT24" i="8"/>
  <c r="AT30" i="8" s="1"/>
  <c r="AT34" i="8"/>
  <c r="AT18" i="8"/>
  <c r="AE268" i="18"/>
  <c r="AE267" i="18"/>
  <c r="J264" i="8"/>
  <c r="F178" i="18"/>
  <c r="J269" i="8" s="1"/>
  <c r="J106" i="8" s="1"/>
  <c r="N257" i="18"/>
  <c r="AM260" i="18"/>
  <c r="AR222" i="8"/>
  <c r="J26" i="18"/>
  <c r="N72" i="8"/>
  <c r="AN66" i="3"/>
  <c r="D44" i="23" s="1"/>
  <c r="AS416" i="8"/>
  <c r="H416" i="8"/>
  <c r="H66" i="3"/>
  <c r="H89" i="3" s="1"/>
  <c r="AW348" i="8"/>
  <c r="I126" i="8"/>
  <c r="I127" i="8" s="1"/>
  <c r="I333" i="8"/>
  <c r="E308" i="8"/>
  <c r="E120" i="8" s="1"/>
  <c r="E369" i="8"/>
  <c r="E370" i="8" s="1"/>
  <c r="P39" i="3"/>
  <c r="AQ10" i="3"/>
  <c r="AQ11" i="27" s="1"/>
  <c r="AT418" i="8"/>
  <c r="AL406" i="8"/>
  <c r="AK348" i="8"/>
  <c r="AK354" i="8" s="1"/>
  <c r="P348" i="8"/>
  <c r="H348" i="8"/>
  <c r="I206" i="8"/>
  <c r="BA198" i="8"/>
  <c r="BB199" i="8" s="1"/>
  <c r="BB179" i="8"/>
  <c r="AU180" i="8"/>
  <c r="P170" i="8"/>
  <c r="AQ122" i="8"/>
  <c r="AI122" i="8"/>
  <c r="AK53" i="3"/>
  <c r="AI53" i="3"/>
  <c r="S101" i="8"/>
  <c r="AZ83" i="8"/>
  <c r="AZ89" i="8" s="1"/>
  <c r="AX101" i="8"/>
  <c r="N83" i="8"/>
  <c r="AZ81" i="8"/>
  <c r="AZ87" i="8" s="1"/>
  <c r="AS18" i="8"/>
  <c r="H17" i="18"/>
  <c r="I418" i="8"/>
  <c r="AR406" i="8"/>
  <c r="AN313" i="8"/>
  <c r="AN314" i="8" s="1"/>
  <c r="AL189" i="18"/>
  <c r="AL204" i="18" s="1"/>
  <c r="AL17" i="18"/>
  <c r="AM264" i="18"/>
  <c r="AG464" i="18"/>
  <c r="AD123" i="18"/>
  <c r="AD467" i="18"/>
  <c r="AH89" i="18"/>
  <c r="AH90" i="18" s="1"/>
  <c r="AH156" i="18"/>
  <c r="AO39" i="3"/>
  <c r="AG39" i="3"/>
  <c r="F341" i="8"/>
  <c r="S341" i="8"/>
  <c r="AM313" i="8"/>
  <c r="AM314" i="8" s="1"/>
  <c r="AR314" i="8"/>
  <c r="F369" i="8"/>
  <c r="F370" i="8" s="1"/>
  <c r="BA245" i="8"/>
  <c r="J218" i="8"/>
  <c r="E434" i="8"/>
  <c r="S66" i="3"/>
  <c r="S89" i="3" s="1"/>
  <c r="Q66" i="3"/>
  <c r="O66" i="3"/>
  <c r="O89" i="3" s="1"/>
  <c r="M406" i="8"/>
  <c r="M134" i="8" s="1"/>
  <c r="K406" i="8"/>
  <c r="K134" i="8" s="1"/>
  <c r="AZ351" i="8"/>
  <c r="AZ352" i="8" s="1"/>
  <c r="Q351" i="8"/>
  <c r="Q352" i="8" s="1"/>
  <c r="L351" i="8"/>
  <c r="L352" i="8" s="1"/>
  <c r="H323" i="8"/>
  <c r="H125" i="8" s="1"/>
  <c r="D323" i="8"/>
  <c r="D125" i="8" s="1"/>
  <c r="AZ271" i="8"/>
  <c r="M101" i="8"/>
  <c r="AX75" i="8"/>
  <c r="O53" i="8"/>
  <c r="R52" i="8"/>
  <c r="G33" i="8"/>
  <c r="O23" i="8"/>
  <c r="H10" i="18"/>
  <c r="D175" i="18"/>
  <c r="F17" i="18" s="1"/>
  <c r="J42" i="18"/>
  <c r="N264" i="18"/>
  <c r="F387" i="18"/>
  <c r="F473" i="18"/>
  <c r="AV370" i="8"/>
  <c r="R391" i="8"/>
  <c r="R395" i="8" s="1"/>
  <c r="R397" i="8" s="1"/>
  <c r="Q391" i="8"/>
  <c r="Q395" i="8" s="1"/>
  <c r="Q397" i="8" s="1"/>
  <c r="AX332" i="8"/>
  <c r="AX126" i="8" s="1"/>
  <c r="L313" i="8"/>
  <c r="L121" i="8" s="1"/>
  <c r="D313" i="8"/>
  <c r="D121" i="8" s="1"/>
  <c r="AS24" i="8"/>
  <c r="AS30" i="8" s="1"/>
  <c r="L94" i="8"/>
  <c r="F453" i="18"/>
  <c r="F462" i="18" s="1"/>
  <c r="I464" i="18"/>
  <c r="M141" i="3"/>
  <c r="AJ370" i="8"/>
  <c r="AZ348" i="8"/>
  <c r="AG341" i="8"/>
  <c r="E341" i="8"/>
  <c r="AS332" i="8"/>
  <c r="AS333" i="8" s="1"/>
  <c r="AK332" i="8"/>
  <c r="AK333" i="8" s="1"/>
  <c r="BB260" i="8"/>
  <c r="G218" i="8"/>
  <c r="Q93" i="8"/>
  <c r="I99" i="8"/>
  <c r="R89" i="8"/>
  <c r="S93" i="8"/>
  <c r="AS35" i="8"/>
  <c r="AR34" i="8"/>
  <c r="AW12" i="8"/>
  <c r="AW33" i="8" s="1"/>
  <c r="AJ74" i="18"/>
  <c r="L71" i="18"/>
  <c r="M29" i="18"/>
  <c r="D388" i="18"/>
  <c r="AL39" i="3"/>
  <c r="AD39" i="3"/>
  <c r="AH416" i="8"/>
  <c r="AV333" i="8"/>
  <c r="AV314" i="8"/>
  <c r="AZ260" i="8"/>
  <c r="T417" i="8"/>
  <c r="T137" i="8" s="1"/>
  <c r="AX406" i="8"/>
  <c r="AX134" i="8" s="1"/>
  <c r="AN136" i="8"/>
  <c r="AF136" i="8"/>
  <c r="T122" i="8"/>
  <c r="AM264" i="8"/>
  <c r="AM269" i="8" s="1"/>
  <c r="AK264" i="8"/>
  <c r="AK269" i="8" s="1"/>
  <c r="AK143" i="8" s="1"/>
  <c r="N95" i="8"/>
  <c r="N93" i="8"/>
  <c r="Q82" i="8"/>
  <c r="G34" i="8"/>
  <c r="AW23" i="8"/>
  <c r="AW29" i="8" s="1"/>
  <c r="H22" i="8"/>
  <c r="AZ23" i="8"/>
  <c r="AZ29" i="8" s="1"/>
  <c r="L93" i="8"/>
  <c r="N282" i="18"/>
  <c r="N283" i="18" s="1"/>
  <c r="N285" i="18" s="1"/>
  <c r="N287" i="18" s="1"/>
  <c r="N188" i="18" s="1"/>
  <c r="N273" i="18"/>
  <c r="N275" i="18" s="1"/>
  <c r="AJ388" i="18"/>
  <c r="AI483" i="18"/>
  <c r="AZ370" i="8"/>
  <c r="AL66" i="3"/>
  <c r="AL89" i="3" s="1"/>
  <c r="AD66" i="3"/>
  <c r="AD89" i="3" s="1"/>
  <c r="AB66" i="3"/>
  <c r="AB89" i="3" s="1"/>
  <c r="AY84" i="8"/>
  <c r="AY90" i="8" s="1"/>
  <c r="AZ101" i="8"/>
  <c r="BA82" i="8"/>
  <c r="BA88" i="8" s="1"/>
  <c r="AZ46" i="8"/>
  <c r="AY17" i="8"/>
  <c r="Q22" i="8"/>
  <c r="AH154" i="18"/>
  <c r="AH164" i="18" s="1"/>
  <c r="AH168" i="18" s="1"/>
  <c r="M74" i="18"/>
  <c r="F476" i="18"/>
  <c r="AI141" i="3"/>
  <c r="AL137" i="3"/>
  <c r="AD138" i="3"/>
  <c r="AS121" i="3"/>
  <c r="AH66" i="3"/>
  <c r="AH89" i="3" s="1"/>
  <c r="AS22" i="3"/>
  <c r="AS22" i="27" s="1"/>
  <c r="AU9" i="3"/>
  <c r="AO425" i="8"/>
  <c r="AO429" i="8" s="1"/>
  <c r="AL429" i="8"/>
  <c r="AI427" i="8"/>
  <c r="T401" i="8"/>
  <c r="T66" i="3" s="1"/>
  <c r="K370" i="8"/>
  <c r="AM370" i="8"/>
  <c r="AE370" i="8"/>
  <c r="O370" i="8"/>
  <c r="H351" i="8"/>
  <c r="H352" i="8" s="1"/>
  <c r="Z348" i="8"/>
  <c r="Z354" i="8" s="1"/>
  <c r="Z355" i="8" s="1"/>
  <c r="N348" i="8"/>
  <c r="AX348" i="8"/>
  <c r="AN348" i="8"/>
  <c r="AN354" i="8" s="1"/>
  <c r="Y348" i="8"/>
  <c r="Y354" i="8" s="1"/>
  <c r="M348" i="8"/>
  <c r="E348" i="8"/>
  <c r="E354" i="8" s="1"/>
  <c r="AX341" i="8"/>
  <c r="AJ341" i="8"/>
  <c r="R341" i="8"/>
  <c r="J341" i="8"/>
  <c r="AY341" i="8"/>
  <c r="AZ341" i="8"/>
  <c r="AM341" i="8"/>
  <c r="AE341" i="8"/>
  <c r="M341" i="8"/>
  <c r="AT314" i="8"/>
  <c r="F285" i="8"/>
  <c r="AS272" i="8"/>
  <c r="AS270" i="8"/>
  <c r="M247" i="8"/>
  <c r="AZ230" i="8"/>
  <c r="AZ359" i="8" s="1"/>
  <c r="BA362" i="8" s="1"/>
  <c r="P187" i="8"/>
  <c r="P188" i="8"/>
  <c r="O391" i="8"/>
  <c r="O395" i="8" s="1"/>
  <c r="O397" i="8" s="1"/>
  <c r="A53" i="8"/>
  <c r="A59" i="8" s="1"/>
  <c r="A65" i="8"/>
  <c r="L58" i="18"/>
  <c r="L64" i="18"/>
  <c r="L59" i="18"/>
  <c r="L56" i="18"/>
  <c r="L57" i="18"/>
  <c r="E464" i="18"/>
  <c r="AH268" i="18"/>
  <c r="AH267" i="18"/>
  <c r="I224" i="18"/>
  <c r="I223" i="18" s="1"/>
  <c r="I88" i="18"/>
  <c r="I90" i="18" s="1"/>
  <c r="M162" i="8" s="1"/>
  <c r="I352" i="18"/>
  <c r="AM184" i="18"/>
  <c r="AM129" i="18" s="1"/>
  <c r="AM128" i="18"/>
  <c r="Q334" i="18"/>
  <c r="AO377" i="18"/>
  <c r="C52" i="4"/>
  <c r="AU136" i="3"/>
  <c r="N21" i="25" s="1"/>
  <c r="AC138" i="3"/>
  <c r="K66" i="3"/>
  <c r="AT39" i="3"/>
  <c r="AR39" i="3"/>
  <c r="AB39" i="3"/>
  <c r="BB370" i="8"/>
  <c r="AM347" i="8"/>
  <c r="AM348" i="8" s="1"/>
  <c r="AM354" i="8" s="1"/>
  <c r="L348" i="8"/>
  <c r="D348" i="8"/>
  <c r="D354" i="8" s="1"/>
  <c r="AY265" i="8"/>
  <c r="AG245" i="8"/>
  <c r="BA188" i="8"/>
  <c r="E433" i="8"/>
  <c r="F412" i="8"/>
  <c r="F255" i="8"/>
  <c r="F264" i="8" s="1"/>
  <c r="F213" i="8" s="1"/>
  <c r="E205" i="8"/>
  <c r="A84" i="8"/>
  <c r="A90" i="8" s="1"/>
  <c r="A102" i="8"/>
  <c r="AJ230" i="8"/>
  <c r="AJ205" i="8"/>
  <c r="O79" i="3"/>
  <c r="O90" i="3" s="1"/>
  <c r="AF66" i="3"/>
  <c r="AQ435" i="8"/>
  <c r="AI435" i="8"/>
  <c r="AX265" i="8"/>
  <c r="AQ341" i="8"/>
  <c r="D332" i="8"/>
  <c r="AD246" i="18"/>
  <c r="AD247" i="18" s="1"/>
  <c r="AD248" i="18" s="1"/>
  <c r="AD249" i="18" s="1"/>
  <c r="AD223" i="18"/>
  <c r="AD226" i="18"/>
  <c r="H153" i="18"/>
  <c r="L225" i="8" s="1"/>
  <c r="H192" i="18"/>
  <c r="L469" i="18"/>
  <c r="L28" i="18"/>
  <c r="L48" i="18"/>
  <c r="L29" i="18"/>
  <c r="L27" i="18"/>
  <c r="L26" i="18"/>
  <c r="P72" i="8"/>
  <c r="P84" i="8" s="1"/>
  <c r="BB238" i="8"/>
  <c r="BC239" i="8" s="1"/>
  <c r="BB215" i="8"/>
  <c r="AB79" i="3"/>
  <c r="AB90" i="3" s="1"/>
  <c r="AH138" i="3"/>
  <c r="AH139" i="3" s="1"/>
  <c r="AJ141" i="3"/>
  <c r="AS83" i="3"/>
  <c r="AC39" i="3"/>
  <c r="AP39" i="3"/>
  <c r="AI39" i="3"/>
  <c r="O39" i="3"/>
  <c r="AG427" i="8"/>
  <c r="AG429" i="8" s="1"/>
  <c r="AR391" i="8"/>
  <c r="AR395" i="8" s="1"/>
  <c r="AR397" i="8" s="1"/>
  <c r="AM101" i="3" s="1"/>
  <c r="AE313" i="8"/>
  <c r="AE314" i="8" s="1"/>
  <c r="Q284" i="8"/>
  <c r="AQ199" i="8"/>
  <c r="AR199" i="8"/>
  <c r="AS179" i="8"/>
  <c r="AS180" i="8"/>
  <c r="O158" i="8"/>
  <c r="O213" i="8"/>
  <c r="O216" i="8" s="1"/>
  <c r="E431" i="8"/>
  <c r="F409" i="8"/>
  <c r="F431" i="8" s="1"/>
  <c r="K83" i="8"/>
  <c r="L77" i="8"/>
  <c r="M76" i="8"/>
  <c r="K88" i="8"/>
  <c r="K93" i="8"/>
  <c r="K81" i="8"/>
  <c r="L143" i="8"/>
  <c r="L151" i="8" s="1"/>
  <c r="N39" i="3"/>
  <c r="AP341" i="8"/>
  <c r="AH341" i="8"/>
  <c r="P341" i="8"/>
  <c r="AW341" i="8"/>
  <c r="AI341" i="8"/>
  <c r="Q341" i="8"/>
  <c r="H341" i="8"/>
  <c r="AT139" i="8"/>
  <c r="AD124" i="18"/>
  <c r="AD185" i="18"/>
  <c r="AD266" i="18" s="1"/>
  <c r="J387" i="18"/>
  <c r="J371" i="18" s="1"/>
  <c r="J372" i="18" s="1"/>
  <c r="J473" i="18"/>
  <c r="AK483" i="18"/>
  <c r="J476" i="18"/>
  <c r="AH260" i="18"/>
  <c r="D257" i="18"/>
  <c r="AV120" i="3"/>
  <c r="AV121" i="3" s="1"/>
  <c r="R120" i="3"/>
  <c r="R121" i="3" s="1"/>
  <c r="AW106" i="3"/>
  <c r="AQ426" i="8"/>
  <c r="AU370" i="8"/>
  <c r="AD370" i="8"/>
  <c r="N370" i="8"/>
  <c r="AP370" i="8"/>
  <c r="I370" i="8"/>
  <c r="AJ313" i="8"/>
  <c r="AJ314" i="8" s="1"/>
  <c r="M284" i="8"/>
  <c r="AR187" i="8"/>
  <c r="AR188" i="8"/>
  <c r="F389" i="8"/>
  <c r="AK218" i="8"/>
  <c r="S90" i="8"/>
  <c r="Q78" i="8"/>
  <c r="Q100" i="8"/>
  <c r="S53" i="8"/>
  <c r="S47" i="8"/>
  <c r="AZ205" i="8"/>
  <c r="AS106" i="8"/>
  <c r="U38" i="6" s="1"/>
  <c r="AS143" i="8"/>
  <c r="AS219" i="8"/>
  <c r="AS224" i="8" s="1"/>
  <c r="AS226" i="8" s="1"/>
  <c r="H46" i="18"/>
  <c r="J15" i="18"/>
  <c r="H42" i="18"/>
  <c r="H41" i="18"/>
  <c r="H43" i="18"/>
  <c r="AN138" i="3"/>
  <c r="AN139" i="3" s="1"/>
  <c r="AG137" i="3"/>
  <c r="AS406" i="8"/>
  <c r="M370" i="8"/>
  <c r="Q370" i="8"/>
  <c r="AG332" i="8"/>
  <c r="AG333" i="8" s="1"/>
  <c r="AE332" i="8"/>
  <c r="AE333" i="8" s="1"/>
  <c r="J332" i="8"/>
  <c r="AT332" i="8"/>
  <c r="AT333" i="8" s="1"/>
  <c r="AL332" i="8"/>
  <c r="AL333" i="8" s="1"/>
  <c r="O266" i="8"/>
  <c r="AN245" i="8"/>
  <c r="AW198" i="8"/>
  <c r="AX187" i="8"/>
  <c r="J186" i="8"/>
  <c r="K188" i="8" s="1"/>
  <c r="BA391" i="8"/>
  <c r="BA395" i="8" s="1"/>
  <c r="BA397" i="8" s="1"/>
  <c r="AS199" i="8"/>
  <c r="T187" i="8"/>
  <c r="M178" i="8"/>
  <c r="AZ406" i="8"/>
  <c r="AZ134" i="8" s="1"/>
  <c r="AW406" i="8"/>
  <c r="F387" i="8"/>
  <c r="AQ127" i="8"/>
  <c r="M323" i="8"/>
  <c r="M125" i="8" s="1"/>
  <c r="K323" i="8"/>
  <c r="K125" i="8" s="1"/>
  <c r="G122" i="8"/>
  <c r="AZ99" i="8"/>
  <c r="AZ93" i="8"/>
  <c r="N87" i="8"/>
  <c r="Q81" i="8"/>
  <c r="BA77" i="8"/>
  <c r="S89" i="8"/>
  <c r="I101" i="8"/>
  <c r="J81" i="8"/>
  <c r="AT42" i="8"/>
  <c r="A34" i="8"/>
  <c r="Q28" i="8"/>
  <c r="Q16" i="8"/>
  <c r="S23" i="8"/>
  <c r="AX16" i="8"/>
  <c r="AZ15" i="8"/>
  <c r="N362" i="18"/>
  <c r="P362" i="18" s="1"/>
  <c r="R362" i="18" s="1"/>
  <c r="AD464" i="18"/>
  <c r="O123" i="18"/>
  <c r="AH479" i="18"/>
  <c r="D222" i="18"/>
  <c r="D242" i="18" s="1"/>
  <c r="D243" i="18" s="1"/>
  <c r="D244" i="18" s="1"/>
  <c r="D245" i="18" s="1"/>
  <c r="M44" i="18"/>
  <c r="AH364" i="18"/>
  <c r="R406" i="8"/>
  <c r="R134" i="8" s="1"/>
  <c r="P406" i="8"/>
  <c r="P134" i="8" s="1"/>
  <c r="N406" i="8"/>
  <c r="N134" i="8" s="1"/>
  <c r="L406" i="8"/>
  <c r="L134" i="8" s="1"/>
  <c r="E391" i="8"/>
  <c r="E395" i="8" s="1"/>
  <c r="E397" i="8" s="1"/>
  <c r="C391" i="8"/>
  <c r="C395" i="8" s="1"/>
  <c r="C397" i="8" s="1"/>
  <c r="AY332" i="8"/>
  <c r="AY126" i="8" s="1"/>
  <c r="AR128" i="8"/>
  <c r="AR129" i="8" s="1"/>
  <c r="AR154" i="8" s="1"/>
  <c r="AJ127" i="8"/>
  <c r="AZ313" i="8"/>
  <c r="AZ121" i="8" s="1"/>
  <c r="AL122" i="8"/>
  <c r="AZ78" i="8"/>
  <c r="Q58" i="8"/>
  <c r="Q52" i="8"/>
  <c r="BB36" i="8"/>
  <c r="L21" i="8"/>
  <c r="J16" i="8"/>
  <c r="AG17" i="18"/>
  <c r="AD355" i="18"/>
  <c r="AD470" i="18"/>
  <c r="N89" i="18"/>
  <c r="N156" i="18"/>
  <c r="AZ416" i="8"/>
  <c r="AZ135" i="8" s="1"/>
  <c r="O416" i="8"/>
  <c r="O135" i="8" s="1"/>
  <c r="K416" i="8"/>
  <c r="K135" i="8" s="1"/>
  <c r="O332" i="8"/>
  <c r="O126" i="8" s="1"/>
  <c r="M332" i="8"/>
  <c r="E332" i="8"/>
  <c r="E126" i="8" s="1"/>
  <c r="AJ264" i="8"/>
  <c r="AJ269" i="8" s="1"/>
  <c r="Q94" i="8"/>
  <c r="O77" i="8"/>
  <c r="P75" i="8"/>
  <c r="P59" i="8"/>
  <c r="J28" i="8"/>
  <c r="K27" i="8"/>
  <c r="R22" i="8"/>
  <c r="K21" i="8"/>
  <c r="AM470" i="18"/>
  <c r="AL470" i="18"/>
  <c r="AX188" i="8"/>
  <c r="AK391" i="8"/>
  <c r="AK395" i="8" s="1"/>
  <c r="AK397" i="8" s="1"/>
  <c r="AF391" i="8"/>
  <c r="AF395" i="8" s="1"/>
  <c r="AF397" i="8" s="1"/>
  <c r="R144" i="8"/>
  <c r="R60" i="3" s="1"/>
  <c r="AO136" i="8"/>
  <c r="G429" i="8"/>
  <c r="G134" i="8" s="1"/>
  <c r="S332" i="8"/>
  <c r="S126" i="8" s="1"/>
  <c r="S313" i="8"/>
  <c r="S121" i="8" s="1"/>
  <c r="Q313" i="8"/>
  <c r="Q121" i="8" s="1"/>
  <c r="I110" i="8"/>
  <c r="O100" i="8"/>
  <c r="O99" i="8"/>
  <c r="O95" i="8"/>
  <c r="P93" i="8"/>
  <c r="O90" i="8"/>
  <c r="AZ84" i="8"/>
  <c r="AZ90" i="8" s="1"/>
  <c r="AY51" i="8"/>
  <c r="AY57" i="8" s="1"/>
  <c r="AT33" i="8"/>
  <c r="I44" i="18"/>
  <c r="J73" i="18"/>
  <c r="C123" i="18"/>
  <c r="AQ254" i="18"/>
  <c r="AP450" i="18"/>
  <c r="AF263" i="18"/>
  <c r="AF264" i="18" s="1"/>
  <c r="AF261" i="18"/>
  <c r="AF262" i="18" s="1"/>
  <c r="M59" i="18"/>
  <c r="Q170" i="8"/>
  <c r="AZ332" i="8"/>
  <c r="AZ126" i="8" s="1"/>
  <c r="AN122" i="8"/>
  <c r="AF122" i="8"/>
  <c r="AP122" i="8"/>
  <c r="AH122" i="8"/>
  <c r="M100" i="8"/>
  <c r="M99" i="8"/>
  <c r="BA81" i="8"/>
  <c r="BA87" i="8" s="1"/>
  <c r="N89" i="8"/>
  <c r="AX76" i="8"/>
  <c r="N82" i="8"/>
  <c r="N81" i="8"/>
  <c r="P53" i="8"/>
  <c r="AZ47" i="8"/>
  <c r="AT35" i="8"/>
  <c r="AY23" i="8"/>
  <c r="AY29" i="8" s="1"/>
  <c r="R16" i="8"/>
  <c r="H16" i="8"/>
  <c r="N10" i="18"/>
  <c r="AM179" i="18"/>
  <c r="AM124" i="18" s="1"/>
  <c r="F436" i="18"/>
  <c r="G472" i="18" s="1"/>
  <c r="AG44" i="18"/>
  <c r="AH263" i="18"/>
  <c r="AH264" i="18" s="1"/>
  <c r="AH261" i="18"/>
  <c r="AH262" i="18" s="1"/>
  <c r="O74" i="18"/>
  <c r="AT199" i="8"/>
  <c r="G435" i="8"/>
  <c r="G135" i="8" s="1"/>
  <c r="F401" i="8"/>
  <c r="F426" i="8" s="1"/>
  <c r="N391" i="8"/>
  <c r="N395" i="8" s="1"/>
  <c r="N397" i="8" s="1"/>
  <c r="AM127" i="8"/>
  <c r="AO122" i="8"/>
  <c r="AG122" i="8"/>
  <c r="AG264" i="8"/>
  <c r="AG269" i="8" s="1"/>
  <c r="AG143" i="8" s="1"/>
  <c r="I100" i="8"/>
  <c r="R72" i="8"/>
  <c r="R99" i="8" s="1"/>
  <c r="J72" i="8"/>
  <c r="M89" i="8"/>
  <c r="AW99" i="8"/>
  <c r="O17" i="8"/>
  <c r="S15" i="8"/>
  <c r="AM59" i="18"/>
  <c r="O94" i="18"/>
  <c r="AM123" i="18"/>
  <c r="I242" i="18"/>
  <c r="I243" i="18" s="1"/>
  <c r="I244" i="18" s="1"/>
  <c r="I245" i="18" s="1"/>
  <c r="B105" i="2"/>
  <c r="B77" i="2"/>
  <c r="B88" i="2" s="1"/>
  <c r="B97" i="2"/>
  <c r="Y66" i="2"/>
  <c r="B91" i="2"/>
  <c r="B50" i="2"/>
  <c r="C51" i="2" s="1"/>
  <c r="B47" i="2"/>
  <c r="Y45" i="2"/>
  <c r="C46" i="2"/>
  <c r="C48" i="2"/>
  <c r="Y43" i="2"/>
  <c r="C44" i="2"/>
  <c r="E79" i="2"/>
  <c r="E103" i="2"/>
  <c r="E61" i="2"/>
  <c r="AE141" i="3"/>
  <c r="AF138" i="3"/>
  <c r="AF139" i="3" s="1"/>
  <c r="AL141" i="3"/>
  <c r="L122" i="3"/>
  <c r="AE406" i="8"/>
  <c r="AE426" i="8"/>
  <c r="Z66" i="3"/>
  <c r="BF66" i="3" s="1"/>
  <c r="J323" i="8"/>
  <c r="J351" i="8"/>
  <c r="J352" i="8" s="1"/>
  <c r="G238" i="8"/>
  <c r="G243" i="8" s="1"/>
  <c r="G216" i="8"/>
  <c r="K152" i="8"/>
  <c r="K247" i="8"/>
  <c r="P141" i="3"/>
  <c r="AO141" i="3"/>
  <c r="AD141" i="3"/>
  <c r="AO137" i="3"/>
  <c r="R137" i="3"/>
  <c r="AT137" i="3"/>
  <c r="AK137" i="3"/>
  <c r="AC141" i="3"/>
  <c r="M138" i="3"/>
  <c r="AS122" i="3"/>
  <c r="AS123" i="3" s="1"/>
  <c r="G90" i="3"/>
  <c r="I10" i="3"/>
  <c r="I11" i="27" s="1"/>
  <c r="I52" i="3"/>
  <c r="AF141" i="3"/>
  <c r="AT121" i="3"/>
  <c r="AU122" i="3"/>
  <c r="AU123" i="3" s="1"/>
  <c r="J406" i="8"/>
  <c r="J66" i="3"/>
  <c r="J427" i="8"/>
  <c r="AL12" i="8"/>
  <c r="AN141" i="3"/>
  <c r="AO138" i="3"/>
  <c r="AO139" i="3" s="1"/>
  <c r="AM137" i="3"/>
  <c r="Q137" i="3"/>
  <c r="AU121" i="3"/>
  <c r="AP51" i="3"/>
  <c r="AP52" i="3" s="1"/>
  <c r="AE432" i="8"/>
  <c r="AE435" i="8" s="1"/>
  <c r="AE416" i="8"/>
  <c r="AR137" i="3"/>
  <c r="Z39" i="3"/>
  <c r="AA39" i="3"/>
  <c r="R141" i="3"/>
  <c r="AK138" i="3"/>
  <c r="AK139" i="3" s="1"/>
  <c r="R138" i="3"/>
  <c r="AJ137" i="3"/>
  <c r="I89" i="3"/>
  <c r="AP79" i="3"/>
  <c r="F52" i="23" s="1"/>
  <c r="AH39" i="3"/>
  <c r="AF435" i="8"/>
  <c r="AH406" i="8"/>
  <c r="AM141" i="3"/>
  <c r="AP313" i="8"/>
  <c r="AP314" i="8" s="1"/>
  <c r="AP347" i="8"/>
  <c r="AP348" i="8" s="1"/>
  <c r="AP354" i="8" s="1"/>
  <c r="G67" i="3"/>
  <c r="AS39" i="3"/>
  <c r="AE39" i="3"/>
  <c r="M39" i="3"/>
  <c r="AT216" i="8"/>
  <c r="AT238" i="8"/>
  <c r="AV39" i="3"/>
  <c r="AN39" i="3"/>
  <c r="AF39" i="3"/>
  <c r="R39" i="3"/>
  <c r="AG416" i="8"/>
  <c r="AM429" i="8"/>
  <c r="AU206" i="8"/>
  <c r="AU230" i="8"/>
  <c r="AU231" i="8" s="1"/>
  <c r="BB242" i="8"/>
  <c r="K144" i="8"/>
  <c r="K60" i="3" s="1"/>
  <c r="K277" i="8"/>
  <c r="AH370" i="8"/>
  <c r="AL370" i="8"/>
  <c r="F245" i="8"/>
  <c r="J223" i="8"/>
  <c r="AW245" i="8"/>
  <c r="F402" i="8"/>
  <c r="E427" i="8"/>
  <c r="AX370" i="8"/>
  <c r="AS418" i="8"/>
  <c r="AN429" i="8"/>
  <c r="AG435" i="8"/>
  <c r="AF416" i="8"/>
  <c r="AN406" i="8"/>
  <c r="AE391" i="8"/>
  <c r="AE395" i="8" s="1"/>
  <c r="AE397" i="8" s="1"/>
  <c r="F324" i="8"/>
  <c r="F332" i="8" s="1"/>
  <c r="AU332" i="8"/>
  <c r="Q245" i="8"/>
  <c r="AU179" i="8"/>
  <c r="Q178" i="8"/>
  <c r="Q188" i="8"/>
  <c r="AJ391" i="8"/>
  <c r="AJ395" i="8" s="1"/>
  <c r="AJ397" i="8" s="1"/>
  <c r="AH391" i="8"/>
  <c r="AH395" i="8" s="1"/>
  <c r="S416" i="8"/>
  <c r="S135" i="8" s="1"/>
  <c r="T412" i="8"/>
  <c r="T105" i="3" s="1"/>
  <c r="AW105" i="3" s="1"/>
  <c r="AY406" i="8"/>
  <c r="AY134" i="8" s="1"/>
  <c r="AJ348" i="8"/>
  <c r="AJ354" i="8" s="1"/>
  <c r="Q359" i="8"/>
  <c r="R362" i="8" s="1"/>
  <c r="AT187" i="8"/>
  <c r="AT188" i="8"/>
  <c r="AQ102" i="3"/>
  <c r="AJ39" i="3"/>
  <c r="AR418" i="8"/>
  <c r="AR420" i="8" s="1"/>
  <c r="AS419" i="8" s="1"/>
  <c r="K341" i="8"/>
  <c r="C341" i="8"/>
  <c r="AQ348" i="8"/>
  <c r="AQ354" i="8" s="1"/>
  <c r="AQ313" i="8"/>
  <c r="AI347" i="8"/>
  <c r="AI348" i="8" s="1"/>
  <c r="AI354" i="8" s="1"/>
  <c r="AI313" i="8"/>
  <c r="AI314" i="8" s="1"/>
  <c r="AS187" i="8"/>
  <c r="AS188" i="8"/>
  <c r="E406" i="8"/>
  <c r="AK406" i="8"/>
  <c r="J391" i="8"/>
  <c r="J395" i="8" s="1"/>
  <c r="J397" i="8" s="1"/>
  <c r="AS370" i="8"/>
  <c r="S348" i="8"/>
  <c r="C348" i="8"/>
  <c r="C354" i="8" s="1"/>
  <c r="AL341" i="8"/>
  <c r="L341" i="8"/>
  <c r="AR332" i="8"/>
  <c r="AR333" i="8" s="1"/>
  <c r="AJ332" i="8"/>
  <c r="AJ333" i="8" s="1"/>
  <c r="AG313" i="8"/>
  <c r="AG314" i="8" s="1"/>
  <c r="F308" i="8"/>
  <c r="AZ284" i="8"/>
  <c r="O284" i="8"/>
  <c r="D245" i="8"/>
  <c r="G212" i="8"/>
  <c r="G237" i="8"/>
  <c r="AZ208" i="8"/>
  <c r="AZ233" i="8" s="1"/>
  <c r="BA260" i="8"/>
  <c r="AZ261" i="8"/>
  <c r="S187" i="8"/>
  <c r="AR106" i="8"/>
  <c r="T38" i="6" s="1"/>
  <c r="AR143" i="8"/>
  <c r="AO435" i="8"/>
  <c r="AM406" i="8"/>
  <c r="H406" i="8"/>
  <c r="AR370" i="8"/>
  <c r="Y370" i="8"/>
  <c r="AR348" i="8"/>
  <c r="AR354" i="8" s="1"/>
  <c r="AK341" i="8"/>
  <c r="AQ332" i="8"/>
  <c r="AI332" i="8"/>
  <c r="AI333" i="8" s="1"/>
  <c r="AF313" i="8"/>
  <c r="AF314" i="8" s="1"/>
  <c r="AY284" i="8"/>
  <c r="AY209" i="8"/>
  <c r="S188" i="8"/>
  <c r="AZ170" i="8"/>
  <c r="AQ391" i="8"/>
  <c r="AQ395" i="8" s="1"/>
  <c r="AQ397" i="8" s="1"/>
  <c r="D435" i="8"/>
  <c r="D135" i="8" s="1"/>
  <c r="H332" i="8"/>
  <c r="G418" i="8"/>
  <c r="AO406" i="8"/>
  <c r="AG406" i="8"/>
  <c r="C406" i="8"/>
  <c r="AQ406" i="8"/>
  <c r="AI406" i="8"/>
  <c r="AT391" i="8"/>
  <c r="AT395" i="8" s="1"/>
  <c r="AT397" i="8" s="1"/>
  <c r="AO101" i="3" s="1"/>
  <c r="G370" i="8"/>
  <c r="AY370" i="8"/>
  <c r="AY348" i="8"/>
  <c r="Q348" i="8"/>
  <c r="AU323" i="8"/>
  <c r="D235" i="8"/>
  <c r="BB216" i="8"/>
  <c r="AZ179" i="8"/>
  <c r="BA180" i="8"/>
  <c r="AH136" i="8"/>
  <c r="AJ218" i="8"/>
  <c r="AH218" i="8"/>
  <c r="BA51" i="8"/>
  <c r="BA57" i="8" s="1"/>
  <c r="F323" i="8"/>
  <c r="AL313" i="8"/>
  <c r="AL314" i="8" s="1"/>
  <c r="K284" i="8"/>
  <c r="AG391" i="8"/>
  <c r="AG395" i="8" s="1"/>
  <c r="AG397" i="8" s="1"/>
  <c r="T40" i="8"/>
  <c r="S46" i="8"/>
  <c r="S52" i="8"/>
  <c r="S58" i="8"/>
  <c r="AZ42" i="8"/>
  <c r="AZ64" i="8" s="1"/>
  <c r="AZ51" i="8"/>
  <c r="AZ57" i="8" s="1"/>
  <c r="AZ45" i="8"/>
  <c r="N42" i="8"/>
  <c r="N63" i="8" s="1"/>
  <c r="P57" i="8"/>
  <c r="O51" i="8"/>
  <c r="N51" i="8"/>
  <c r="AT370" i="8"/>
  <c r="AW370" i="8"/>
  <c r="AG370" i="8"/>
  <c r="AL347" i="8"/>
  <c r="AL348" i="8" s="1"/>
  <c r="AL354" i="8" s="1"/>
  <c r="O348" i="8"/>
  <c r="BA341" i="8"/>
  <c r="AN332" i="8"/>
  <c r="AN333" i="8" s="1"/>
  <c r="AF332" i="8"/>
  <c r="AF333" i="8" s="1"/>
  <c r="AQ323" i="8"/>
  <c r="T369" i="8"/>
  <c r="T370" i="8" s="1"/>
  <c r="J308" i="8"/>
  <c r="H285" i="8"/>
  <c r="H83" i="3" s="1"/>
  <c r="AQ83" i="3" s="1"/>
  <c r="AH235" i="8"/>
  <c r="S245" i="8"/>
  <c r="AW208" i="8"/>
  <c r="AX209" i="8" s="1"/>
  <c r="AX260" i="8"/>
  <c r="AW261" i="8"/>
  <c r="AW231" i="8"/>
  <c r="S178" i="8"/>
  <c r="BA45" i="8"/>
  <c r="AO341" i="8"/>
  <c r="O341" i="8"/>
  <c r="AM332" i="8"/>
  <c r="AM333" i="8" s="1"/>
  <c r="AP199" i="8"/>
  <c r="BA187" i="8"/>
  <c r="R188" i="8"/>
  <c r="AX170" i="8"/>
  <c r="O170" i="8"/>
  <c r="AO391" i="8"/>
  <c r="AO395" i="8" s="1"/>
  <c r="AO397" i="8" s="1"/>
  <c r="AW332" i="8"/>
  <c r="H27" i="8"/>
  <c r="AZ16" i="8"/>
  <c r="H15" i="8"/>
  <c r="AM391" i="8"/>
  <c r="AM395" i="8" s="1"/>
  <c r="AM397" i="8" s="1"/>
  <c r="AU127" i="8"/>
  <c r="AU128" i="8" s="1"/>
  <c r="AU129" i="8" s="1"/>
  <c r="AU154" i="8" s="1"/>
  <c r="F126" i="8"/>
  <c r="F127" i="8" s="1"/>
  <c r="P106" i="8"/>
  <c r="P219" i="8"/>
  <c r="P224" i="8" s="1"/>
  <c r="M219" i="8"/>
  <c r="M220" i="8" s="1"/>
  <c r="M107" i="8" s="1"/>
  <c r="M143" i="8"/>
  <c r="M151" i="8" s="1"/>
  <c r="M153" i="8" s="1"/>
  <c r="G30" i="8"/>
  <c r="G18" i="8"/>
  <c r="N17" i="8"/>
  <c r="L29" i="8"/>
  <c r="AY16" i="8"/>
  <c r="AY12" i="8"/>
  <c r="AZ22" i="8"/>
  <c r="AZ28" i="8" s="1"/>
  <c r="N16" i="8"/>
  <c r="P16" i="8"/>
  <c r="N28" i="8"/>
  <c r="N94" i="8"/>
  <c r="P28" i="8"/>
  <c r="BB15" i="8"/>
  <c r="BB21" i="8"/>
  <c r="BB27" i="8" s="1"/>
  <c r="BA93" i="8"/>
  <c r="Q21" i="8"/>
  <c r="R15" i="8"/>
  <c r="P21" i="8"/>
  <c r="R27" i="8"/>
  <c r="AW170" i="8"/>
  <c r="AQ167" i="8"/>
  <c r="AX416" i="8"/>
  <c r="AX135" i="8" s="1"/>
  <c r="AP136" i="8"/>
  <c r="AX391" i="8"/>
  <c r="AX395" i="8" s="1"/>
  <c r="AX397" i="8" s="1"/>
  <c r="AW391" i="8"/>
  <c r="AW395" i="8" s="1"/>
  <c r="AW397" i="8" s="1"/>
  <c r="R332" i="8"/>
  <c r="P332" i="8"/>
  <c r="N332" i="8"/>
  <c r="L332" i="8"/>
  <c r="O308" i="8"/>
  <c r="O120" i="8" s="1"/>
  <c r="H308" i="8"/>
  <c r="H120" i="8" s="1"/>
  <c r="Q101" i="8"/>
  <c r="K78" i="8"/>
  <c r="AY42" i="8"/>
  <c r="AY64" i="8" s="1"/>
  <c r="AY53" i="8"/>
  <c r="AY59" i="8" s="1"/>
  <c r="P58" i="8"/>
  <c r="BA21" i="8"/>
  <c r="BA27" i="8" s="1"/>
  <c r="AV206" i="8"/>
  <c r="T188" i="8"/>
  <c r="AY187" i="8"/>
  <c r="N170" i="8"/>
  <c r="AI391" i="8"/>
  <c r="AI395" i="8" s="1"/>
  <c r="AI397" i="8" s="1"/>
  <c r="AW416" i="8"/>
  <c r="AL136" i="8"/>
  <c r="M391" i="8"/>
  <c r="M395" i="8" s="1"/>
  <c r="M397" i="8" s="1"/>
  <c r="L391" i="8"/>
  <c r="L395" i="8" s="1"/>
  <c r="L397" i="8" s="1"/>
  <c r="AK127" i="8"/>
  <c r="AW323" i="8"/>
  <c r="AW125" i="8" s="1"/>
  <c r="J125" i="8" s="1"/>
  <c r="BA308" i="8"/>
  <c r="BA120" i="8" s="1"/>
  <c r="S308" i="8"/>
  <c r="Q308" i="8"/>
  <c r="A99" i="8"/>
  <c r="L82" i="8"/>
  <c r="P27" i="8"/>
  <c r="AY22" i="8"/>
  <c r="AY28" i="8" s="1"/>
  <c r="O22" i="8"/>
  <c r="S78" i="8"/>
  <c r="Q90" i="8"/>
  <c r="R77" i="8"/>
  <c r="R83" i="8"/>
  <c r="R95" i="8"/>
  <c r="J83" i="8"/>
  <c r="S82" i="8"/>
  <c r="S100" i="8"/>
  <c r="S88" i="8"/>
  <c r="K82" i="8"/>
  <c r="M88" i="8"/>
  <c r="K100" i="8"/>
  <c r="K76" i="8"/>
  <c r="K94" i="8"/>
  <c r="S87" i="8"/>
  <c r="S99" i="8"/>
  <c r="S81" i="8"/>
  <c r="K87" i="8"/>
  <c r="L81" i="8"/>
  <c r="M75" i="8"/>
  <c r="K99" i="8"/>
  <c r="N29" i="8"/>
  <c r="N22" i="8"/>
  <c r="AV34" i="8"/>
  <c r="AV24" i="8"/>
  <c r="AV30" i="8" s="1"/>
  <c r="AV18" i="8"/>
  <c r="AV42" i="8"/>
  <c r="AV33" i="8"/>
  <c r="BA17" i="8"/>
  <c r="BA23" i="8"/>
  <c r="BA29" i="8" s="1"/>
  <c r="BB23" i="8"/>
  <c r="BB29" i="8" s="1"/>
  <c r="Q17" i="8"/>
  <c r="Q29" i="8"/>
  <c r="S29" i="8"/>
  <c r="S17" i="8"/>
  <c r="H17" i="8"/>
  <c r="H23" i="8"/>
  <c r="I23" i="8"/>
  <c r="H29" i="8"/>
  <c r="K22" i="8"/>
  <c r="K28" i="8"/>
  <c r="K12" i="8"/>
  <c r="K33" i="8" s="1"/>
  <c r="M16" i="8"/>
  <c r="M27" i="8"/>
  <c r="M21" i="8"/>
  <c r="AY179" i="8"/>
  <c r="M187" i="8"/>
  <c r="BA170" i="8"/>
  <c r="AL391" i="8"/>
  <c r="AL395" i="8" s="1"/>
  <c r="AL397" i="8" s="1"/>
  <c r="C435" i="8"/>
  <c r="C135" i="8" s="1"/>
  <c r="AY323" i="8"/>
  <c r="AG127" i="8"/>
  <c r="S323" i="8"/>
  <c r="P323" i="8"/>
  <c r="P125" i="8" s="1"/>
  <c r="AX313" i="8"/>
  <c r="AX121" i="8" s="1"/>
  <c r="R313" i="8"/>
  <c r="R121" i="8" s="1"/>
  <c r="P313" i="8"/>
  <c r="N313" i="8"/>
  <c r="Q99" i="8"/>
  <c r="J95" i="8"/>
  <c r="BA78" i="8"/>
  <c r="BA99" i="8"/>
  <c r="BA100" i="8"/>
  <c r="BA83" i="8"/>
  <c r="BA89" i="8" s="1"/>
  <c r="BA95" i="8"/>
  <c r="BA101" i="8"/>
  <c r="Q95" i="8"/>
  <c r="Q89" i="8"/>
  <c r="K89" i="8"/>
  <c r="I95" i="8"/>
  <c r="R82" i="8"/>
  <c r="R88" i="8"/>
  <c r="R94" i="8"/>
  <c r="J82" i="8"/>
  <c r="L88" i="8"/>
  <c r="J94" i="8"/>
  <c r="R75" i="8"/>
  <c r="R87" i="8"/>
  <c r="R93" i="8"/>
  <c r="L75" i="8"/>
  <c r="J93" i="8"/>
  <c r="AZ53" i="8"/>
  <c r="AZ59" i="8" s="1"/>
  <c r="M23" i="8"/>
  <c r="F138" i="18"/>
  <c r="G94" i="18"/>
  <c r="I435" i="8"/>
  <c r="I135" i="8" s="1"/>
  <c r="BA406" i="8"/>
  <c r="AU406" i="8"/>
  <c r="AK136" i="8"/>
  <c r="AI127" i="8"/>
  <c r="AE127" i="8"/>
  <c r="AY308" i="8"/>
  <c r="AY120" i="8" s="1"/>
  <c r="M308" i="8"/>
  <c r="M120" i="8" s="1"/>
  <c r="K308" i="8"/>
  <c r="K120" i="8" s="1"/>
  <c r="C308" i="8"/>
  <c r="C120" i="8" s="1"/>
  <c r="T385" i="8"/>
  <c r="T222" i="8" s="1"/>
  <c r="L95" i="8"/>
  <c r="AW94" i="8"/>
  <c r="L76" i="8"/>
  <c r="R81" i="8"/>
  <c r="K75" i="8"/>
  <c r="BA47" i="8"/>
  <c r="BA53" i="8"/>
  <c r="BA59" i="8" s="1"/>
  <c r="BB53" i="8"/>
  <c r="BB59" i="8" s="1"/>
  <c r="O47" i="8"/>
  <c r="O42" i="8"/>
  <c r="O65" i="8" s="1"/>
  <c r="O59" i="8"/>
  <c r="R58" i="8"/>
  <c r="M42" i="8"/>
  <c r="M65" i="8" s="1"/>
  <c r="AU24" i="8"/>
  <c r="AU30" i="8" s="1"/>
  <c r="AU18" i="8"/>
  <c r="AU33" i="8"/>
  <c r="AU35" i="8"/>
  <c r="K17" i="8"/>
  <c r="K29" i="8"/>
  <c r="M12" i="8"/>
  <c r="M28" i="8"/>
  <c r="M22" i="8"/>
  <c r="O12" i="8"/>
  <c r="O34" i="8" s="1"/>
  <c r="Q15" i="8"/>
  <c r="O27" i="8"/>
  <c r="BA416" i="8"/>
  <c r="BA135" i="8" s="1"/>
  <c r="Q416" i="8"/>
  <c r="Q135" i="8" s="1"/>
  <c r="M416" i="8"/>
  <c r="M135" i="8" s="1"/>
  <c r="AQ136" i="8"/>
  <c r="AI136" i="8"/>
  <c r="S406" i="8"/>
  <c r="S134" i="8" s="1"/>
  <c r="O406" i="8"/>
  <c r="O134" i="8" s="1"/>
  <c r="AR139" i="8"/>
  <c r="AJ136" i="8"/>
  <c r="S391" i="8"/>
  <c r="AL127" i="8"/>
  <c r="N323" i="8"/>
  <c r="N125" i="8" s="1"/>
  <c r="AM122" i="8"/>
  <c r="AE122" i="8"/>
  <c r="L106" i="8"/>
  <c r="K95" i="8"/>
  <c r="L83" i="8"/>
  <c r="N77" i="8"/>
  <c r="AZ77" i="8"/>
  <c r="AY77" i="8"/>
  <c r="BA76" i="8"/>
  <c r="P82" i="8"/>
  <c r="P88" i="8"/>
  <c r="P47" i="8"/>
  <c r="N53" i="8"/>
  <c r="A24" i="8"/>
  <c r="A30" i="8" s="1"/>
  <c r="A36" i="8"/>
  <c r="R23" i="8"/>
  <c r="J17" i="8"/>
  <c r="J29" i="8"/>
  <c r="AW22" i="8"/>
  <c r="AW28" i="8" s="1"/>
  <c r="L12" i="8"/>
  <c r="L33" i="8" s="1"/>
  <c r="L28" i="8"/>
  <c r="O21" i="8"/>
  <c r="N27" i="8"/>
  <c r="AG268" i="18"/>
  <c r="AG267" i="18"/>
  <c r="AR553" i="18"/>
  <c r="AR305" i="18" s="1"/>
  <c r="P553" i="18"/>
  <c r="P305" i="18" s="1"/>
  <c r="R553" i="18"/>
  <c r="R305" i="18" s="1"/>
  <c r="AP553" i="18"/>
  <c r="AP305" i="18" s="1"/>
  <c r="A3" i="18"/>
  <c r="H553" i="18"/>
  <c r="H305" i="18" s="1"/>
  <c r="H291" i="18" s="1"/>
  <c r="AG553" i="18"/>
  <c r="AG305" i="18" s="1"/>
  <c r="AG291" i="18" s="1"/>
  <c r="A303" i="18"/>
  <c r="AE553" i="18"/>
  <c r="AF553" i="18"/>
  <c r="Q553" i="18"/>
  <c r="Q305" i="18" s="1"/>
  <c r="I553" i="18"/>
  <c r="I305" i="18" s="1"/>
  <c r="I291" i="18" s="1"/>
  <c r="I292" i="18" s="1"/>
  <c r="I293" i="18" s="1"/>
  <c r="AH553" i="18"/>
  <c r="AH305" i="18" s="1"/>
  <c r="AH291" i="18" s="1"/>
  <c r="AH292" i="18" s="1"/>
  <c r="AN553" i="18"/>
  <c r="AN305" i="18" s="1"/>
  <c r="A301" i="18"/>
  <c r="A305" i="18"/>
  <c r="A237" i="18"/>
  <c r="C553" i="18"/>
  <c r="C305" i="18" s="1"/>
  <c r="C291" i="18" s="1"/>
  <c r="C292" i="18" s="1"/>
  <c r="C293" i="18" s="1"/>
  <c r="J553" i="18"/>
  <c r="J305" i="18" s="1"/>
  <c r="J291" i="18" s="1"/>
  <c r="AI553" i="18"/>
  <c r="AI305" i="18" s="1"/>
  <c r="AI291" i="18" s="1"/>
  <c r="AI292" i="18" s="1"/>
  <c r="AO553" i="18"/>
  <c r="AO305" i="18" s="1"/>
  <c r="A306" i="18"/>
  <c r="Z555" i="18"/>
  <c r="AB553" i="18"/>
  <c r="AD553" i="18"/>
  <c r="D553" i="18"/>
  <c r="D305" i="18" s="1"/>
  <c r="D291" i="18" s="1"/>
  <c r="K553" i="18"/>
  <c r="K305" i="18" s="1"/>
  <c r="K291" i="18" s="1"/>
  <c r="K292" i="18" s="1"/>
  <c r="K293" i="18" s="1"/>
  <c r="AJ553" i="18"/>
  <c r="AJ305" i="18" s="1"/>
  <c r="AJ291" i="18" s="1"/>
  <c r="Z553" i="18"/>
  <c r="AA555" i="18"/>
  <c r="AQ553" i="18"/>
  <c r="AQ305" i="18" s="1"/>
  <c r="E553" i="18"/>
  <c r="E305" i="18" s="1"/>
  <c r="E291" i="18" s="1"/>
  <c r="E292" i="18" s="1"/>
  <c r="E293" i="18" s="1"/>
  <c r="L553" i="18"/>
  <c r="L305" i="18" s="1"/>
  <c r="L291" i="18" s="1"/>
  <c r="AK553" i="18"/>
  <c r="AK305" i="18" s="1"/>
  <c r="AK291" i="18" s="1"/>
  <c r="AA553" i="18"/>
  <c r="AC553" i="18"/>
  <c r="M553" i="18"/>
  <c r="M305" i="18" s="1"/>
  <c r="M291" i="18" s="1"/>
  <c r="M292" i="18" s="1"/>
  <c r="M293" i="18" s="1"/>
  <c r="A302" i="18"/>
  <c r="F553" i="18"/>
  <c r="F305" i="18" s="1"/>
  <c r="F291" i="18" s="1"/>
  <c r="N553" i="18"/>
  <c r="N305" i="18" s="1"/>
  <c r="N291" i="18" s="1"/>
  <c r="AL553" i="18"/>
  <c r="AL305" i="18" s="1"/>
  <c r="AL291" i="18" s="1"/>
  <c r="A290" i="18"/>
  <c r="G553" i="18"/>
  <c r="G305" i="18" s="1"/>
  <c r="G291" i="18" s="1"/>
  <c r="G292" i="18" s="1"/>
  <c r="G293" i="18" s="1"/>
  <c r="O553" i="18"/>
  <c r="O305" i="18" s="1"/>
  <c r="O291" i="18" s="1"/>
  <c r="O292" i="18" s="1"/>
  <c r="O293" i="18" s="1"/>
  <c r="AM553" i="18"/>
  <c r="AM305" i="18" s="1"/>
  <c r="AM291" i="18" s="1"/>
  <c r="A304" i="18"/>
  <c r="Z557" i="18"/>
  <c r="AA557" i="18"/>
  <c r="AL397" i="18"/>
  <c r="AL396" i="18"/>
  <c r="T276" i="8"/>
  <c r="T145" i="8" s="1"/>
  <c r="R416" i="8"/>
  <c r="R135" i="8" s="1"/>
  <c r="N416" i="8"/>
  <c r="AG136" i="8"/>
  <c r="K391" i="8"/>
  <c r="K395" i="8" s="1"/>
  <c r="K397" i="8" s="1"/>
  <c r="H391" i="8"/>
  <c r="H395" i="8" s="1"/>
  <c r="H397" i="8" s="1"/>
  <c r="Q332" i="8"/>
  <c r="Q126" i="8" s="1"/>
  <c r="K332" i="8"/>
  <c r="BA323" i="8"/>
  <c r="BA125" i="8" s="1"/>
  <c r="AX323" i="8"/>
  <c r="L323" i="8"/>
  <c r="L125" i="8" s="1"/>
  <c r="AY313" i="8"/>
  <c r="M313" i="8"/>
  <c r="K313" i="8"/>
  <c r="C313" i="8"/>
  <c r="AZ308" i="8"/>
  <c r="AZ120" i="8" s="1"/>
  <c r="AX308" i="8"/>
  <c r="AX120" i="8" s="1"/>
  <c r="AK122" i="8"/>
  <c r="P308" i="8"/>
  <c r="P120" i="8" s="1"/>
  <c r="N308" i="8"/>
  <c r="N120" i="8" s="1"/>
  <c r="L308" i="8"/>
  <c r="L120" i="8" s="1"/>
  <c r="AO264" i="8"/>
  <c r="AW100" i="8"/>
  <c r="P94" i="8"/>
  <c r="O93" i="8"/>
  <c r="M90" i="8"/>
  <c r="N88" i="8"/>
  <c r="O87" i="8"/>
  <c r="AY83" i="8"/>
  <c r="AY89" i="8" s="1"/>
  <c r="K77" i="8"/>
  <c r="BB66" i="8"/>
  <c r="BA42" i="8"/>
  <c r="BB48" i="8" s="1"/>
  <c r="BB52" i="8"/>
  <c r="BB58" i="8" s="1"/>
  <c r="O16" i="8"/>
  <c r="C164" i="18"/>
  <c r="C168" i="18" s="1"/>
  <c r="AI17" i="18"/>
  <c r="AH178" i="18"/>
  <c r="AH184" i="18" s="1"/>
  <c r="AH129" i="18" s="1"/>
  <c r="AH17" i="18"/>
  <c r="E323" i="8"/>
  <c r="D308" i="8"/>
  <c r="M106" i="8"/>
  <c r="T89" i="8"/>
  <c r="M83" i="8"/>
  <c r="L89" i="8"/>
  <c r="J282" i="18"/>
  <c r="J283" i="18" s="1"/>
  <c r="J402" i="18"/>
  <c r="J403" i="18" s="1"/>
  <c r="J273" i="18"/>
  <c r="J275" i="18" s="1"/>
  <c r="AM136" i="8"/>
  <c r="BA332" i="8"/>
  <c r="C332" i="8"/>
  <c r="C126" i="8" s="1"/>
  <c r="R323" i="8"/>
  <c r="R125" i="8" s="1"/>
  <c r="H313" i="8"/>
  <c r="AI264" i="8"/>
  <c r="C264" i="8"/>
  <c r="C269" i="8" s="1"/>
  <c r="M93" i="8"/>
  <c r="K90" i="8"/>
  <c r="M87" i="8"/>
  <c r="S77" i="8"/>
  <c r="T76" i="8"/>
  <c r="T82" i="8"/>
  <c r="N75" i="8"/>
  <c r="L87" i="8"/>
  <c r="F153" i="18"/>
  <c r="F191" i="18"/>
  <c r="N127" i="18"/>
  <c r="G63" i="2"/>
  <c r="N360" i="18"/>
  <c r="P290" i="18"/>
  <c r="F62" i="2"/>
  <c r="F80" i="2" s="1"/>
  <c r="F89" i="2" s="1"/>
  <c r="AX78" i="8"/>
  <c r="Q76" i="8"/>
  <c r="O75" i="8"/>
  <c r="R59" i="8"/>
  <c r="BB51" i="8"/>
  <c r="BB57" i="8" s="1"/>
  <c r="R47" i="8"/>
  <c r="O45" i="8"/>
  <c r="BA46" i="8"/>
  <c r="O58" i="8"/>
  <c r="R42" i="8"/>
  <c r="R63" i="8" s="1"/>
  <c r="M29" i="8"/>
  <c r="AX17" i="8"/>
  <c r="Q12" i="8"/>
  <c r="AZ17" i="8"/>
  <c r="F12" i="8"/>
  <c r="G24" i="8" s="1"/>
  <c r="P41" i="18"/>
  <c r="AM403" i="18"/>
  <c r="G372" i="18"/>
  <c r="N403" i="18"/>
  <c r="AL184" i="18"/>
  <c r="AL129" i="18" s="1"/>
  <c r="AM18" i="18"/>
  <c r="AF223" i="18"/>
  <c r="AF226" i="18"/>
  <c r="AF246" i="18"/>
  <c r="AF247" i="18" s="1"/>
  <c r="AF248" i="18" s="1"/>
  <c r="AF249" i="18" s="1"/>
  <c r="C56" i="2"/>
  <c r="C52" i="2"/>
  <c r="C76" i="2"/>
  <c r="C78" i="2" s="1"/>
  <c r="M77" i="8"/>
  <c r="N76" i="8"/>
  <c r="R53" i="8"/>
  <c r="N52" i="8"/>
  <c r="S21" i="8"/>
  <c r="AJ47" i="18"/>
  <c r="AX258" i="8" s="1"/>
  <c r="AM420" i="18"/>
  <c r="H387" i="18"/>
  <c r="H473" i="18"/>
  <c r="AJ483" i="18"/>
  <c r="H329" i="18"/>
  <c r="H352" i="18" s="1"/>
  <c r="H222" i="18"/>
  <c r="H242" i="18" s="1"/>
  <c r="H243" i="18" s="1"/>
  <c r="H244" i="18" s="1"/>
  <c r="H245" i="18" s="1"/>
  <c r="AJ479" i="18"/>
  <c r="AN290" i="18"/>
  <c r="AN304" i="18"/>
  <c r="AQ290" i="18"/>
  <c r="AO304" i="18"/>
  <c r="AQ304" i="18"/>
  <c r="R290" i="18"/>
  <c r="P304" i="18"/>
  <c r="Q53" i="8"/>
  <c r="P42" i="8"/>
  <c r="J12" i="8"/>
  <c r="J33" i="8" s="1"/>
  <c r="AL179" i="18"/>
  <c r="AL123" i="18"/>
  <c r="AL467" i="18"/>
  <c r="J153" i="18"/>
  <c r="N225" i="8" s="1"/>
  <c r="J191" i="18"/>
  <c r="N27" i="18"/>
  <c r="N28" i="18"/>
  <c r="N48" i="18"/>
  <c r="N469" i="18"/>
  <c r="D78" i="2"/>
  <c r="D99" i="2"/>
  <c r="AE470" i="18"/>
  <c r="AF470" i="18"/>
  <c r="AK384" i="18"/>
  <c r="AK378" i="18"/>
  <c r="AK382" i="18"/>
  <c r="M17" i="8"/>
  <c r="D89" i="18"/>
  <c r="D156" i="18"/>
  <c r="D58" i="2"/>
  <c r="J41" i="18"/>
  <c r="J43" i="18"/>
  <c r="J46" i="18"/>
  <c r="N255" i="8" s="1"/>
  <c r="N158" i="8" s="1"/>
  <c r="AR290" i="18"/>
  <c r="N153" i="18"/>
  <c r="R225" i="8" s="1"/>
  <c r="AL483" i="18"/>
  <c r="L473" i="18"/>
  <c r="L476" i="18"/>
  <c r="L387" i="18"/>
  <c r="Q290" i="18"/>
  <c r="Q304" i="18"/>
  <c r="I74" i="18"/>
  <c r="AH470" i="18"/>
  <c r="AG470" i="18"/>
  <c r="D143" i="18"/>
  <c r="H138" i="18"/>
  <c r="H94" i="18"/>
  <c r="N175" i="18"/>
  <c r="O362" i="18"/>
  <c r="N118" i="18"/>
  <c r="N119" i="18" s="1"/>
  <c r="N361" i="18"/>
  <c r="N122" i="18"/>
  <c r="N474" i="18" s="1"/>
  <c r="O361" i="18"/>
  <c r="N240" i="18"/>
  <c r="O360" i="18"/>
  <c r="AK470" i="18"/>
  <c r="AJ470" i="18"/>
  <c r="AJ223" i="18"/>
  <c r="AJ226" i="18"/>
  <c r="AJ246" i="18"/>
  <c r="AJ247" i="18" s="1"/>
  <c r="AJ248" i="18" s="1"/>
  <c r="AJ249" i="18" s="1"/>
  <c r="P121" i="3"/>
  <c r="P123" i="3"/>
  <c r="P122" i="3"/>
  <c r="AS137" i="3"/>
  <c r="AS138" i="3"/>
  <c r="AS139" i="3" s="1"/>
  <c r="AT141" i="3"/>
  <c r="AA138" i="3"/>
  <c r="AB138" i="3"/>
  <c r="AB141" i="3"/>
  <c r="AR138" i="3"/>
  <c r="AR139" i="3" s="1"/>
  <c r="AR141" i="3"/>
  <c r="AS141" i="3"/>
  <c r="Z141" i="3"/>
  <c r="AA141" i="3"/>
  <c r="Q121" i="3"/>
  <c r="Q123" i="3"/>
  <c r="Q122" i="3"/>
  <c r="AM138" i="3"/>
  <c r="AM139" i="3" s="1"/>
  <c r="Q138" i="3"/>
  <c r="AH141" i="3"/>
  <c r="AL138" i="3"/>
  <c r="AL139" i="3" s="1"/>
  <c r="P138" i="3"/>
  <c r="O137" i="3"/>
  <c r="AW79" i="3"/>
  <c r="M52" i="23" s="1"/>
  <c r="Q39" i="3"/>
  <c r="AJ138" i="3"/>
  <c r="AJ139" i="3" s="1"/>
  <c r="AP416" i="8"/>
  <c r="AK66" i="3"/>
  <c r="D416" i="8"/>
  <c r="D66" i="3"/>
  <c r="AT122" i="3"/>
  <c r="AT123" i="3" s="1"/>
  <c r="AE138" i="3"/>
  <c r="R139" i="3"/>
  <c r="AT138" i="3"/>
  <c r="AT139" i="3" s="1"/>
  <c r="H136" i="3"/>
  <c r="Q139" i="3"/>
  <c r="O139" i="3"/>
  <c r="O122" i="3"/>
  <c r="AM432" i="8"/>
  <c r="AM435" i="8" s="1"/>
  <c r="AM416" i="8"/>
  <c r="AO416" i="8"/>
  <c r="J431" i="8"/>
  <c r="J435" i="8" s="1"/>
  <c r="J416" i="8"/>
  <c r="AM39" i="3"/>
  <c r="AN12" i="3"/>
  <c r="AN10" i="3"/>
  <c r="AN11" i="27" s="1"/>
  <c r="C66" i="3"/>
  <c r="AP435" i="8"/>
  <c r="AR12" i="3"/>
  <c r="AJ406" i="8"/>
  <c r="AQ12" i="3"/>
  <c r="AS391" i="8"/>
  <c r="AS395" i="8" s="1"/>
  <c r="AS397" i="8" s="1"/>
  <c r="AN101" i="3" s="1"/>
  <c r="T259" i="8"/>
  <c r="V260" i="8" s="1"/>
  <c r="S208" i="8"/>
  <c r="U209" i="8" s="1"/>
  <c r="AY234" i="8"/>
  <c r="AN435" i="8"/>
  <c r="AJ416" i="8"/>
  <c r="AN416" i="8"/>
  <c r="AI416" i="8"/>
  <c r="I13" i="3"/>
  <c r="I13" i="27" s="1"/>
  <c r="AD348" i="8"/>
  <c r="AD354" i="8" s="1"/>
  <c r="G348" i="8"/>
  <c r="G354" i="8" s="1"/>
  <c r="AO332" i="8"/>
  <c r="AO333" i="8" s="1"/>
  <c r="AL435" i="8"/>
  <c r="AK416" i="8"/>
  <c r="AK431" i="8"/>
  <c r="AK435" i="8" s="1"/>
  <c r="AQ308" i="8"/>
  <c r="AQ369" i="8"/>
  <c r="AQ370" i="8" s="1"/>
  <c r="AU348" i="8"/>
  <c r="AU354" i="8" s="1"/>
  <c r="AJ435" i="8"/>
  <c r="AT348" i="8"/>
  <c r="AT354" i="8" s="1"/>
  <c r="T348" i="8"/>
  <c r="AH435" i="8"/>
  <c r="AH347" i="8"/>
  <c r="AH348" i="8" s="1"/>
  <c r="AH354" i="8" s="1"/>
  <c r="AH313" i="8"/>
  <c r="AH314" i="8" s="1"/>
  <c r="P178" i="8"/>
  <c r="O187" i="8"/>
  <c r="O188" i="8"/>
  <c r="O178" i="8"/>
  <c r="AL416" i="8"/>
  <c r="AI370" i="8"/>
  <c r="L370" i="8"/>
  <c r="AN341" i="8"/>
  <c r="N341" i="8"/>
  <c r="AV298" i="8"/>
  <c r="AW187" i="8"/>
  <c r="AV198" i="8"/>
  <c r="AW188" i="8"/>
  <c r="AU186" i="8"/>
  <c r="AV188" i="8" s="1"/>
  <c r="AW179" i="8"/>
  <c r="AX179" i="8"/>
  <c r="AW180" i="8"/>
  <c r="AX180" i="8"/>
  <c r="AQ416" i="8"/>
  <c r="BB341" i="8"/>
  <c r="AV179" i="8"/>
  <c r="AV180" i="8"/>
  <c r="AY170" i="8"/>
  <c r="BB220" i="8"/>
  <c r="BB224" i="8"/>
  <c r="BB226" i="8" s="1"/>
  <c r="AX215" i="8"/>
  <c r="AX238" i="8"/>
  <c r="S284" i="8"/>
  <c r="AM245" i="8"/>
  <c r="M245" i="8"/>
  <c r="BB209" i="8"/>
  <c r="AS206" i="8"/>
  <c r="AT206" i="8"/>
  <c r="AL245" i="8"/>
  <c r="L224" i="8"/>
  <c r="L245" i="8"/>
  <c r="BA233" i="8"/>
  <c r="AP391" i="8"/>
  <c r="AP395" i="8" s="1"/>
  <c r="AZ148" i="8"/>
  <c r="AZ159" i="8"/>
  <c r="F386" i="8"/>
  <c r="AU391" i="8"/>
  <c r="AU395" i="8" s="1"/>
  <c r="AU397" i="8" s="1"/>
  <c r="BB210" i="8"/>
  <c r="AZ198" i="8"/>
  <c r="AZ188" i="8"/>
  <c r="N178" i="8"/>
  <c r="AY416" i="8"/>
  <c r="AY135" i="8" s="1"/>
  <c r="AE136" i="8"/>
  <c r="I231" i="8"/>
  <c r="AY198" i="8"/>
  <c r="AY188" i="8"/>
  <c r="N188" i="8"/>
  <c r="R245" i="8"/>
  <c r="AX198" i="8"/>
  <c r="M188" i="8"/>
  <c r="P416" i="8"/>
  <c r="P135" i="8" s="1"/>
  <c r="H435" i="8"/>
  <c r="H135" i="8" s="1"/>
  <c r="AZ323" i="8"/>
  <c r="G231" i="8"/>
  <c r="AV136" i="8"/>
  <c r="AV139" i="8" s="1"/>
  <c r="AW138" i="8" s="1"/>
  <c r="AO245" i="8"/>
  <c r="P245" i="8"/>
  <c r="R187" i="8"/>
  <c r="S169" i="8"/>
  <c r="D429" i="8"/>
  <c r="D134" i="8" s="1"/>
  <c r="O323" i="8"/>
  <c r="C323" i="8"/>
  <c r="BA313" i="8"/>
  <c r="O313" i="8"/>
  <c r="E313" i="8"/>
  <c r="R308" i="8"/>
  <c r="AW308" i="8"/>
  <c r="AW120" i="8" s="1"/>
  <c r="O245" i="8"/>
  <c r="Q187" i="8"/>
  <c r="AZ180" i="8"/>
  <c r="AY391" i="8"/>
  <c r="AY395" i="8" s="1"/>
  <c r="AY397" i="8" s="1"/>
  <c r="D391" i="8"/>
  <c r="D395" i="8" s="1"/>
  <c r="D397" i="8" s="1"/>
  <c r="I122" i="8"/>
  <c r="AY180" i="8"/>
  <c r="BA179" i="8"/>
  <c r="R178" i="8"/>
  <c r="C429" i="8"/>
  <c r="C134" i="8" s="1"/>
  <c r="Q323" i="8"/>
  <c r="G127" i="8"/>
  <c r="H263" i="8"/>
  <c r="T10" i="8"/>
  <c r="S16" i="8"/>
  <c r="S28" i="8"/>
  <c r="S12" i="8"/>
  <c r="S94" i="8"/>
  <c r="S22" i="8"/>
  <c r="AX15" i="8"/>
  <c r="AY15" i="8"/>
  <c r="AX12" i="8"/>
  <c r="AX21" i="8"/>
  <c r="AX27" i="8" s="1"/>
  <c r="AX93" i="8"/>
  <c r="AY21" i="8"/>
  <c r="AY27" i="8" s="1"/>
  <c r="L416" i="8"/>
  <c r="L135" i="8" s="1"/>
  <c r="P391" i="8"/>
  <c r="P395" i="8" s="1"/>
  <c r="P397" i="8" s="1"/>
  <c r="T127" i="8"/>
  <c r="AW313" i="8"/>
  <c r="E428" i="8"/>
  <c r="F405" i="8"/>
  <c r="Q406" i="8"/>
  <c r="I429" i="8"/>
  <c r="I134" i="8" s="1"/>
  <c r="AZ391" i="8"/>
  <c r="AZ395" i="8" s="1"/>
  <c r="AZ397" i="8" s="1"/>
  <c r="AZ219" i="8"/>
  <c r="AZ106" i="8"/>
  <c r="R29" i="8"/>
  <c r="P23" i="8"/>
  <c r="Q23" i="8"/>
  <c r="P17" i="8"/>
  <c r="P95" i="8"/>
  <c r="P29" i="8"/>
  <c r="F411" i="8"/>
  <c r="F432" i="8" s="1"/>
  <c r="G146" i="8"/>
  <c r="I30" i="8"/>
  <c r="I33" i="8"/>
  <c r="I35" i="8"/>
  <c r="I96" i="8"/>
  <c r="I18" i="8"/>
  <c r="I34" i="8"/>
  <c r="H268" i="8"/>
  <c r="L220" i="8"/>
  <c r="L107" i="8" s="1"/>
  <c r="E264" i="8"/>
  <c r="AW101" i="8"/>
  <c r="AX83" i="8"/>
  <c r="AX89" i="8" s="1"/>
  <c r="AX77" i="8"/>
  <c r="AW95" i="8"/>
  <c r="AY76" i="8"/>
  <c r="AX100" i="8"/>
  <c r="AX82" i="8"/>
  <c r="AX88" i="8" s="1"/>
  <c r="AX94" i="8"/>
  <c r="AY82" i="8"/>
  <c r="AY88" i="8" s="1"/>
  <c r="AY75" i="8"/>
  <c r="AZ75" i="8"/>
  <c r="AY99" i="8"/>
  <c r="AY93" i="8"/>
  <c r="AY81" i="8"/>
  <c r="AY87" i="8" s="1"/>
  <c r="Q45" i="8"/>
  <c r="Q42" i="8"/>
  <c r="Q57" i="8"/>
  <c r="S57" i="8"/>
  <c r="Q51" i="8"/>
  <c r="R51" i="8"/>
  <c r="AY46" i="8"/>
  <c r="AX42" i="8"/>
  <c r="AY52" i="8"/>
  <c r="AY58" i="8" s="1"/>
  <c r="AG266" i="18"/>
  <c r="AG264" i="18"/>
  <c r="A66" i="8"/>
  <c r="A54" i="8"/>
  <c r="A60" i="8" s="1"/>
  <c r="AJ44" i="18"/>
  <c r="G378" i="18"/>
  <c r="I146" i="8"/>
  <c r="J145" i="8"/>
  <c r="AQ230" i="8"/>
  <c r="AQ264" i="8"/>
  <c r="AQ269" i="8" s="1"/>
  <c r="AF464" i="18"/>
  <c r="AF472" i="18"/>
  <c r="AG472" i="18"/>
  <c r="H257" i="18"/>
  <c r="AJ260" i="18"/>
  <c r="AJ264" i="18"/>
  <c r="H264" i="18"/>
  <c r="AV106" i="8"/>
  <c r="H269" i="8"/>
  <c r="AV143" i="8"/>
  <c r="AN21" i="18"/>
  <c r="P24" i="18"/>
  <c r="P26" i="18" s="1"/>
  <c r="P7" i="18"/>
  <c r="T69" i="8"/>
  <c r="E378" i="18"/>
  <c r="AY78" i="8"/>
  <c r="S75" i="8"/>
  <c r="H12" i="8"/>
  <c r="J28" i="18"/>
  <c r="J29" i="18"/>
  <c r="J10" i="18"/>
  <c r="J27" i="18"/>
  <c r="J48" i="18"/>
  <c r="J469" i="18"/>
  <c r="O189" i="18"/>
  <c r="AI378" i="18"/>
  <c r="AI382" i="18"/>
  <c r="AI384" i="18"/>
  <c r="T77" i="8"/>
  <c r="S76" i="8"/>
  <c r="Q59" i="8"/>
  <c r="BA52" i="8"/>
  <c r="BA58" i="8" s="1"/>
  <c r="S51" i="8"/>
  <c r="R46" i="8"/>
  <c r="J23" i="8"/>
  <c r="AZ21" i="8"/>
  <c r="AZ27" i="8" s="1"/>
  <c r="T9" i="8"/>
  <c r="AK74" i="18"/>
  <c r="AN236" i="18"/>
  <c r="Q448" i="18"/>
  <c r="R76" i="8"/>
  <c r="Q75" i="8"/>
  <c r="AN13" i="18"/>
  <c r="L89" i="18"/>
  <c r="L156" i="18"/>
  <c r="AJ17" i="18"/>
  <c r="AJ178" i="18"/>
  <c r="T382" i="8"/>
  <c r="T53" i="3" s="1"/>
  <c r="S83" i="8"/>
  <c r="A64" i="8"/>
  <c r="AY47" i="8"/>
  <c r="P46" i="8"/>
  <c r="L16" i="8"/>
  <c r="BA12" i="8"/>
  <c r="D179" i="18"/>
  <c r="R255" i="18"/>
  <c r="Q253" i="18"/>
  <c r="Q444" i="18" s="1"/>
  <c r="L366" i="18"/>
  <c r="Q77" i="8"/>
  <c r="P76" i="8"/>
  <c r="O46" i="8"/>
  <c r="T41" i="8"/>
  <c r="R17" i="8"/>
  <c r="K16" i="8"/>
  <c r="AZ12" i="8"/>
  <c r="AL89" i="18"/>
  <c r="AL90" i="18" s="1"/>
  <c r="AZ162" i="8" s="1"/>
  <c r="AL143" i="18"/>
  <c r="AL154" i="18" s="1"/>
  <c r="AL156" i="18"/>
  <c r="AN23" i="18"/>
  <c r="P9" i="18"/>
  <c r="AE18" i="18"/>
  <c r="AE184" i="18"/>
  <c r="AE123" i="18"/>
  <c r="AE189" i="18"/>
  <c r="AE467" i="18"/>
  <c r="H179" i="18"/>
  <c r="H184" i="18"/>
  <c r="H129" i="18" s="1"/>
  <c r="H123" i="18"/>
  <c r="H467" i="18"/>
  <c r="AE130" i="18"/>
  <c r="AE266" i="18"/>
  <c r="AI482" i="18"/>
  <c r="F257" i="18"/>
  <c r="AI264" i="18"/>
  <c r="AI260" i="18"/>
  <c r="AL47" i="18"/>
  <c r="AZ258" i="8" s="1"/>
  <c r="AL34" i="18"/>
  <c r="F329" i="18"/>
  <c r="F222" i="18"/>
  <c r="AI479" i="18"/>
  <c r="D284" i="18"/>
  <c r="D279" i="18"/>
  <c r="N329" i="18"/>
  <c r="N352" i="18" s="1"/>
  <c r="N222" i="18"/>
  <c r="AM479" i="18"/>
  <c r="AN32" i="18"/>
  <c r="P83" i="8"/>
  <c r="R12" i="8"/>
  <c r="R442" i="18"/>
  <c r="AN14" i="18"/>
  <c r="AK17" i="18"/>
  <c r="L284" i="18"/>
  <c r="L285" i="18" s="1"/>
  <c r="L287" i="18" s="1"/>
  <c r="L188" i="18" s="1"/>
  <c r="L189" i="18" s="1"/>
  <c r="L279" i="18"/>
  <c r="P334" i="18"/>
  <c r="AN334" i="18" s="1"/>
  <c r="AN377" i="18"/>
  <c r="F284" i="18"/>
  <c r="F279" i="18"/>
  <c r="R7" i="18"/>
  <c r="AO21" i="18"/>
  <c r="AJ268" i="18"/>
  <c r="AJ267" i="18"/>
  <c r="O393" i="18"/>
  <c r="AO37" i="18"/>
  <c r="R22" i="18"/>
  <c r="L329" i="18"/>
  <c r="L222" i="18"/>
  <c r="AL479" i="18"/>
  <c r="R23" i="18"/>
  <c r="AO38" i="18"/>
  <c r="P333" i="18"/>
  <c r="AN371" i="18"/>
  <c r="AF17" i="18"/>
  <c r="AF178" i="18"/>
  <c r="AG18" i="18" s="1"/>
  <c r="AP36" i="18"/>
  <c r="AO12" i="18"/>
  <c r="E18" i="18"/>
  <c r="E179" i="18"/>
  <c r="E184" i="18"/>
  <c r="E129" i="18" s="1"/>
  <c r="E123" i="18"/>
  <c r="E189" i="18"/>
  <c r="E467" i="18"/>
  <c r="D352" i="18"/>
  <c r="E470" i="18" s="1"/>
  <c r="AH482" i="18"/>
  <c r="N409" i="18"/>
  <c r="P52" i="8"/>
  <c r="L22" i="8"/>
  <c r="BB17" i="8"/>
  <c r="P15" i="8"/>
  <c r="P12" i="8"/>
  <c r="J17" i="18"/>
  <c r="J178" i="18"/>
  <c r="L17" i="18"/>
  <c r="L10" i="18"/>
  <c r="I47" i="18"/>
  <c r="M258" i="8" s="1"/>
  <c r="AG184" i="18"/>
  <c r="AG129" i="18" s="1"/>
  <c r="AG123" i="18"/>
  <c r="AG189" i="18"/>
  <c r="AG467" i="18"/>
  <c r="F378" i="18"/>
  <c r="O52" i="8"/>
  <c r="S42" i="8"/>
  <c r="O15" i="8"/>
  <c r="F43" i="18"/>
  <c r="F15" i="18"/>
  <c r="F46" i="18"/>
  <c r="J255" i="8" s="1"/>
  <c r="F41" i="18"/>
  <c r="H15" i="18"/>
  <c r="F42" i="18"/>
  <c r="L179" i="18"/>
  <c r="L123" i="18"/>
  <c r="L184" i="18"/>
  <c r="L129" i="18" s="1"/>
  <c r="L467" i="18"/>
  <c r="R39" i="18"/>
  <c r="R43" i="18" s="1"/>
  <c r="AF130" i="18"/>
  <c r="AX22" i="8"/>
  <c r="AX28" i="8" s="1"/>
  <c r="L17" i="8"/>
  <c r="N15" i="8"/>
  <c r="N12" i="8"/>
  <c r="D153" i="18"/>
  <c r="AH372" i="18"/>
  <c r="AH383" i="18"/>
  <c r="S45" i="8"/>
  <c r="BA15" i="8"/>
  <c r="N72" i="18"/>
  <c r="N71" i="18"/>
  <c r="N73" i="18"/>
  <c r="AJ89" i="18"/>
  <c r="AJ90" i="18" s="1"/>
  <c r="AX162" i="8" s="1"/>
  <c r="AJ156" i="18"/>
  <c r="AJ143" i="18"/>
  <c r="AJ154" i="18" s="1"/>
  <c r="I123" i="18"/>
  <c r="I179" i="18"/>
  <c r="I189" i="18"/>
  <c r="I184" i="18"/>
  <c r="I129" i="18" s="1"/>
  <c r="I467" i="18"/>
  <c r="L143" i="18"/>
  <c r="D5" i="18"/>
  <c r="AM381" i="18"/>
  <c r="AM372" i="18"/>
  <c r="AM383" i="18"/>
  <c r="D282" i="18"/>
  <c r="D283" i="18" s="1"/>
  <c r="D273" i="18"/>
  <c r="D275" i="18" s="1"/>
  <c r="E5" i="18"/>
  <c r="F5" i="18" s="1"/>
  <c r="AI5" i="18"/>
  <c r="N43" i="18"/>
  <c r="N42" i="18"/>
  <c r="N41" i="18"/>
  <c r="N15" i="18"/>
  <c r="N46" i="18"/>
  <c r="F26" i="18"/>
  <c r="F48" i="18"/>
  <c r="F27" i="18"/>
  <c r="F29" i="18"/>
  <c r="F469" i="18"/>
  <c r="D88" i="18"/>
  <c r="D224" i="18"/>
  <c r="AH480" i="18"/>
  <c r="P42" i="18"/>
  <c r="P15" i="18"/>
  <c r="P46" i="18"/>
  <c r="Q456" i="18"/>
  <c r="AO461" i="18"/>
  <c r="R309" i="18"/>
  <c r="P45" i="8"/>
  <c r="J329" i="18"/>
  <c r="J222" i="18"/>
  <c r="AK479" i="18"/>
  <c r="AN39" i="18"/>
  <c r="AN12" i="18"/>
  <c r="K89" i="18"/>
  <c r="K90" i="18" s="1"/>
  <c r="O162" i="8" s="1"/>
  <c r="K143" i="18"/>
  <c r="K154" i="18" s="1"/>
  <c r="K156" i="18"/>
  <c r="AJ482" i="18"/>
  <c r="U96" i="4"/>
  <c r="Y96" i="4"/>
  <c r="H102" i="4"/>
  <c r="G115" i="4"/>
  <c r="H115" i="4" s="1"/>
  <c r="I115" i="4" s="1"/>
  <c r="J115" i="4" s="1"/>
  <c r="K115" i="4" s="1"/>
  <c r="L115" i="4" s="1"/>
  <c r="M115" i="4" s="1"/>
  <c r="N115" i="4" s="1"/>
  <c r="O115" i="4" s="1"/>
  <c r="P115" i="4" s="1"/>
  <c r="Q115" i="4" s="1"/>
  <c r="R115" i="4" s="1"/>
  <c r="S115" i="4" s="1"/>
  <c r="T115" i="4" s="1"/>
  <c r="H4" i="23"/>
  <c r="I5" i="23"/>
  <c r="A8" i="23"/>
  <c r="C8" i="23"/>
  <c r="D8" i="23"/>
  <c r="F8" i="23"/>
  <c r="G8" i="23"/>
  <c r="H8" i="23"/>
  <c r="H13" i="23"/>
  <c r="K13" i="23"/>
  <c r="A19" i="23"/>
  <c r="A40" i="23" s="1"/>
  <c r="A23" i="23"/>
  <c r="C36" i="23"/>
  <c r="D36" i="23"/>
  <c r="A42" i="23"/>
  <c r="E44" i="23"/>
  <c r="G44" i="23"/>
  <c r="C52" i="23"/>
  <c r="D52" i="23"/>
  <c r="H52" i="23"/>
  <c r="L52" i="23"/>
  <c r="C57" i="23"/>
  <c r="D57" i="23"/>
  <c r="E57" i="23"/>
  <c r="F57" i="23"/>
  <c r="G57" i="23"/>
  <c r="H57" i="23"/>
  <c r="I57" i="23"/>
  <c r="J57" i="23"/>
  <c r="K57" i="23"/>
  <c r="L57" i="23"/>
  <c r="AB63" i="23"/>
  <c r="AD63" i="23"/>
  <c r="C66" i="23"/>
  <c r="D66" i="23"/>
  <c r="E66" i="23"/>
  <c r="F66" i="23"/>
  <c r="H66" i="23"/>
  <c r="I66" i="23"/>
  <c r="J66" i="23"/>
  <c r="K66" i="23"/>
  <c r="L66" i="23"/>
  <c r="C60" i="2"/>
  <c r="G64" i="2"/>
  <c r="AB549" i="18"/>
  <c r="AB542" i="18"/>
  <c r="AB535" i="18"/>
  <c r="AB556" i="18"/>
  <c r="H15" i="4" l="1"/>
  <c r="D9" i="4"/>
  <c r="G9" i="4"/>
  <c r="H12" i="3"/>
  <c r="H12" i="27" s="1"/>
  <c r="H10" i="27"/>
  <c r="K10" i="3"/>
  <c r="K11" i="27" s="1"/>
  <c r="K10" i="27"/>
  <c r="K8" i="23"/>
  <c r="K15" i="23" s="1"/>
  <c r="AU10" i="27"/>
  <c r="F9" i="3"/>
  <c r="F10" i="27" s="1"/>
  <c r="E10" i="27"/>
  <c r="AM10" i="3"/>
  <c r="AM11" i="27" s="1"/>
  <c r="AL10" i="27"/>
  <c r="AQ13" i="3"/>
  <c r="AQ13" i="27" s="1"/>
  <c r="AQ12" i="27"/>
  <c r="BB354" i="8"/>
  <c r="BC356" i="8" s="1"/>
  <c r="AR13" i="3"/>
  <c r="AR13" i="27" s="1"/>
  <c r="AR12" i="27"/>
  <c r="T10" i="25"/>
  <c r="AM22" i="27"/>
  <c r="L8" i="23"/>
  <c r="AE8" i="23" s="1"/>
  <c r="AV10" i="27"/>
  <c r="AN13" i="3"/>
  <c r="AN13" i="27" s="1"/>
  <c r="AN12" i="27"/>
  <c r="U10" i="25"/>
  <c r="AN22" i="27"/>
  <c r="BB235" i="8"/>
  <c r="BC365" i="8"/>
  <c r="U178" i="8"/>
  <c r="V188" i="8"/>
  <c r="V178" i="8"/>
  <c r="W180" i="8" s="1"/>
  <c r="T39" i="3"/>
  <c r="V39" i="3"/>
  <c r="U22" i="8"/>
  <c r="V16" i="8"/>
  <c r="V28" i="8"/>
  <c r="U23" i="8"/>
  <c r="V17" i="8"/>
  <c r="V29" i="8"/>
  <c r="T17" i="8"/>
  <c r="V139" i="3"/>
  <c r="V137" i="3"/>
  <c r="U52" i="8"/>
  <c r="V58" i="8"/>
  <c r="V46" i="8"/>
  <c r="U51" i="8"/>
  <c r="V45" i="8"/>
  <c r="V57" i="8"/>
  <c r="U81" i="8"/>
  <c r="U53" i="8"/>
  <c r="V59" i="8"/>
  <c r="V47" i="8"/>
  <c r="U21" i="8"/>
  <c r="V27" i="8"/>
  <c r="V15" i="8"/>
  <c r="T95" i="8"/>
  <c r="T23" i="8"/>
  <c r="K266" i="8"/>
  <c r="V123" i="3"/>
  <c r="V121" i="3"/>
  <c r="AL231" i="8"/>
  <c r="E109" i="4"/>
  <c r="AP24" i="8"/>
  <c r="AP30" i="8" s="1"/>
  <c r="AO42" i="8"/>
  <c r="AP54" i="8" s="1"/>
  <c r="AP60" i="8" s="1"/>
  <c r="AP18" i="8"/>
  <c r="AO24" i="8"/>
  <c r="AO30" i="8" s="1"/>
  <c r="AO231" i="8"/>
  <c r="L37" i="25"/>
  <c r="O8" i="24"/>
  <c r="M37" i="25"/>
  <c r="G467" i="18"/>
  <c r="AP231" i="8"/>
  <c r="BB206" i="8"/>
  <c r="G123" i="18"/>
  <c r="AQ206" i="8"/>
  <c r="AW38" i="3"/>
  <c r="AW39" i="3" s="1"/>
  <c r="U18" i="3"/>
  <c r="S18" i="3"/>
  <c r="G18" i="18"/>
  <c r="AG231" i="8"/>
  <c r="AI206" i="8"/>
  <c r="G184" i="18"/>
  <c r="G129" i="18" s="1"/>
  <c r="AH231" i="8"/>
  <c r="AI231" i="8"/>
  <c r="G189" i="18"/>
  <c r="G204" i="18" s="1"/>
  <c r="G179" i="18"/>
  <c r="G185" i="18" s="1"/>
  <c r="G266" i="18" s="1"/>
  <c r="K256" i="8"/>
  <c r="K269" i="8"/>
  <c r="K106" i="8" s="1"/>
  <c r="K114" i="8" s="1"/>
  <c r="T51" i="8"/>
  <c r="T29" i="8"/>
  <c r="T57" i="8"/>
  <c r="K158" i="8"/>
  <c r="T45" i="8"/>
  <c r="K230" i="8"/>
  <c r="K240" i="8" s="1"/>
  <c r="AY261" i="8"/>
  <c r="AA7" i="25"/>
  <c r="J18" i="4"/>
  <c r="AA10" i="25"/>
  <c r="AK125" i="3"/>
  <c r="R10" i="25"/>
  <c r="AQ24" i="27"/>
  <c r="W10" i="25"/>
  <c r="AQ27" i="3"/>
  <c r="AQ27" i="27" s="1"/>
  <c r="X10" i="25"/>
  <c r="BA206" i="8"/>
  <c r="AF231" i="8"/>
  <c r="I18" i="23"/>
  <c r="Z10" i="25"/>
  <c r="AR125" i="3"/>
  <c r="AR126" i="3" s="1"/>
  <c r="Y10" i="25"/>
  <c r="AS9" i="3"/>
  <c r="Z7" i="25"/>
  <c r="K205" i="8"/>
  <c r="K216" i="8" s="1"/>
  <c r="S138" i="3"/>
  <c r="U48" i="8"/>
  <c r="U60" i="8"/>
  <c r="U18" i="8"/>
  <c r="U30" i="8"/>
  <c r="S219" i="8"/>
  <c r="S220" i="8" s="1"/>
  <c r="S107" i="8" s="1"/>
  <c r="S115" i="8" s="1"/>
  <c r="U270" i="8"/>
  <c r="S213" i="8"/>
  <c r="S215" i="8" s="1"/>
  <c r="U265" i="8"/>
  <c r="S139" i="3"/>
  <c r="K13" i="3"/>
  <c r="K13" i="27" s="1"/>
  <c r="T352" i="8"/>
  <c r="T354" i="8" s="1"/>
  <c r="U364" i="8"/>
  <c r="U187" i="8"/>
  <c r="U38" i="3"/>
  <c r="U188" i="8"/>
  <c r="U136" i="3"/>
  <c r="W136" i="3" s="1"/>
  <c r="S137" i="3"/>
  <c r="N8" i="24"/>
  <c r="BH22" i="3"/>
  <c r="S120" i="3"/>
  <c r="S121" i="3" s="1"/>
  <c r="U169" i="8"/>
  <c r="F44" i="23"/>
  <c r="AX120" i="3"/>
  <c r="AX121" i="3" s="1"/>
  <c r="X120" i="3"/>
  <c r="AY120" i="3" s="1"/>
  <c r="S39" i="3"/>
  <c r="K259" i="8"/>
  <c r="K208" i="8" s="1"/>
  <c r="Q44" i="18"/>
  <c r="N59" i="18"/>
  <c r="F467" i="18"/>
  <c r="H18" i="18"/>
  <c r="Q129" i="3"/>
  <c r="P8" i="24"/>
  <c r="AP265" i="8"/>
  <c r="G52" i="3"/>
  <c r="K27" i="3"/>
  <c r="K27" i="27" s="1"/>
  <c r="K8" i="24"/>
  <c r="AJ206" i="8"/>
  <c r="AC3" i="18"/>
  <c r="AC530" i="18" s="1"/>
  <c r="L90" i="8"/>
  <c r="AD4" i="18"/>
  <c r="AR51" i="3"/>
  <c r="AR52" i="3" s="1"/>
  <c r="D44" i="18"/>
  <c r="AQ122" i="3"/>
  <c r="AQ123" i="3" s="1"/>
  <c r="AP334" i="8"/>
  <c r="AP342" i="8" s="1"/>
  <c r="C44" i="23"/>
  <c r="L100" i="8"/>
  <c r="AD10" i="3"/>
  <c r="AD11" i="27" s="1"/>
  <c r="AL206" i="8"/>
  <c r="AM413" i="18"/>
  <c r="AM414" i="18" s="1"/>
  <c r="AM415" i="18" s="1"/>
  <c r="AM416" i="18" s="1"/>
  <c r="AV137" i="3"/>
  <c r="D18" i="23"/>
  <c r="D37" i="23" s="1"/>
  <c r="AV240" i="8"/>
  <c r="AE12" i="3"/>
  <c r="AE12" i="27" s="1"/>
  <c r="C266" i="18"/>
  <c r="AU54" i="8"/>
  <c r="AU60" i="8" s="1"/>
  <c r="F123" i="18"/>
  <c r="I12" i="3"/>
  <c r="I12" i="27" s="1"/>
  <c r="J74" i="18"/>
  <c r="AM67" i="3"/>
  <c r="L101" i="8"/>
  <c r="AL413" i="18"/>
  <c r="AL414" i="18" s="1"/>
  <c r="AL415" i="18" s="1"/>
  <c r="AL416" i="18" s="1"/>
  <c r="F184" i="18"/>
  <c r="F129" i="18" s="1"/>
  <c r="F179" i="18"/>
  <c r="F185" i="18" s="1"/>
  <c r="L99" i="8"/>
  <c r="P272" i="8"/>
  <c r="J44" i="23"/>
  <c r="AV54" i="8"/>
  <c r="AV60" i="8" s="1"/>
  <c r="AP89" i="3"/>
  <c r="AS334" i="8"/>
  <c r="AS342" i="8" s="1"/>
  <c r="L84" i="8"/>
  <c r="M9" i="3"/>
  <c r="N366" i="18"/>
  <c r="N90" i="8"/>
  <c r="AM89" i="3"/>
  <c r="AM98" i="3" s="1"/>
  <c r="C63" i="23" s="1"/>
  <c r="BC53" i="3"/>
  <c r="AB36" i="23" s="1"/>
  <c r="D464" i="18"/>
  <c r="AH475" i="18"/>
  <c r="L8" i="4"/>
  <c r="AE8" i="4" s="1"/>
  <c r="AV22" i="3"/>
  <c r="AV22" i="27" s="1"/>
  <c r="T139" i="3"/>
  <c r="AS243" i="8"/>
  <c r="AS275" i="8" s="1"/>
  <c r="BA158" i="8"/>
  <c r="AN27" i="3"/>
  <c r="AN27" i="27" s="1"/>
  <c r="AM297" i="18"/>
  <c r="F314" i="8"/>
  <c r="I208" i="8"/>
  <c r="I233" i="8" s="1"/>
  <c r="I235" i="8" s="1"/>
  <c r="K52" i="23"/>
  <c r="P114" i="8"/>
  <c r="D18" i="4"/>
  <c r="D23" i="4" s="1"/>
  <c r="P9" i="3"/>
  <c r="L268" i="8"/>
  <c r="L242" i="8" s="1"/>
  <c r="L243" i="8" s="1"/>
  <c r="AU90" i="3"/>
  <c r="AN125" i="3"/>
  <c r="AN130" i="3" s="1"/>
  <c r="AN131" i="3" s="1"/>
  <c r="N265" i="8"/>
  <c r="AV216" i="8"/>
  <c r="F472" i="18"/>
  <c r="AY65" i="8"/>
  <c r="BA265" i="8"/>
  <c r="E52" i="3"/>
  <c r="Q48" i="18"/>
  <c r="Q47" i="18" s="1"/>
  <c r="BB9" i="3"/>
  <c r="T137" i="3"/>
  <c r="AT125" i="3"/>
  <c r="AT126" i="3" s="1"/>
  <c r="AE10" i="3"/>
  <c r="AE11" i="27" s="1"/>
  <c r="AP128" i="8"/>
  <c r="AP129" i="8" s="1"/>
  <c r="AP154" i="8" s="1"/>
  <c r="S22" i="3"/>
  <c r="S22" i="27" s="1"/>
  <c r="AS53" i="3"/>
  <c r="I36" i="4" s="1"/>
  <c r="AC560" i="18"/>
  <c r="AP291" i="18"/>
  <c r="D57" i="2"/>
  <c r="AB555" i="18"/>
  <c r="C18" i="23"/>
  <c r="C23" i="23" s="1"/>
  <c r="E206" i="8"/>
  <c r="L354" i="8"/>
  <c r="L372" i="8" s="1"/>
  <c r="AY48" i="8"/>
  <c r="P137" i="3"/>
  <c r="S106" i="8"/>
  <c r="BB180" i="8"/>
  <c r="AN23" i="3"/>
  <c r="AN23" i="27" s="1"/>
  <c r="BB231" i="8"/>
  <c r="O265" i="8"/>
  <c r="T269" i="8"/>
  <c r="AY63" i="8"/>
  <c r="L34" i="8"/>
  <c r="N141" i="3"/>
  <c r="AL334" i="8"/>
  <c r="AL342" i="8" s="1"/>
  <c r="AA22" i="3"/>
  <c r="L44" i="18"/>
  <c r="AP206" i="8"/>
  <c r="L22" i="3"/>
  <c r="AH185" i="18"/>
  <c r="AH130" i="18" s="1"/>
  <c r="R142" i="3"/>
  <c r="L96" i="8"/>
  <c r="C158" i="8"/>
  <c r="I13" i="4"/>
  <c r="M266" i="8"/>
  <c r="L13" i="4"/>
  <c r="L14" i="4" s="1"/>
  <c r="J18" i="23"/>
  <c r="AT48" i="8"/>
  <c r="AO291" i="18"/>
  <c r="AV48" i="8"/>
  <c r="G206" i="8"/>
  <c r="AP213" i="8"/>
  <c r="AP216" i="8" s="1"/>
  <c r="AE429" i="8"/>
  <c r="AE12" i="8"/>
  <c r="AE42" i="8" s="1"/>
  <c r="AH128" i="8"/>
  <c r="AH129" i="8" s="1"/>
  <c r="AH154" i="8" s="1"/>
  <c r="S272" i="8"/>
  <c r="T264" i="8"/>
  <c r="O96" i="8"/>
  <c r="H52" i="3"/>
  <c r="L154" i="18"/>
  <c r="AT54" i="8"/>
  <c r="AT60" i="8" s="1"/>
  <c r="AD372" i="8"/>
  <c r="AD373" i="8" s="1"/>
  <c r="O123" i="3"/>
  <c r="AV138" i="3"/>
  <c r="AV139" i="3" s="1"/>
  <c r="P226" i="8"/>
  <c r="P158" i="8"/>
  <c r="AP158" i="8"/>
  <c r="M256" i="8"/>
  <c r="O256" i="8"/>
  <c r="S143" i="8"/>
  <c r="S151" i="8" s="1"/>
  <c r="S153" i="8" s="1"/>
  <c r="S354" i="8"/>
  <c r="AP266" i="8"/>
  <c r="M123" i="18"/>
  <c r="P213" i="8"/>
  <c r="P214" i="8" s="1"/>
  <c r="AP269" i="8"/>
  <c r="AP271" i="8" s="1"/>
  <c r="P67" i="3"/>
  <c r="M271" i="8"/>
  <c r="P265" i="8"/>
  <c r="S265" i="8"/>
  <c r="I13" i="23"/>
  <c r="I14" i="23" s="1"/>
  <c r="M205" i="8"/>
  <c r="O206" i="8" s="1"/>
  <c r="I334" i="8"/>
  <c r="I342" i="8" s="1"/>
  <c r="M259" i="8"/>
  <c r="M208" i="8" s="1"/>
  <c r="Q30" i="8"/>
  <c r="P268" i="8"/>
  <c r="P242" i="8" s="1"/>
  <c r="AT67" i="3"/>
  <c r="AT23" i="3"/>
  <c r="S268" i="8"/>
  <c r="T268" i="8" s="1"/>
  <c r="T218" i="8" s="1"/>
  <c r="AT53" i="3"/>
  <c r="J36" i="4" s="1"/>
  <c r="AQ128" i="8"/>
  <c r="AQ129" i="8" s="1"/>
  <c r="AQ154" i="8" s="1"/>
  <c r="AK334" i="8"/>
  <c r="AK342" i="8" s="1"/>
  <c r="M139" i="3"/>
  <c r="AZ213" i="8"/>
  <c r="AZ215" i="8" s="1"/>
  <c r="AK372" i="8"/>
  <c r="AZ149" i="8"/>
  <c r="AF269" i="8"/>
  <c r="AF143" i="8" s="1"/>
  <c r="AM12" i="3"/>
  <c r="AZ268" i="8"/>
  <c r="AZ242" i="8" s="1"/>
  <c r="AZ298" i="8" s="1"/>
  <c r="AJ10" i="3"/>
  <c r="AJ11" i="27" s="1"/>
  <c r="I266" i="8"/>
  <c r="C204" i="18"/>
  <c r="K139" i="3"/>
  <c r="AZ158" i="8"/>
  <c r="R354" i="8"/>
  <c r="I22" i="3"/>
  <c r="I22" i="27" s="1"/>
  <c r="M137" i="3"/>
  <c r="L141" i="3"/>
  <c r="C193" i="18"/>
  <c r="C197" i="18" s="1"/>
  <c r="C207" i="18" s="1"/>
  <c r="J285" i="18"/>
  <c r="J287" i="18" s="1"/>
  <c r="J188" i="18" s="1"/>
  <c r="J189" i="18" s="1"/>
  <c r="I265" i="8"/>
  <c r="AZ266" i="8"/>
  <c r="I272" i="8"/>
  <c r="AI10" i="3"/>
  <c r="AI11" i="27" s="1"/>
  <c r="AO372" i="8"/>
  <c r="C213" i="8"/>
  <c r="C238" i="8" s="1"/>
  <c r="AO98" i="3"/>
  <c r="BB66" i="3"/>
  <c r="M102" i="8"/>
  <c r="T138" i="3"/>
  <c r="AS36" i="8"/>
  <c r="Q27" i="18"/>
  <c r="AH429" i="8"/>
  <c r="AW136" i="3"/>
  <c r="P21" i="25" s="1"/>
  <c r="P24" i="25" s="1"/>
  <c r="Q10" i="18"/>
  <c r="BE66" i="3"/>
  <c r="AI467" i="18"/>
  <c r="N122" i="3"/>
  <c r="AT214" i="8"/>
  <c r="AI189" i="18"/>
  <c r="K354" i="8"/>
  <c r="K372" i="8" s="1"/>
  <c r="BA272" i="8"/>
  <c r="L272" i="8"/>
  <c r="AS216" i="8"/>
  <c r="AI123" i="18"/>
  <c r="Q10" i="3"/>
  <c r="Q11" i="27" s="1"/>
  <c r="AU89" i="3"/>
  <c r="AK179" i="18"/>
  <c r="AK185" i="18" s="1"/>
  <c r="AI179" i="18"/>
  <c r="AI124" i="18" s="1"/>
  <c r="AI18" i="18"/>
  <c r="AW42" i="8"/>
  <c r="AW54" i="8" s="1"/>
  <c r="AW60" i="8" s="1"/>
  <c r="M121" i="3"/>
  <c r="D178" i="18"/>
  <c r="F18" i="18" s="1"/>
  <c r="BA213" i="8"/>
  <c r="BA216" i="8" s="1"/>
  <c r="AD12" i="3"/>
  <c r="AD12" i="27" s="1"/>
  <c r="M122" i="3"/>
  <c r="AX354" i="8"/>
  <c r="AX372" i="8" s="1"/>
  <c r="L74" i="18"/>
  <c r="AV372" i="8"/>
  <c r="AV373" i="8" s="1"/>
  <c r="I261" i="8"/>
  <c r="AO53" i="3"/>
  <c r="E36" i="23" s="1"/>
  <c r="AG10" i="3"/>
  <c r="AG11" i="27" s="1"/>
  <c r="BA266" i="8"/>
  <c r="AQ314" i="8"/>
  <c r="T141" i="3"/>
  <c r="T142" i="3" s="1"/>
  <c r="O121" i="3"/>
  <c r="M224" i="8"/>
  <c r="M226" i="8" s="1"/>
  <c r="S260" i="8"/>
  <c r="AV355" i="8"/>
  <c r="AP53" i="3"/>
  <c r="F36" i="4" s="1"/>
  <c r="Q158" i="8"/>
  <c r="N464" i="18"/>
  <c r="M214" i="8"/>
  <c r="AF10" i="3"/>
  <c r="AF11" i="27" s="1"/>
  <c r="AQ121" i="3"/>
  <c r="AL142" i="3"/>
  <c r="I52" i="4"/>
  <c r="AV53" i="3"/>
  <c r="L36" i="4" s="1"/>
  <c r="F128" i="8"/>
  <c r="F129" i="8" s="1"/>
  <c r="F154" i="8" s="1"/>
  <c r="Q19" i="3"/>
  <c r="AH123" i="18"/>
  <c r="D372" i="8"/>
  <c r="D356" i="8"/>
  <c r="AN142" i="3"/>
  <c r="Q208" i="8"/>
  <c r="AM231" i="8"/>
  <c r="AZ354" i="8"/>
  <c r="AZ372" i="8" s="1"/>
  <c r="P354" i="8"/>
  <c r="P372" i="8" s="1"/>
  <c r="Q265" i="8"/>
  <c r="S142" i="3"/>
  <c r="Q261" i="8"/>
  <c r="AR122" i="3"/>
  <c r="AR123" i="3" s="1"/>
  <c r="S16" i="3"/>
  <c r="AM128" i="8"/>
  <c r="AM129" i="8" s="1"/>
  <c r="AM154" i="8" s="1"/>
  <c r="AM206" i="8"/>
  <c r="I52" i="23"/>
  <c r="O84" i="8"/>
  <c r="N101" i="8"/>
  <c r="I213" i="8"/>
  <c r="K214" i="8" s="1"/>
  <c r="L13" i="23"/>
  <c r="N84" i="8"/>
  <c r="R122" i="3"/>
  <c r="AL205" i="18"/>
  <c r="AI128" i="8"/>
  <c r="AI129" i="8" s="1"/>
  <c r="AI154" i="8" s="1"/>
  <c r="AS48" i="8"/>
  <c r="L129" i="3"/>
  <c r="AG142" i="3"/>
  <c r="AF12" i="3"/>
  <c r="Q269" i="8"/>
  <c r="Q106" i="8" s="1"/>
  <c r="Q114" i="8" s="1"/>
  <c r="L47" i="18"/>
  <c r="P258" i="8" s="1"/>
  <c r="P259" i="8" s="1"/>
  <c r="P15" i="3" s="1"/>
  <c r="P17" i="3" s="1"/>
  <c r="P230" i="8"/>
  <c r="P359" i="8" s="1"/>
  <c r="Q362" i="8" s="1"/>
  <c r="Q171" i="18"/>
  <c r="Q239" i="18" s="1"/>
  <c r="Q183" i="18" s="1"/>
  <c r="M22" i="3"/>
  <c r="M158" i="8"/>
  <c r="M179" i="18"/>
  <c r="M185" i="18" s="1"/>
  <c r="T416" i="8"/>
  <c r="T135" i="8" s="1"/>
  <c r="AQ79" i="3"/>
  <c r="G52" i="23" s="1"/>
  <c r="L34" i="18"/>
  <c r="P271" i="8"/>
  <c r="AK467" i="18"/>
  <c r="K189" i="18"/>
  <c r="K193" i="18" s="1"/>
  <c r="K468" i="18" s="1"/>
  <c r="C53" i="2"/>
  <c r="AL193" i="18"/>
  <c r="AL468" i="18" s="1"/>
  <c r="M268" i="8"/>
  <c r="M218" i="8" s="1"/>
  <c r="AU214" i="8"/>
  <c r="Q231" i="8"/>
  <c r="AM24" i="8"/>
  <c r="AM30" i="8" s="1"/>
  <c r="O106" i="8"/>
  <c r="O114" i="8" s="1"/>
  <c r="AJ128" i="8"/>
  <c r="AJ129" i="8" s="1"/>
  <c r="AJ154" i="8" s="1"/>
  <c r="M180" i="8"/>
  <c r="O18" i="18"/>
  <c r="AG12" i="3"/>
  <c r="AW354" i="8"/>
  <c r="AW372" i="8" s="1"/>
  <c r="P266" i="8"/>
  <c r="Q26" i="18"/>
  <c r="AK123" i="18"/>
  <c r="AK18" i="18"/>
  <c r="AD193" i="18"/>
  <c r="AD197" i="18" s="1"/>
  <c r="AD199" i="18" s="1"/>
  <c r="O219" i="8"/>
  <c r="O224" i="8" s="1"/>
  <c r="O226" i="8" s="1"/>
  <c r="M467" i="18"/>
  <c r="J13" i="23"/>
  <c r="K14" i="23" s="1"/>
  <c r="AB543" i="18"/>
  <c r="AK189" i="18"/>
  <c r="AK204" i="18" s="1"/>
  <c r="K18" i="18"/>
  <c r="AM27" i="3"/>
  <c r="AM27" i="27" s="1"/>
  <c r="AU238" i="8"/>
  <c r="AU243" i="8" s="1"/>
  <c r="T180" i="8"/>
  <c r="AN128" i="8"/>
  <c r="AN129" i="8" s="1"/>
  <c r="AN154" i="8" s="1"/>
  <c r="AT28" i="3"/>
  <c r="O185" i="18"/>
  <c r="O130" i="18" s="1"/>
  <c r="M265" i="8"/>
  <c r="M272" i="8"/>
  <c r="AR114" i="8"/>
  <c r="E356" i="8"/>
  <c r="M189" i="18"/>
  <c r="M205" i="18" s="1"/>
  <c r="D154" i="18"/>
  <c r="D164" i="18" s="1"/>
  <c r="D168" i="18" s="1"/>
  <c r="AW102" i="8"/>
  <c r="F391" i="8"/>
  <c r="F395" i="8" s="1"/>
  <c r="F397" i="8" s="1"/>
  <c r="F423" i="8" s="1"/>
  <c r="G372" i="8"/>
  <c r="G373" i="8" s="1"/>
  <c r="AN25" i="3"/>
  <c r="AG372" i="8"/>
  <c r="AG356" i="8"/>
  <c r="N78" i="8"/>
  <c r="K265" i="8"/>
  <c r="Q34" i="18"/>
  <c r="Q213" i="8"/>
  <c r="Q238" i="8" s="1"/>
  <c r="Q360" i="8" s="1"/>
  <c r="Q363" i="8" s="1"/>
  <c r="Q22" i="3"/>
  <c r="AF216" i="8"/>
  <c r="AF238" i="8"/>
  <c r="AF359" i="8" s="1"/>
  <c r="AF266" i="8"/>
  <c r="M354" i="8"/>
  <c r="AG206" i="8"/>
  <c r="AF158" i="8"/>
  <c r="AF334" i="8"/>
  <c r="AF342" i="8" s="1"/>
  <c r="AV10" i="3"/>
  <c r="AV11" i="27" s="1"/>
  <c r="J44" i="4"/>
  <c r="AV12" i="3"/>
  <c r="BA354" i="8"/>
  <c r="BA372" i="8" s="1"/>
  <c r="BB53" i="3"/>
  <c r="AU53" i="3"/>
  <c r="K36" i="4" s="1"/>
  <c r="G334" i="8"/>
  <c r="G342" i="8" s="1"/>
  <c r="S180" i="8"/>
  <c r="AY354" i="8"/>
  <c r="R100" i="8"/>
  <c r="O19" i="3"/>
  <c r="AR36" i="8"/>
  <c r="AQ36" i="8" s="1"/>
  <c r="AP36" i="8" s="1"/>
  <c r="AO36" i="8" s="1"/>
  <c r="AN36" i="8" s="1"/>
  <c r="AM36" i="8" s="1"/>
  <c r="AL36" i="8" s="1"/>
  <c r="AB550" i="18"/>
  <c r="K184" i="18"/>
  <c r="K129" i="18" s="1"/>
  <c r="O35" i="8"/>
  <c r="N214" i="8"/>
  <c r="AD205" i="18"/>
  <c r="AU333" i="8"/>
  <c r="AU334" i="8" s="1"/>
  <c r="AU342" i="8" s="1"/>
  <c r="BC9" i="3"/>
  <c r="AB8" i="4" s="1"/>
  <c r="AO79" i="3"/>
  <c r="AO90" i="3" s="1"/>
  <c r="N100" i="8"/>
  <c r="O270" i="8"/>
  <c r="AW110" i="8"/>
  <c r="M18" i="18"/>
  <c r="AB541" i="18"/>
  <c r="K123" i="18"/>
  <c r="AO334" i="8"/>
  <c r="AO342" i="8" s="1"/>
  <c r="AX314" i="8"/>
  <c r="O354" i="8"/>
  <c r="O372" i="8" s="1"/>
  <c r="AW219" i="8"/>
  <c r="AW220" i="8" s="1"/>
  <c r="AW107" i="8" s="1"/>
  <c r="C372" i="8"/>
  <c r="AJ12" i="3"/>
  <c r="AB534" i="18"/>
  <c r="O33" i="8"/>
  <c r="AX122" i="8"/>
  <c r="AB557" i="18"/>
  <c r="O18" i="8"/>
  <c r="AW143" i="8"/>
  <c r="AW151" i="8" s="1"/>
  <c r="AW153" i="8" s="1"/>
  <c r="AV334" i="8"/>
  <c r="AV342" i="8" s="1"/>
  <c r="O27" i="3"/>
  <c r="O27" i="27" s="1"/>
  <c r="E12" i="3"/>
  <c r="E12" i="27" s="1"/>
  <c r="E13" i="3"/>
  <c r="E13" i="27" s="1"/>
  <c r="AB548" i="18"/>
  <c r="AB536" i="18"/>
  <c r="K467" i="18"/>
  <c r="G10" i="3"/>
  <c r="G11" i="27" s="1"/>
  <c r="O272" i="8"/>
  <c r="O271" i="8"/>
  <c r="M66" i="23"/>
  <c r="AF266" i="18"/>
  <c r="K179" i="18"/>
  <c r="K124" i="18" s="1"/>
  <c r="M146" i="8"/>
  <c r="M148" i="8" s="1"/>
  <c r="AS142" i="3"/>
  <c r="G13" i="3"/>
  <c r="G13" i="27" s="1"/>
  <c r="E10" i="3"/>
  <c r="E11" i="27" s="1"/>
  <c r="AZ122" i="8"/>
  <c r="O268" i="8"/>
  <c r="O242" i="8" s="1"/>
  <c r="L464" i="18"/>
  <c r="H158" i="8"/>
  <c r="P26" i="3"/>
  <c r="P26" i="27" s="1"/>
  <c r="AQ125" i="3"/>
  <c r="AQ130" i="3" s="1"/>
  <c r="G18" i="23"/>
  <c r="G23" i="23" s="1"/>
  <c r="AY102" i="8"/>
  <c r="BD66" i="3"/>
  <c r="AO128" i="8"/>
  <c r="AO129" i="8" s="1"/>
  <c r="AO154" i="8" s="1"/>
  <c r="G136" i="8"/>
  <c r="I44" i="4"/>
  <c r="AZ102" i="8"/>
  <c r="AK10" i="3"/>
  <c r="AK11" i="27" s="1"/>
  <c r="F333" i="8"/>
  <c r="BC66" i="3"/>
  <c r="G36" i="8"/>
  <c r="AB12" i="3"/>
  <c r="AB12" i="27" s="1"/>
  <c r="I44" i="23"/>
  <c r="AL42" i="8"/>
  <c r="AL54" i="8" s="1"/>
  <c r="AL60" i="8" s="1"/>
  <c r="AL18" i="8"/>
  <c r="G128" i="8"/>
  <c r="G129" i="8" s="1"/>
  <c r="G154" i="8" s="1"/>
  <c r="G155" i="8" s="1"/>
  <c r="Z372" i="8"/>
  <c r="Z373" i="8" s="1"/>
  <c r="P23" i="3"/>
  <c r="G18" i="4"/>
  <c r="G45" i="4" s="1"/>
  <c r="AL24" i="8"/>
  <c r="AL30" i="8" s="1"/>
  <c r="AX214" i="8"/>
  <c r="O146" i="8"/>
  <c r="AM18" i="8"/>
  <c r="AW238" i="8"/>
  <c r="AW243" i="8" s="1"/>
  <c r="AW275" i="8" s="1"/>
  <c r="AQ67" i="3"/>
  <c r="D9" i="23"/>
  <c r="AW214" i="8"/>
  <c r="AS420" i="8"/>
  <c r="AT419" i="8" s="1"/>
  <c r="C419" i="8" s="1"/>
  <c r="AI429" i="8"/>
  <c r="AL292" i="18"/>
  <c r="AL298" i="18" s="1"/>
  <c r="AL297" i="18"/>
  <c r="AS355" i="8"/>
  <c r="AS372" i="8"/>
  <c r="AM468" i="18"/>
  <c r="AM197" i="18"/>
  <c r="AM199" i="18" s="1"/>
  <c r="T255" i="8"/>
  <c r="S230" i="8"/>
  <c r="M472" i="18"/>
  <c r="L35" i="8"/>
  <c r="AX102" i="8"/>
  <c r="R64" i="8"/>
  <c r="BA209" i="8"/>
  <c r="BA268" i="8"/>
  <c r="BA218" i="8" s="1"/>
  <c r="AW34" i="8"/>
  <c r="AR334" i="8"/>
  <c r="AR342" i="8" s="1"/>
  <c r="AK27" i="3"/>
  <c r="AK27" i="27" s="1"/>
  <c r="S158" i="8"/>
  <c r="AE213" i="8"/>
  <c r="AE238" i="8" s="1"/>
  <c r="AE355" i="8" s="1"/>
  <c r="E435" i="8"/>
  <c r="E135" i="8" s="1"/>
  <c r="J464" i="18"/>
  <c r="AF128" i="8"/>
  <c r="AF129" i="8" s="1"/>
  <c r="AF154" i="8" s="1"/>
  <c r="S256" i="8"/>
  <c r="J346" i="8"/>
  <c r="J313" i="8"/>
  <c r="J314" i="8" s="1"/>
  <c r="G36" i="23"/>
  <c r="L472" i="18"/>
  <c r="O472" i="18"/>
  <c r="AL12" i="3"/>
  <c r="S261" i="8"/>
  <c r="H9" i="4"/>
  <c r="N138" i="3"/>
  <c r="AJ372" i="8"/>
  <c r="O138" i="3"/>
  <c r="N139" i="3"/>
  <c r="AE269" i="8"/>
  <c r="AE271" i="8" s="1"/>
  <c r="Q354" i="8"/>
  <c r="Q372" i="8" s="1"/>
  <c r="AM204" i="18"/>
  <c r="S271" i="8"/>
  <c r="L44" i="4"/>
  <c r="AE44" i="4" s="1"/>
  <c r="Q89" i="3"/>
  <c r="N472" i="18"/>
  <c r="AH334" i="8"/>
  <c r="AH342" i="8" s="1"/>
  <c r="Q18" i="3"/>
  <c r="J418" i="8"/>
  <c r="T121" i="3"/>
  <c r="P146" i="8"/>
  <c r="K84" i="8"/>
  <c r="AW96" i="8"/>
  <c r="AL10" i="3"/>
  <c r="AL11" i="27" s="1"/>
  <c r="H44" i="18"/>
  <c r="AQ429" i="8"/>
  <c r="AK12" i="3"/>
  <c r="AM205" i="18"/>
  <c r="AY215" i="8"/>
  <c r="AV89" i="3"/>
  <c r="AS110" i="8"/>
  <c r="AW233" i="8"/>
  <c r="AW235" i="8" s="1"/>
  <c r="AZ210" i="8"/>
  <c r="L226" i="8"/>
  <c r="O261" i="8"/>
  <c r="T123" i="3"/>
  <c r="AW35" i="8"/>
  <c r="AU219" i="8"/>
  <c r="AU224" i="8" s="1"/>
  <c r="AU226" i="8" s="1"/>
  <c r="AW66" i="3"/>
  <c r="M44" i="23" s="1"/>
  <c r="AZ256" i="8"/>
  <c r="AH206" i="8"/>
  <c r="S9" i="3"/>
  <c r="S10" i="27" s="1"/>
  <c r="S205" i="8"/>
  <c r="AR23" i="3"/>
  <c r="H464" i="18"/>
  <c r="H472" i="18"/>
  <c r="AS114" i="8"/>
  <c r="AW210" i="8"/>
  <c r="AZ209" i="8"/>
  <c r="O208" i="8"/>
  <c r="O210" i="8" s="1"/>
  <c r="R123" i="3"/>
  <c r="AR291" i="18"/>
  <c r="J100" i="8"/>
  <c r="AW18" i="8"/>
  <c r="AU143" i="8"/>
  <c r="AU146" i="8" s="1"/>
  <c r="J333" i="8"/>
  <c r="F218" i="8"/>
  <c r="AN206" i="8"/>
  <c r="J263" i="18"/>
  <c r="J264" i="18" s="1"/>
  <c r="J261" i="18"/>
  <c r="S266" i="8"/>
  <c r="K44" i="23"/>
  <c r="AY214" i="8"/>
  <c r="AT356" i="8"/>
  <c r="Q260" i="8"/>
  <c r="Q16" i="3"/>
  <c r="P139" i="3"/>
  <c r="AW24" i="8"/>
  <c r="AW30" i="8" s="1"/>
  <c r="O141" i="3"/>
  <c r="O142" i="3" s="1"/>
  <c r="D52" i="3"/>
  <c r="I372" i="8"/>
  <c r="AJ142" i="3"/>
  <c r="J472" i="18"/>
  <c r="AV214" i="8"/>
  <c r="AB10" i="3"/>
  <c r="AB11" i="27" s="1"/>
  <c r="N354" i="8"/>
  <c r="AJ106" i="8"/>
  <c r="AJ114" i="8" s="1"/>
  <c r="AJ143" i="8"/>
  <c r="AJ146" i="8" s="1"/>
  <c r="AN106" i="8"/>
  <c r="AN114" i="8" s="1"/>
  <c r="AN143" i="8"/>
  <c r="AN151" i="8" s="1"/>
  <c r="AN153" i="8" s="1"/>
  <c r="AN423" i="8"/>
  <c r="AN418" i="8" s="1"/>
  <c r="AI101" i="3"/>
  <c r="AI98" i="3" s="1"/>
  <c r="AN18" i="8"/>
  <c r="N64" i="8"/>
  <c r="M64" i="8"/>
  <c r="T128" i="8"/>
  <c r="T129" i="8" s="1"/>
  <c r="T154" i="8" s="1"/>
  <c r="AK162" i="8"/>
  <c r="P25" i="3"/>
  <c r="P25" i="27" s="1"/>
  <c r="AR243" i="8"/>
  <c r="AR246" i="8" s="1"/>
  <c r="AR248" i="8" s="1"/>
  <c r="AR250" i="8" s="1"/>
  <c r="AR251" i="8" s="1"/>
  <c r="AI334" i="8"/>
  <c r="AI342" i="8" s="1"/>
  <c r="AX266" i="8"/>
  <c r="I98" i="3"/>
  <c r="AR28" i="3"/>
  <c r="BA106" i="8"/>
  <c r="BA114" i="8" s="1"/>
  <c r="D158" i="8"/>
  <c r="AS239" i="8"/>
  <c r="AX261" i="8"/>
  <c r="N67" i="3"/>
  <c r="J52" i="23"/>
  <c r="AN24" i="8"/>
  <c r="AN30" i="8" s="1"/>
  <c r="AT143" i="8"/>
  <c r="AT146" i="8" s="1"/>
  <c r="L146" i="8"/>
  <c r="AY256" i="8"/>
  <c r="H18" i="4"/>
  <c r="H23" i="4" s="1"/>
  <c r="AR27" i="3"/>
  <c r="AR27" i="27" s="1"/>
  <c r="D12" i="3"/>
  <c r="D12" i="27" s="1"/>
  <c r="C52" i="3"/>
  <c r="AI22" i="3"/>
  <c r="AN213" i="8"/>
  <c r="AN158" i="8"/>
  <c r="AN266" i="8"/>
  <c r="M63" i="8"/>
  <c r="AS214" i="8"/>
  <c r="AR25" i="3"/>
  <c r="AD130" i="18"/>
  <c r="AN42" i="8"/>
  <c r="N65" i="8"/>
  <c r="AR216" i="8"/>
  <c r="AE372" i="8"/>
  <c r="AF356" i="8"/>
  <c r="AA12" i="3"/>
  <c r="AA12" i="27" s="1"/>
  <c r="O28" i="3"/>
  <c r="L18" i="8"/>
  <c r="AN334" i="8"/>
  <c r="AN342" i="8" s="1"/>
  <c r="AX158" i="8"/>
  <c r="Q13" i="3"/>
  <c r="Q13" i="27" s="1"/>
  <c r="Z10" i="3"/>
  <c r="Z11" i="27" s="1"/>
  <c r="AA10" i="3"/>
  <c r="AA11" i="27" s="1"/>
  <c r="AX230" i="8"/>
  <c r="AX359" i="8" s="1"/>
  <c r="AY362" i="8" s="1"/>
  <c r="AC12" i="3"/>
  <c r="AC12" i="27" s="1"/>
  <c r="AS23" i="3"/>
  <c r="J52" i="4"/>
  <c r="AZ265" i="8"/>
  <c r="AU22" i="3"/>
  <c r="H18" i="23"/>
  <c r="H45" i="23" s="1"/>
  <c r="N54" i="8"/>
  <c r="G66" i="23"/>
  <c r="D90" i="18"/>
  <c r="AK106" i="8"/>
  <c r="AO18" i="8"/>
  <c r="BA65" i="8"/>
  <c r="O25" i="3"/>
  <c r="O25" i="27" s="1"/>
  <c r="P60" i="8"/>
  <c r="AN291" i="18"/>
  <c r="H418" i="8"/>
  <c r="S102" i="8"/>
  <c r="AX205" i="8"/>
  <c r="AX210" i="8" s="1"/>
  <c r="AC10" i="3"/>
  <c r="AC11" i="27" s="1"/>
  <c r="AO9" i="3"/>
  <c r="R65" i="8"/>
  <c r="K35" i="8"/>
  <c r="AF206" i="8"/>
  <c r="E418" i="8"/>
  <c r="AX256" i="8"/>
  <c r="AT334" i="8"/>
  <c r="AT342" i="8" s="1"/>
  <c r="AK206" i="8"/>
  <c r="AO206" i="8"/>
  <c r="P152" i="8"/>
  <c r="P153" i="8" s="1"/>
  <c r="P247" i="8"/>
  <c r="E429" i="8"/>
  <c r="E134" i="8" s="1"/>
  <c r="BB334" i="8"/>
  <c r="T334" i="8" s="1"/>
  <c r="AR67" i="3"/>
  <c r="N99" i="8"/>
  <c r="AL18" i="18"/>
  <c r="AY269" i="8"/>
  <c r="AY271" i="8" s="1"/>
  <c r="F372" i="8"/>
  <c r="AL158" i="8"/>
  <c r="AL266" i="8"/>
  <c r="AG22" i="3"/>
  <c r="AG22" i="27" s="1"/>
  <c r="AL213" i="8"/>
  <c r="AZ48" i="8"/>
  <c r="AZ63" i="8"/>
  <c r="BA219" i="8"/>
  <c r="BA270" i="8"/>
  <c r="BB270" i="8"/>
  <c r="BA271" i="8"/>
  <c r="BA143" i="8"/>
  <c r="O231" i="8"/>
  <c r="AW271" i="8"/>
  <c r="AW272" i="8"/>
  <c r="AW270" i="8"/>
  <c r="AS67" i="3"/>
  <c r="BA48" i="8"/>
  <c r="AX199" i="8"/>
  <c r="AZ65" i="8"/>
  <c r="L110" i="8"/>
  <c r="AT25" i="3"/>
  <c r="J13" i="4"/>
  <c r="O129" i="3"/>
  <c r="H354" i="8"/>
  <c r="I356" i="8" s="1"/>
  <c r="AN162" i="8"/>
  <c r="AN231" i="8"/>
  <c r="AM125" i="3"/>
  <c r="C18" i="4"/>
  <c r="AZ54" i="8"/>
  <c r="AZ60" i="8" s="1"/>
  <c r="AM334" i="8"/>
  <c r="AM342" i="8" s="1"/>
  <c r="AM185" i="18"/>
  <c r="AH158" i="8"/>
  <c r="AH213" i="8"/>
  <c r="AH266" i="8"/>
  <c r="AC22" i="3"/>
  <c r="H266" i="8"/>
  <c r="H22" i="3"/>
  <c r="H22" i="27" s="1"/>
  <c r="AR89" i="3"/>
  <c r="H44" i="4"/>
  <c r="N371" i="18"/>
  <c r="N372" i="18" s="1"/>
  <c r="N388" i="18"/>
  <c r="F18" i="4"/>
  <c r="F45" i="4" s="1"/>
  <c r="R60" i="8"/>
  <c r="F158" i="8"/>
  <c r="AU36" i="8"/>
  <c r="J99" i="8"/>
  <c r="R90" i="8"/>
  <c r="AT36" i="8"/>
  <c r="AH12" i="3"/>
  <c r="AN89" i="3"/>
  <c r="AN98" i="3" s="1"/>
  <c r="AN67" i="3"/>
  <c r="D44" i="4"/>
  <c r="J219" i="8"/>
  <c r="J224" i="8" s="1"/>
  <c r="J272" i="8"/>
  <c r="L270" i="8"/>
  <c r="G63" i="23"/>
  <c r="H15" i="23"/>
  <c r="O60" i="8"/>
  <c r="L24" i="8"/>
  <c r="K30" i="8"/>
  <c r="AH10" i="3"/>
  <c r="AH11" i="27" s="1"/>
  <c r="L78" i="8"/>
  <c r="R78" i="8"/>
  <c r="Q84" i="8"/>
  <c r="AK142" i="3"/>
  <c r="AV122" i="3"/>
  <c r="AV123" i="3" s="1"/>
  <c r="AU48" i="8"/>
  <c r="Q133" i="8"/>
  <c r="Q101" i="3"/>
  <c r="J213" i="8"/>
  <c r="J265" i="8"/>
  <c r="L265" i="8"/>
  <c r="J22" i="3"/>
  <c r="AF265" i="8"/>
  <c r="AE266" i="8"/>
  <c r="Z22" i="3"/>
  <c r="Z22" i="27" s="1"/>
  <c r="O54" i="8"/>
  <c r="O67" i="3"/>
  <c r="P44" i="18"/>
  <c r="K96" i="8"/>
  <c r="I102" i="8"/>
  <c r="F371" i="18"/>
  <c r="F372" i="18" s="1"/>
  <c r="F388" i="18"/>
  <c r="AT219" i="8"/>
  <c r="AT224" i="8" s="1"/>
  <c r="AT226" i="8" s="1"/>
  <c r="AT270" i="8"/>
  <c r="AT271" i="8"/>
  <c r="AT272" i="8"/>
  <c r="P129" i="3"/>
  <c r="O125" i="3"/>
  <c r="P125" i="3"/>
  <c r="AV270" i="8"/>
  <c r="AU271" i="8"/>
  <c r="AU272" i="8"/>
  <c r="AU270" i="8"/>
  <c r="AI297" i="18"/>
  <c r="J34" i="18"/>
  <c r="AE44" i="23"/>
  <c r="AL106" i="8"/>
  <c r="AL114" i="8" s="1"/>
  <c r="AR356" i="8"/>
  <c r="P291" i="18"/>
  <c r="AG128" i="8"/>
  <c r="AG129" i="8" s="1"/>
  <c r="AG154" i="8" s="1"/>
  <c r="AG334" i="8"/>
  <c r="AG342" i="8" s="1"/>
  <c r="AQ25" i="3"/>
  <c r="AE334" i="8"/>
  <c r="AE342" i="8" s="1"/>
  <c r="AL265" i="8"/>
  <c r="AK213" i="8"/>
  <c r="AF22" i="3"/>
  <c r="AF22" i="27" s="1"/>
  <c r="AK158" i="8"/>
  <c r="AK266" i="8"/>
  <c r="AP67" i="3"/>
  <c r="AY266" i="8"/>
  <c r="AT9" i="3"/>
  <c r="AT10" i="27" s="1"/>
  <c r="AY158" i="8"/>
  <c r="AY205" i="8"/>
  <c r="AY230" i="8"/>
  <c r="F18" i="23"/>
  <c r="P78" i="8"/>
  <c r="K18" i="8"/>
  <c r="AI12" i="3"/>
  <c r="M30" i="8"/>
  <c r="J101" i="8"/>
  <c r="AM213" i="8"/>
  <c r="AM266" i="8"/>
  <c r="AM265" i="8"/>
  <c r="AN265" i="8"/>
  <c r="AH22" i="3"/>
  <c r="AH22" i="27" s="1"/>
  <c r="AM158" i="8"/>
  <c r="D269" i="8"/>
  <c r="D22" i="3"/>
  <c r="D22" i="27" s="1"/>
  <c r="D266" i="8"/>
  <c r="J47" i="18"/>
  <c r="N258" i="8" s="1"/>
  <c r="N259" i="8" s="1"/>
  <c r="P63" i="8"/>
  <c r="AM162" i="8"/>
  <c r="P90" i="8"/>
  <c r="J84" i="8"/>
  <c r="Q179" i="8"/>
  <c r="AJ334" i="8"/>
  <c r="AJ342" i="8" s="1"/>
  <c r="M238" i="8"/>
  <c r="AN219" i="8"/>
  <c r="AN224" i="8" s="1"/>
  <c r="AN226" i="8" s="1"/>
  <c r="AN271" i="8"/>
  <c r="AN272" i="8"/>
  <c r="J225" i="8"/>
  <c r="AW247" i="8"/>
  <c r="P48" i="8"/>
  <c r="AQ372" i="8"/>
  <c r="BA231" i="8"/>
  <c r="O102" i="8"/>
  <c r="AP27" i="3"/>
  <c r="AP27" i="27" s="1"/>
  <c r="AP125" i="3"/>
  <c r="AQ23" i="3"/>
  <c r="AQ23" i="27" s="1"/>
  <c r="AN356" i="8"/>
  <c r="AM372" i="8"/>
  <c r="AN372" i="8"/>
  <c r="AR254" i="18"/>
  <c r="AR450" i="18" s="1"/>
  <c r="AQ450" i="18"/>
  <c r="G9" i="23"/>
  <c r="S179" i="8"/>
  <c r="G356" i="8"/>
  <c r="P220" i="8"/>
  <c r="P107" i="8" s="1"/>
  <c r="K102" i="8"/>
  <c r="AW134" i="8"/>
  <c r="J134" i="8" s="1"/>
  <c r="AW429" i="8"/>
  <c r="F464" i="18"/>
  <c r="AF89" i="3"/>
  <c r="AS125" i="3"/>
  <c r="AS25" i="3"/>
  <c r="AS28" i="3"/>
  <c r="I18" i="4"/>
  <c r="L187" i="8"/>
  <c r="J136" i="3"/>
  <c r="J137" i="3" s="1"/>
  <c r="D285" i="18"/>
  <c r="D287" i="18" s="1"/>
  <c r="D188" i="18" s="1"/>
  <c r="L122" i="8"/>
  <c r="AK128" i="8"/>
  <c r="AK129" i="8" s="1"/>
  <c r="AK154" i="8" s="1"/>
  <c r="N133" i="8"/>
  <c r="N101" i="3"/>
  <c r="N98" i="3" s="1"/>
  <c r="AS146" i="8"/>
  <c r="AS151" i="8"/>
  <c r="AS153" i="8" s="1"/>
  <c r="AS155" i="8" s="1"/>
  <c r="AU138" i="3"/>
  <c r="AU139" i="3" s="1"/>
  <c r="AV141" i="3"/>
  <c r="AU137" i="3"/>
  <c r="T89" i="3"/>
  <c r="H47" i="18"/>
  <c r="L258" i="8" s="1"/>
  <c r="H34" i="18"/>
  <c r="L255" i="8"/>
  <c r="L256" i="8" s="1"/>
  <c r="AZ199" i="8"/>
  <c r="AK356" i="8"/>
  <c r="R101" i="8"/>
  <c r="S84" i="8"/>
  <c r="J388" i="18"/>
  <c r="D126" i="8"/>
  <c r="D127" i="8" s="1"/>
  <c r="D333" i="8"/>
  <c r="F205" i="8"/>
  <c r="F216" i="8" s="1"/>
  <c r="F230" i="8"/>
  <c r="H256" i="8"/>
  <c r="F256" i="8"/>
  <c r="AM292" i="18"/>
  <c r="AM298" i="18" s="1"/>
  <c r="BA102" i="8"/>
  <c r="AV231" i="8"/>
  <c r="AQ333" i="8"/>
  <c r="O214" i="8"/>
  <c r="AG158" i="8"/>
  <c r="AG213" i="8"/>
  <c r="AG265" i="8"/>
  <c r="AH265" i="8"/>
  <c r="AB22" i="3"/>
  <c r="AG266" i="8"/>
  <c r="BA133" i="8"/>
  <c r="AV101" i="3"/>
  <c r="BB240" i="8"/>
  <c r="BB360" i="8"/>
  <c r="O238" i="8"/>
  <c r="AJ266" i="8"/>
  <c r="AJ158" i="8"/>
  <c r="AK265" i="8"/>
  <c r="AE22" i="3"/>
  <c r="AJ213" i="8"/>
  <c r="F433" i="8"/>
  <c r="F435" i="8" s="1"/>
  <c r="F135" i="8" s="1"/>
  <c r="F105" i="3"/>
  <c r="AP105" i="3" s="1"/>
  <c r="I246" i="18"/>
  <c r="I247" i="18" s="1"/>
  <c r="I248" i="18" s="1"/>
  <c r="I249" i="18" s="1"/>
  <c r="I226" i="18"/>
  <c r="AH297" i="18"/>
  <c r="N29" i="18"/>
  <c r="AQ291" i="18"/>
  <c r="AO269" i="8"/>
  <c r="AO271" i="8" s="1"/>
  <c r="AL128" i="8"/>
  <c r="AL129" i="8" s="1"/>
  <c r="AL154" i="8" s="1"/>
  <c r="AJ162" i="8"/>
  <c r="D238" i="8"/>
  <c r="D216" i="8"/>
  <c r="E133" i="8"/>
  <c r="E423" i="8"/>
  <c r="P101" i="8"/>
  <c r="P99" i="8"/>
  <c r="P100" i="8"/>
  <c r="AJ12" i="8"/>
  <c r="AJ42" i="8" s="1"/>
  <c r="AJ231" i="8"/>
  <c r="AK231" i="8"/>
  <c r="K89" i="3"/>
  <c r="K67" i="3"/>
  <c r="AO334" i="18"/>
  <c r="AO228" i="18" s="1"/>
  <c r="Q473" i="18"/>
  <c r="AU141" i="3"/>
  <c r="AU142" i="3" s="1"/>
  <c r="AR372" i="8"/>
  <c r="AT142" i="3"/>
  <c r="R84" i="8"/>
  <c r="Q102" i="8"/>
  <c r="AO356" i="8"/>
  <c r="T406" i="8"/>
  <c r="T134" i="8" s="1"/>
  <c r="M126" i="8"/>
  <c r="M127" i="8" s="1"/>
  <c r="M333" i="8"/>
  <c r="AE354" i="18"/>
  <c r="AE355" i="18" s="1"/>
  <c r="AD357" i="18"/>
  <c r="AK219" i="8"/>
  <c r="AK224" i="8" s="1"/>
  <c r="AK226" i="8" s="1"/>
  <c r="AK271" i="8"/>
  <c r="AK272" i="8"/>
  <c r="L152" i="8"/>
  <c r="L153" i="8" s="1"/>
  <c r="L247" i="8"/>
  <c r="K8" i="4"/>
  <c r="D79" i="2"/>
  <c r="D103" i="2"/>
  <c r="D61" i="2"/>
  <c r="H83" i="2"/>
  <c r="H84" i="2" s="1"/>
  <c r="H65" i="2"/>
  <c r="H67" i="2" s="1"/>
  <c r="AG297" i="18"/>
  <c r="AG292" i="18"/>
  <c r="AG298" i="18" s="1"/>
  <c r="AP372" i="8"/>
  <c r="AQ356" i="8"/>
  <c r="AA101" i="3"/>
  <c r="AA98" i="3" s="1"/>
  <c r="AF423" i="8"/>
  <c r="AF418" i="8" s="1"/>
  <c r="AI423" i="8"/>
  <c r="AD101" i="3"/>
  <c r="AD98" i="3" s="1"/>
  <c r="G278" i="8"/>
  <c r="G275" i="8"/>
  <c r="G246" i="8"/>
  <c r="G248" i="8" s="1"/>
  <c r="G250" i="8" s="1"/>
  <c r="G251" i="8" s="1"/>
  <c r="AK297" i="18"/>
  <c r="AK292" i="18"/>
  <c r="AK298" i="18" s="1"/>
  <c r="AL356" i="8"/>
  <c r="AM356" i="8"/>
  <c r="AL423" i="8"/>
  <c r="AL418" i="8" s="1"/>
  <c r="AG101" i="3"/>
  <c r="AG98" i="3" s="1"/>
  <c r="AJ297" i="18"/>
  <c r="AJ292" i="18"/>
  <c r="S125" i="8"/>
  <c r="S127" i="8" s="1"/>
  <c r="S333" i="8"/>
  <c r="AX133" i="8"/>
  <c r="AX136" i="8" s="1"/>
  <c r="AX418" i="8"/>
  <c r="AS101" i="3"/>
  <c r="AS98" i="3" s="1"/>
  <c r="AY35" i="8"/>
  <c r="AY96" i="8"/>
  <c r="AY33" i="8"/>
  <c r="AL101" i="3"/>
  <c r="AL98" i="3" s="1"/>
  <c r="AQ423" i="8"/>
  <c r="Q291" i="18"/>
  <c r="N152" i="8"/>
  <c r="N247" i="8"/>
  <c r="M121" i="8"/>
  <c r="M122" i="8" s="1"/>
  <c r="M314" i="8"/>
  <c r="C133" i="8"/>
  <c r="C136" i="8" s="1"/>
  <c r="C139" i="8" s="1"/>
  <c r="D138" i="8" s="1"/>
  <c r="C423" i="8"/>
  <c r="J89" i="3"/>
  <c r="H9" i="23"/>
  <c r="AH18" i="18"/>
  <c r="J34" i="8"/>
  <c r="M18" i="8"/>
  <c r="R48" i="8"/>
  <c r="BB54" i="8"/>
  <c r="BB60" i="8" s="1"/>
  <c r="BA199" i="8"/>
  <c r="C418" i="8"/>
  <c r="L371" i="18"/>
  <c r="L372" i="18" s="1"/>
  <c r="L388" i="18"/>
  <c r="C98" i="2"/>
  <c r="H371" i="18"/>
  <c r="H372" i="18" s="1"/>
  <c r="H388" i="18"/>
  <c r="N154" i="18"/>
  <c r="Q18" i="8"/>
  <c r="Q34" i="8"/>
  <c r="Q33" i="8"/>
  <c r="Q96" i="8"/>
  <c r="Q35" i="8"/>
  <c r="P360" i="18"/>
  <c r="R360" i="18" s="1"/>
  <c r="N364" i="18"/>
  <c r="BA126" i="8"/>
  <c r="BA127" i="8" s="1"/>
  <c r="BA333" i="8"/>
  <c r="AY121" i="8"/>
  <c r="AY122" i="8" s="1"/>
  <c r="AY314" i="8"/>
  <c r="AY125" i="8"/>
  <c r="AY127" i="8" s="1"/>
  <c r="AY333" i="8"/>
  <c r="M133" i="8"/>
  <c r="M136" i="8" s="1"/>
  <c r="M418" i="8"/>
  <c r="M101" i="3"/>
  <c r="M98" i="3" s="1"/>
  <c r="O133" i="8"/>
  <c r="O136" i="8" s="1"/>
  <c r="O101" i="3"/>
  <c r="O98" i="3" s="1"/>
  <c r="O418" i="8"/>
  <c r="H126" i="8"/>
  <c r="H127" i="8" s="1"/>
  <c r="H333" i="8"/>
  <c r="AR146" i="8"/>
  <c r="AR151" i="8"/>
  <c r="AR153" i="8" s="1"/>
  <c r="AR155" i="8" s="1"/>
  <c r="AM142" i="3"/>
  <c r="B52" i="2"/>
  <c r="B56" i="2"/>
  <c r="B76" i="2"/>
  <c r="B78" i="2" s="1"/>
  <c r="AG423" i="8"/>
  <c r="AG418" i="8" s="1"/>
  <c r="AB101" i="3"/>
  <c r="AB98" i="3" s="1"/>
  <c r="D400" i="8"/>
  <c r="D406" i="8" s="1"/>
  <c r="D418" i="8" s="1"/>
  <c r="AJ423" i="8"/>
  <c r="AJ418" i="8" s="1"/>
  <c r="AE101" i="3"/>
  <c r="AE98" i="3" s="1"/>
  <c r="AH162" i="8"/>
  <c r="AH397" i="8"/>
  <c r="F34" i="18"/>
  <c r="AI158" i="8"/>
  <c r="AJ265" i="8"/>
  <c r="AI265" i="8"/>
  <c r="AI266" i="8"/>
  <c r="AD22" i="3"/>
  <c r="AI213" i="8"/>
  <c r="AW126" i="8"/>
  <c r="AW333" i="8"/>
  <c r="J18" i="8"/>
  <c r="AI269" i="8"/>
  <c r="AJ270" i="8" s="1"/>
  <c r="M24" i="8"/>
  <c r="BA54" i="8"/>
  <c r="BA60" i="8" s="1"/>
  <c r="I128" i="8"/>
  <c r="I129" i="8" s="1"/>
  <c r="I154" i="8" s="1"/>
  <c r="I155" i="8" s="1"/>
  <c r="Q362" i="18"/>
  <c r="O366" i="18"/>
  <c r="C99" i="2"/>
  <c r="N135" i="8"/>
  <c r="N418" i="8"/>
  <c r="O48" i="8"/>
  <c r="O64" i="8"/>
  <c r="AE128" i="8"/>
  <c r="AE129" i="8" s="1"/>
  <c r="AE154" i="8" s="1"/>
  <c r="F269" i="8"/>
  <c r="H270" i="8" s="1"/>
  <c r="F265" i="8"/>
  <c r="H265" i="8"/>
  <c r="F266" i="8"/>
  <c r="N121" i="8"/>
  <c r="N122" i="8" s="1"/>
  <c r="N314" i="8"/>
  <c r="L126" i="8"/>
  <c r="L127" i="8" s="1"/>
  <c r="L333" i="8"/>
  <c r="AG162" i="8"/>
  <c r="AJ271" i="8"/>
  <c r="AK270" i="8"/>
  <c r="AJ272" i="8"/>
  <c r="AJ219" i="8"/>
  <c r="AJ224" i="8" s="1"/>
  <c r="AJ226" i="8" s="1"/>
  <c r="G240" i="8"/>
  <c r="BB243" i="8"/>
  <c r="K121" i="8"/>
  <c r="K122" i="8" s="1"/>
  <c r="K314" i="8"/>
  <c r="BA134" i="8"/>
  <c r="BA418" i="8"/>
  <c r="M114" i="8"/>
  <c r="AL219" i="8"/>
  <c r="AL224" i="8" s="1"/>
  <c r="AL226" i="8" s="1"/>
  <c r="AL272" i="8"/>
  <c r="AL271" i="8"/>
  <c r="AL270" i="8"/>
  <c r="P64" i="8"/>
  <c r="AH271" i="8"/>
  <c r="AH270" i="8"/>
  <c r="AH272" i="8"/>
  <c r="AH219" i="8"/>
  <c r="AH224" i="8" s="1"/>
  <c r="AH226" i="8" s="1"/>
  <c r="H36" i="23"/>
  <c r="N74" i="18"/>
  <c r="K24" i="8"/>
  <c r="L30" i="8"/>
  <c r="M96" i="8"/>
  <c r="AP356" i="8"/>
  <c r="N17" i="18"/>
  <c r="N178" i="18"/>
  <c r="R264" i="8"/>
  <c r="AL124" i="18"/>
  <c r="AL185" i="18"/>
  <c r="R291" i="18"/>
  <c r="D120" i="8"/>
  <c r="D122" i="8" s="1"/>
  <c r="D314" i="8"/>
  <c r="AX125" i="8"/>
  <c r="AX127" i="8" s="1"/>
  <c r="AX333" i="8"/>
  <c r="P121" i="8"/>
  <c r="P122" i="8" s="1"/>
  <c r="P314" i="8"/>
  <c r="Q120" i="8"/>
  <c r="Q122" i="8" s="1"/>
  <c r="Q314" i="8"/>
  <c r="N126" i="8"/>
  <c r="N127" i="8" s="1"/>
  <c r="N333" i="8"/>
  <c r="O63" i="8"/>
  <c r="AT239" i="8"/>
  <c r="AT240" i="8"/>
  <c r="AT243" i="8"/>
  <c r="AO142" i="3"/>
  <c r="J44" i="18"/>
  <c r="AY34" i="8"/>
  <c r="AO423" i="8"/>
  <c r="AO418" i="8" s="1"/>
  <c r="AJ101" i="3"/>
  <c r="AJ98" i="3" s="1"/>
  <c r="N44" i="18"/>
  <c r="J24" i="8"/>
  <c r="P54" i="8"/>
  <c r="M35" i="8"/>
  <c r="AM106" i="8"/>
  <c r="AM114" i="8" s="1"/>
  <c r="BA63" i="8"/>
  <c r="AT372" i="8"/>
  <c r="Q360" i="18"/>
  <c r="O364" i="18"/>
  <c r="H121" i="8"/>
  <c r="H122" i="8" s="1"/>
  <c r="H314" i="8"/>
  <c r="AV36" i="8"/>
  <c r="S120" i="8"/>
  <c r="S122" i="8" s="1"/>
  <c r="S314" i="8"/>
  <c r="AW135" i="8"/>
  <c r="J135" i="8" s="1"/>
  <c r="AW435" i="8"/>
  <c r="P126" i="8"/>
  <c r="P127" i="8" s="1"/>
  <c r="P333" i="8"/>
  <c r="H216" i="8"/>
  <c r="H238" i="8"/>
  <c r="Z101" i="3"/>
  <c r="AE423" i="8"/>
  <c r="AZ314" i="8"/>
  <c r="J245" i="8"/>
  <c r="J425" i="8"/>
  <c r="J429" i="8" s="1"/>
  <c r="J79" i="3"/>
  <c r="J90" i="3" s="1"/>
  <c r="AL372" i="8"/>
  <c r="AF372" i="8"/>
  <c r="Z89" i="3"/>
  <c r="AG271" i="8"/>
  <c r="AG272" i="8"/>
  <c r="AG219" i="8"/>
  <c r="AG224" i="8" s="1"/>
  <c r="AG226" i="8" s="1"/>
  <c r="H133" i="8"/>
  <c r="H136" i="8" s="1"/>
  <c r="H101" i="3"/>
  <c r="H98" i="3" s="1"/>
  <c r="H423" i="8"/>
  <c r="F427" i="8"/>
  <c r="F66" i="3"/>
  <c r="F89" i="3" s="1"/>
  <c r="AM219" i="8"/>
  <c r="AM224" i="8" s="1"/>
  <c r="AM226" i="8" s="1"/>
  <c r="AN270" i="8"/>
  <c r="AM272" i="8"/>
  <c r="AM270" i="8"/>
  <c r="AM271" i="8"/>
  <c r="E62" i="2"/>
  <c r="E80" i="2" s="1"/>
  <c r="E89" i="2" s="1"/>
  <c r="L9" i="23"/>
  <c r="L10" i="23" s="1"/>
  <c r="AH467" i="18"/>
  <c r="P28" i="18"/>
  <c r="J30" i="8"/>
  <c r="AG106" i="8"/>
  <c r="AH143" i="8"/>
  <c r="AH151" i="8" s="1"/>
  <c r="AH153" i="8" s="1"/>
  <c r="J96" i="8"/>
  <c r="P65" i="8"/>
  <c r="O30" i="8"/>
  <c r="M33" i="8"/>
  <c r="AM143" i="8"/>
  <c r="AM146" i="8" s="1"/>
  <c r="BA64" i="8"/>
  <c r="I136" i="8"/>
  <c r="AL162" i="8"/>
  <c r="AI372" i="8"/>
  <c r="L314" i="8"/>
  <c r="H89" i="18"/>
  <c r="H156" i="18"/>
  <c r="H143" i="18"/>
  <c r="H154" i="18" s="1"/>
  <c r="R152" i="8"/>
  <c r="R247" i="8"/>
  <c r="E125" i="8"/>
  <c r="E127" i="8" s="1"/>
  <c r="E333" i="8"/>
  <c r="K126" i="8"/>
  <c r="K127" i="8" s="1"/>
  <c r="K333" i="8"/>
  <c r="T144" i="8"/>
  <c r="T60" i="3" s="1"/>
  <c r="AW60" i="3" s="1"/>
  <c r="K34" i="8"/>
  <c r="R126" i="8"/>
  <c r="R127" i="8" s="1"/>
  <c r="R333" i="8"/>
  <c r="T52" i="8"/>
  <c r="T46" i="8"/>
  <c r="T58" i="8"/>
  <c r="J423" i="8"/>
  <c r="J101" i="3"/>
  <c r="AP90" i="3"/>
  <c r="F52" i="4"/>
  <c r="AF142" i="3"/>
  <c r="C58" i="2"/>
  <c r="M34" i="8"/>
  <c r="T179" i="8"/>
  <c r="P361" i="18"/>
  <c r="R361" i="18" s="1"/>
  <c r="N365" i="18"/>
  <c r="P216" i="18"/>
  <c r="P215" i="18"/>
  <c r="AN215" i="18" s="1"/>
  <c r="Q215" i="18" s="1"/>
  <c r="P213" i="18"/>
  <c r="P214" i="18"/>
  <c r="AH189" i="18"/>
  <c r="AH205" i="18" s="1"/>
  <c r="AH106" i="8"/>
  <c r="AH114" i="8" s="1"/>
  <c r="J35" i="8"/>
  <c r="I36" i="8"/>
  <c r="AD356" i="8"/>
  <c r="E372" i="8"/>
  <c r="Q361" i="18"/>
  <c r="O365" i="18"/>
  <c r="N205" i="8"/>
  <c r="N266" i="8"/>
  <c r="N230" i="8"/>
  <c r="N240" i="8" s="1"/>
  <c r="N9" i="3"/>
  <c r="N10" i="27" s="1"/>
  <c r="P256" i="8"/>
  <c r="J154" i="18"/>
  <c r="H88" i="18"/>
  <c r="H224" i="18"/>
  <c r="AJ480" i="18"/>
  <c r="F63" i="2"/>
  <c r="C266" i="8"/>
  <c r="C22" i="3"/>
  <c r="C22" i="27" s="1"/>
  <c r="AO213" i="8"/>
  <c r="AO158" i="8"/>
  <c r="AO266" i="8"/>
  <c r="AJ22" i="3"/>
  <c r="AO265" i="8"/>
  <c r="C121" i="8"/>
  <c r="C122" i="8" s="1"/>
  <c r="C314" i="8"/>
  <c r="S395" i="8"/>
  <c r="T391" i="8"/>
  <c r="AU134" i="8"/>
  <c r="AU429" i="8"/>
  <c r="F89" i="18"/>
  <c r="F143" i="18"/>
  <c r="F154" i="18" s="1"/>
  <c r="F156" i="18"/>
  <c r="T245" i="8"/>
  <c r="R18" i="8"/>
  <c r="R34" i="8"/>
  <c r="R30" i="8"/>
  <c r="R33" i="8"/>
  <c r="R35" i="8"/>
  <c r="R96" i="8"/>
  <c r="R24" i="8"/>
  <c r="T16" i="8"/>
  <c r="T28" i="8"/>
  <c r="T94" i="8"/>
  <c r="T22" i="8"/>
  <c r="Q66" i="23"/>
  <c r="AQ106" i="8"/>
  <c r="AQ143" i="8"/>
  <c r="AQ219" i="8"/>
  <c r="AQ224" i="8" s="1"/>
  <c r="AQ226" i="8" s="1"/>
  <c r="AR270" i="8"/>
  <c r="AQ271" i="8"/>
  <c r="AQ272" i="8"/>
  <c r="AQ162" i="8"/>
  <c r="I193" i="18"/>
  <c r="I204" i="18"/>
  <c r="I205" i="18"/>
  <c r="H242" i="8"/>
  <c r="H218" i="8"/>
  <c r="AL146" i="8"/>
  <c r="AL151" i="8"/>
  <c r="AL153" i="8" s="1"/>
  <c r="BB234" i="8"/>
  <c r="BA235" i="8"/>
  <c r="BA234" i="8"/>
  <c r="AP21" i="18"/>
  <c r="AQ36" i="18"/>
  <c r="AZ220" i="8"/>
  <c r="AZ107" i="8" s="1"/>
  <c r="AZ224" i="8"/>
  <c r="AZ226" i="8" s="1"/>
  <c r="Y356" i="8"/>
  <c r="Z356" i="8"/>
  <c r="Y355" i="8"/>
  <c r="Y372" i="8"/>
  <c r="Y373" i="8" s="1"/>
  <c r="G220" i="8"/>
  <c r="G107" i="8" s="1"/>
  <c r="G149" i="8"/>
  <c r="G148" i="8"/>
  <c r="BA121" i="8"/>
  <c r="BA122" i="8" s="1"/>
  <c r="BA314" i="8"/>
  <c r="L205" i="18"/>
  <c r="L193" i="18"/>
  <c r="L204" i="18"/>
  <c r="AO14" i="18"/>
  <c r="AP38" i="18"/>
  <c r="AO39" i="18"/>
  <c r="AO42" i="18" s="1"/>
  <c r="AN15" i="18"/>
  <c r="AN46" i="18"/>
  <c r="AN42" i="18"/>
  <c r="AN43" i="18"/>
  <c r="AN41" i="18"/>
  <c r="H204" i="18"/>
  <c r="H193" i="18"/>
  <c r="H205" i="18"/>
  <c r="Q64" i="8"/>
  <c r="Q48" i="8"/>
  <c r="Q60" i="8"/>
  <c r="Q65" i="8"/>
  <c r="Q54" i="8"/>
  <c r="M115" i="8"/>
  <c r="M61" i="3"/>
  <c r="F238" i="8"/>
  <c r="F214" i="8"/>
  <c r="H214" i="8"/>
  <c r="C125" i="8"/>
  <c r="C127" i="8" s="1"/>
  <c r="C333" i="8"/>
  <c r="K133" i="8"/>
  <c r="K136" i="8" s="1"/>
  <c r="K418" i="8"/>
  <c r="K101" i="3"/>
  <c r="C106" i="8"/>
  <c r="C114" i="8" s="1"/>
  <c r="C143" i="8"/>
  <c r="C219" i="8"/>
  <c r="C224" i="8" s="1"/>
  <c r="C226" i="8" s="1"/>
  <c r="C271" i="8"/>
  <c r="C272" i="8"/>
  <c r="T341" i="8"/>
  <c r="P179" i="8"/>
  <c r="P180" i="8"/>
  <c r="AV356" i="8"/>
  <c r="F242" i="18"/>
  <c r="F243" i="18" s="1"/>
  <c r="F244" i="18" s="1"/>
  <c r="F245" i="18" s="1"/>
  <c r="N47" i="18"/>
  <c r="R258" i="8" s="1"/>
  <c r="N34" i="18"/>
  <c r="R255" i="8"/>
  <c r="E204" i="18"/>
  <c r="E193" i="18"/>
  <c r="E205" i="18"/>
  <c r="H185" i="18"/>
  <c r="H124" i="18"/>
  <c r="N239" i="8"/>
  <c r="F88" i="18"/>
  <c r="F224" i="18"/>
  <c r="AI480" i="18"/>
  <c r="AX65" i="8"/>
  <c r="AX63" i="8"/>
  <c r="Q63" i="8"/>
  <c r="E269" i="8"/>
  <c r="E213" i="8"/>
  <c r="E158" i="8"/>
  <c r="E265" i="8"/>
  <c r="G265" i="8"/>
  <c r="E266" i="8"/>
  <c r="E22" i="3"/>
  <c r="E22" i="27" s="1"/>
  <c r="J242" i="18"/>
  <c r="J243" i="18" s="1"/>
  <c r="J244" i="18" s="1"/>
  <c r="J245" i="18" s="1"/>
  <c r="AH298" i="18"/>
  <c r="AH293" i="18"/>
  <c r="AZ96" i="8"/>
  <c r="AZ18" i="8"/>
  <c r="AZ33" i="8"/>
  <c r="AZ35" i="8"/>
  <c r="AZ34" i="8"/>
  <c r="AZ24" i="8"/>
  <c r="AZ30" i="8" s="1"/>
  <c r="T93" i="8"/>
  <c r="T87" i="8"/>
  <c r="T81" i="8"/>
  <c r="T75" i="8"/>
  <c r="AX64" i="8"/>
  <c r="L61" i="3"/>
  <c r="O125" i="8"/>
  <c r="O127" i="8" s="1"/>
  <c r="O333" i="8"/>
  <c r="AU133" i="8"/>
  <c r="AU423" i="8"/>
  <c r="AP101" i="3"/>
  <c r="AI356" i="8"/>
  <c r="C89" i="3"/>
  <c r="C98" i="3" s="1"/>
  <c r="I470" i="18"/>
  <c r="J88" i="18"/>
  <c r="J90" i="18" s="1"/>
  <c r="N162" i="8" s="1"/>
  <c r="J224" i="18"/>
  <c r="AK480" i="18"/>
  <c r="J352" i="18"/>
  <c r="D223" i="18"/>
  <c r="D246" i="18"/>
  <c r="D247" i="18" s="1"/>
  <c r="D248" i="18" s="1"/>
  <c r="D249" i="18" s="1"/>
  <c r="P18" i="8"/>
  <c r="P34" i="8"/>
  <c r="P30" i="8"/>
  <c r="P33" i="8"/>
  <c r="P96" i="8"/>
  <c r="P24" i="8"/>
  <c r="L263" i="18"/>
  <c r="L264" i="18" s="1"/>
  <c r="L261" i="18"/>
  <c r="AY54" i="8"/>
  <c r="AY60" i="8" s="1"/>
  <c r="L133" i="8"/>
  <c r="L136" i="8" s="1"/>
  <c r="L418" i="8"/>
  <c r="L101" i="3"/>
  <c r="L98" i="3" s="1"/>
  <c r="AK423" i="8"/>
  <c r="AK418" i="8" s="1"/>
  <c r="AF101" i="3"/>
  <c r="R9" i="18"/>
  <c r="AO23" i="18"/>
  <c r="F44" i="18"/>
  <c r="AG193" i="18"/>
  <c r="AG205" i="18"/>
  <c r="AG204" i="18"/>
  <c r="E185" i="18"/>
  <c r="E124" i="18"/>
  <c r="D133" i="8"/>
  <c r="D136" i="8" s="1"/>
  <c r="D423" i="8"/>
  <c r="AZ161" i="8"/>
  <c r="AZ160" i="8"/>
  <c r="AP397" i="8"/>
  <c r="AZ235" i="8"/>
  <c r="AZ234" i="8"/>
  <c r="AM423" i="8"/>
  <c r="AM418" i="8" s="1"/>
  <c r="AH101" i="3"/>
  <c r="AH98" i="3" s="1"/>
  <c r="L185" i="18"/>
  <c r="L124" i="18"/>
  <c r="J18" i="18"/>
  <c r="J123" i="18"/>
  <c r="J184" i="18"/>
  <c r="J129" i="18" s="1"/>
  <c r="J179" i="18"/>
  <c r="J467" i="18"/>
  <c r="N269" i="8"/>
  <c r="J158" i="8"/>
  <c r="J271" i="8"/>
  <c r="J256" i="8"/>
  <c r="J205" i="8"/>
  <c r="J230" i="8"/>
  <c r="J266" i="8"/>
  <c r="J9" i="3"/>
  <c r="J10" i="27" s="1"/>
  <c r="N242" i="18"/>
  <c r="N243" i="18" s="1"/>
  <c r="N244" i="18" s="1"/>
  <c r="N245" i="18" s="1"/>
  <c r="T59" i="8"/>
  <c r="T53" i="8"/>
  <c r="T47" i="8"/>
  <c r="D185" i="18"/>
  <c r="D124" i="18"/>
  <c r="P10" i="18"/>
  <c r="P48" i="18"/>
  <c r="P47" i="18" s="1"/>
  <c r="P171" i="18"/>
  <c r="P469" i="18" s="1"/>
  <c r="P34" i="18"/>
  <c r="P27" i="18"/>
  <c r="T72" i="8"/>
  <c r="V38" i="6"/>
  <c r="AT114" i="8"/>
  <c r="AT110" i="8"/>
  <c r="AU110" i="8"/>
  <c r="AW133" i="8"/>
  <c r="AW423" i="8"/>
  <c r="AW418" i="8"/>
  <c r="AR101" i="3"/>
  <c r="AX96" i="8"/>
  <c r="AX18" i="8"/>
  <c r="AX35" i="8"/>
  <c r="AX34" i="8"/>
  <c r="AX24" i="8"/>
  <c r="AX30" i="8" s="1"/>
  <c r="AY24" i="8"/>
  <c r="AY30" i="8" s="1"/>
  <c r="AY133" i="8"/>
  <c r="AY136" i="8" s="1"/>
  <c r="AT101" i="3"/>
  <c r="AT98" i="3" s="1"/>
  <c r="AY418" i="8"/>
  <c r="N179" i="8"/>
  <c r="N180" i="8"/>
  <c r="AS356" i="8"/>
  <c r="AR355" i="8"/>
  <c r="AW90" i="3"/>
  <c r="M52" i="4"/>
  <c r="L18" i="18"/>
  <c r="AI298" i="18"/>
  <c r="AI293" i="18"/>
  <c r="N88" i="18"/>
  <c r="N90" i="18" s="1"/>
  <c r="R162" i="8" s="1"/>
  <c r="N224" i="18"/>
  <c r="AM480" i="18"/>
  <c r="BA24" i="8"/>
  <c r="BA30" i="8" s="1"/>
  <c r="BB24" i="8"/>
  <c r="BB30" i="8" s="1"/>
  <c r="BA96" i="8"/>
  <c r="BA18" i="8"/>
  <c r="BA33" i="8"/>
  <c r="BB18" i="8"/>
  <c r="BA35" i="8"/>
  <c r="BA34" i="8"/>
  <c r="O470" i="18"/>
  <c r="AG146" i="8"/>
  <c r="AG151" i="8"/>
  <c r="AG153" i="8" s="1"/>
  <c r="AN31" i="18"/>
  <c r="AN7" i="18"/>
  <c r="AN24" i="18"/>
  <c r="AN28" i="18" s="1"/>
  <c r="AY18" i="8"/>
  <c r="P35" i="8"/>
  <c r="F428" i="8"/>
  <c r="F406" i="8"/>
  <c r="AX33" i="8"/>
  <c r="AU187" i="8"/>
  <c r="AU188" i="8"/>
  <c r="AP136" i="3"/>
  <c r="I21" i="25" s="1"/>
  <c r="AH356" i="8"/>
  <c r="AW121" i="3"/>
  <c r="AW122" i="3"/>
  <c r="AW123" i="3" s="1"/>
  <c r="AO309" i="18"/>
  <c r="AP461" i="18"/>
  <c r="I185" i="18"/>
  <c r="I124" i="18"/>
  <c r="D261" i="18"/>
  <c r="D263" i="18"/>
  <c r="D264" i="18" s="1"/>
  <c r="I24" i="8"/>
  <c r="H237" i="8"/>
  <c r="H212" i="8"/>
  <c r="AZ125" i="8"/>
  <c r="AZ127" i="8" s="1"/>
  <c r="AZ333" i="8"/>
  <c r="S233" i="8"/>
  <c r="U234" i="8" s="1"/>
  <c r="AH372" i="8"/>
  <c r="D89" i="3"/>
  <c r="D98" i="3" s="1"/>
  <c r="R253" i="18"/>
  <c r="R444" i="18" s="1"/>
  <c r="AO444" i="18" s="1"/>
  <c r="AZ133" i="8"/>
  <c r="AZ136" i="8" s="1"/>
  <c r="AZ418" i="8"/>
  <c r="AU101" i="3"/>
  <c r="R133" i="8"/>
  <c r="R136" i="8" s="1"/>
  <c r="R418" i="8"/>
  <c r="R101" i="3"/>
  <c r="R98" i="3" s="1"/>
  <c r="AY239" i="8"/>
  <c r="AW199" i="8"/>
  <c r="AU198" i="8"/>
  <c r="AU199" i="8" s="1"/>
  <c r="AE193" i="18"/>
  <c r="AE205" i="18"/>
  <c r="AE204" i="18"/>
  <c r="AK146" i="8"/>
  <c r="AK151" i="8"/>
  <c r="AK153" i="8" s="1"/>
  <c r="F47" i="18"/>
  <c r="J258" i="8" s="1"/>
  <c r="J259" i="8" s="1"/>
  <c r="AF18" i="18"/>
  <c r="AF184" i="18"/>
  <c r="AF129" i="18" s="1"/>
  <c r="AF123" i="18"/>
  <c r="AF189" i="18"/>
  <c r="AF467" i="18"/>
  <c r="L242" i="18"/>
  <c r="L243" i="18" s="1"/>
  <c r="L244" i="18" s="1"/>
  <c r="L245" i="18" s="1"/>
  <c r="R24" i="18"/>
  <c r="AE129" i="18"/>
  <c r="T27" i="8"/>
  <c r="T21" i="8"/>
  <c r="T15" i="8"/>
  <c r="AW121" i="8"/>
  <c r="J121" i="8" s="1"/>
  <c r="AW314" i="8"/>
  <c r="Q125" i="8"/>
  <c r="Q127" i="8" s="1"/>
  <c r="Q333" i="8"/>
  <c r="F416" i="8"/>
  <c r="G355" i="8"/>
  <c r="T208" i="8"/>
  <c r="V209" i="8" s="1"/>
  <c r="T15" i="3"/>
  <c r="U17" i="3" s="1"/>
  <c r="AK67" i="3"/>
  <c r="AK89" i="3"/>
  <c r="G5" i="18"/>
  <c r="AJ5" i="18"/>
  <c r="S65" i="8"/>
  <c r="S54" i="8"/>
  <c r="S64" i="8"/>
  <c r="S48" i="8"/>
  <c r="S63" i="8"/>
  <c r="T42" i="8"/>
  <c r="S60" i="8"/>
  <c r="R15" i="18"/>
  <c r="R46" i="18"/>
  <c r="R41" i="18"/>
  <c r="L88" i="18"/>
  <c r="L90" i="18" s="1"/>
  <c r="P162" i="8" s="1"/>
  <c r="L224" i="18"/>
  <c r="AL480" i="18"/>
  <c r="L352" i="18"/>
  <c r="N470" i="18" s="1"/>
  <c r="AO31" i="18"/>
  <c r="AO7" i="18"/>
  <c r="O205" i="18"/>
  <c r="O193" i="18"/>
  <c r="O204" i="18"/>
  <c r="AV146" i="8"/>
  <c r="AV151" i="8"/>
  <c r="AV153" i="8" s="1"/>
  <c r="AV155" i="8" s="1"/>
  <c r="R54" i="8"/>
  <c r="Q134" i="8"/>
  <c r="Q418" i="8"/>
  <c r="S18" i="8"/>
  <c r="T12" i="8"/>
  <c r="S30" i="8"/>
  <c r="S33" i="8"/>
  <c r="S35" i="8"/>
  <c r="S96" i="8"/>
  <c r="S24" i="8"/>
  <c r="J120" i="8"/>
  <c r="AV187" i="8"/>
  <c r="AJ356" i="8"/>
  <c r="AE356" i="8"/>
  <c r="AD355" i="8"/>
  <c r="AH142" i="3"/>
  <c r="AI142" i="3"/>
  <c r="F352" i="18"/>
  <c r="H470" i="18" s="1"/>
  <c r="N30" i="8"/>
  <c r="N33" i="8"/>
  <c r="N35" i="8"/>
  <c r="N96" i="8"/>
  <c r="N24" i="8"/>
  <c r="N18" i="8"/>
  <c r="N34" i="8"/>
  <c r="R8" i="18"/>
  <c r="AO22" i="18"/>
  <c r="AW53" i="3"/>
  <c r="H143" i="8"/>
  <c r="H106" i="8"/>
  <c r="H272" i="8"/>
  <c r="H219" i="8"/>
  <c r="H224" i="8" s="1"/>
  <c r="H226" i="8" s="1"/>
  <c r="J270" i="8"/>
  <c r="H271" i="8"/>
  <c r="R120" i="8"/>
  <c r="R122" i="8" s="1"/>
  <c r="R314" i="8"/>
  <c r="R456" i="18"/>
  <c r="AN333" i="18"/>
  <c r="AN228" i="18" s="1"/>
  <c r="P473" i="18"/>
  <c r="R42" i="18"/>
  <c r="AO442" i="18"/>
  <c r="R448" i="18"/>
  <c r="Q24" i="8"/>
  <c r="AV114" i="8"/>
  <c r="AV110" i="8"/>
  <c r="AQ158" i="8"/>
  <c r="AQ213" i="8"/>
  <c r="AQ265" i="8"/>
  <c r="AR265" i="8"/>
  <c r="AQ266" i="8"/>
  <c r="AL22" i="3"/>
  <c r="J114" i="8"/>
  <c r="O24" i="8"/>
  <c r="P133" i="8"/>
  <c r="P136" i="8" s="1"/>
  <c r="P418" i="8"/>
  <c r="P101" i="3"/>
  <c r="P98" i="3" s="1"/>
  <c r="S34" i="8"/>
  <c r="E121" i="8"/>
  <c r="E122" i="8" s="1"/>
  <c r="E314" i="8"/>
  <c r="AY199" i="8"/>
  <c r="Q180" i="8"/>
  <c r="AV278" i="8"/>
  <c r="AV275" i="8"/>
  <c r="O179" i="8"/>
  <c r="O180" i="8"/>
  <c r="I220" i="8"/>
  <c r="I107" i="8" s="1"/>
  <c r="I147" i="8"/>
  <c r="I148" i="8"/>
  <c r="I149" i="8"/>
  <c r="AP37" i="18"/>
  <c r="AO13" i="18"/>
  <c r="F261" i="18"/>
  <c r="F263" i="18"/>
  <c r="F264" i="18" s="1"/>
  <c r="F285" i="18"/>
  <c r="F287" i="18" s="1"/>
  <c r="F188" i="18" s="1"/>
  <c r="F189" i="18" s="1"/>
  <c r="AN33" i="18"/>
  <c r="AN9" i="18"/>
  <c r="AJ18" i="18"/>
  <c r="AJ123" i="18"/>
  <c r="AJ184" i="18"/>
  <c r="AJ129" i="18" s="1"/>
  <c r="AJ179" i="18"/>
  <c r="AJ189" i="18"/>
  <c r="AJ467" i="18"/>
  <c r="AX269" i="8"/>
  <c r="H35" i="8"/>
  <c r="H24" i="8"/>
  <c r="H18" i="8"/>
  <c r="H34" i="8"/>
  <c r="H30" i="8"/>
  <c r="H33" i="8"/>
  <c r="AQ12" i="8"/>
  <c r="AQ231" i="8"/>
  <c r="AR231" i="8"/>
  <c r="AZ114" i="8"/>
  <c r="R179" i="8"/>
  <c r="R180" i="8"/>
  <c r="O121" i="8"/>
  <c r="O122" i="8" s="1"/>
  <c r="O314" i="8"/>
  <c r="AU356" i="8"/>
  <c r="AT355" i="8"/>
  <c r="F356" i="8"/>
  <c r="AU372" i="8"/>
  <c r="U96" i="23"/>
  <c r="Y96" i="23"/>
  <c r="L97" i="4"/>
  <c r="H102" i="23"/>
  <c r="G115" i="23"/>
  <c r="H115" i="23" s="1"/>
  <c r="I115" i="23" s="1"/>
  <c r="J115" i="23" s="1"/>
  <c r="K115" i="23" s="1"/>
  <c r="L115" i="23" s="1"/>
  <c r="M115" i="23" s="1"/>
  <c r="N115" i="23" s="1"/>
  <c r="O115" i="23" s="1"/>
  <c r="P115" i="23" s="1"/>
  <c r="Q115" i="23" s="1"/>
  <c r="R115" i="23" s="1"/>
  <c r="S115" i="23" s="1"/>
  <c r="T115" i="23" s="1"/>
  <c r="AC549" i="18"/>
  <c r="AC542" i="18"/>
  <c r="AC535" i="18"/>
  <c r="F64" i="2"/>
  <c r="B60" i="2"/>
  <c r="AC556" i="18"/>
  <c r="U180" i="8" l="1"/>
  <c r="W179" i="8"/>
  <c r="U120" i="3"/>
  <c r="V122" i="3" s="1"/>
  <c r="W170" i="8"/>
  <c r="L11" i="23"/>
  <c r="F52" i="3"/>
  <c r="H10" i="3"/>
  <c r="H11" i="27" s="1"/>
  <c r="G12" i="3"/>
  <c r="G12" i="27" s="1"/>
  <c r="F12" i="3"/>
  <c r="F12" i="27" s="1"/>
  <c r="F13" i="3"/>
  <c r="F13" i="27" s="1"/>
  <c r="BB355" i="8"/>
  <c r="H13" i="3"/>
  <c r="H13" i="27" s="1"/>
  <c r="F10" i="3"/>
  <c r="F11" i="27" s="1"/>
  <c r="U179" i="8"/>
  <c r="H37" i="25"/>
  <c r="J22" i="27"/>
  <c r="P10" i="25"/>
  <c r="AI22" i="27"/>
  <c r="O13" i="3"/>
  <c r="O13" i="27" s="1"/>
  <c r="M10" i="27"/>
  <c r="Q10" i="25"/>
  <c r="AJ22" i="27"/>
  <c r="AV13" i="3"/>
  <c r="AV13" i="27" s="1"/>
  <c r="AV12" i="27"/>
  <c r="K37" i="25"/>
  <c r="M22" i="27"/>
  <c r="S10" i="25"/>
  <c r="AL22" i="27"/>
  <c r="AJ13" i="3"/>
  <c r="AJ13" i="27" s="1"/>
  <c r="AJ12" i="27"/>
  <c r="I37" i="25"/>
  <c r="L22" i="27"/>
  <c r="AB10" i="25"/>
  <c r="AU22" i="27"/>
  <c r="AA67" i="3"/>
  <c r="AA22" i="27"/>
  <c r="J10" i="25"/>
  <c r="AC22" i="27"/>
  <c r="N37" i="25"/>
  <c r="Q22" i="27"/>
  <c r="AL13" i="3"/>
  <c r="AL13" i="27" s="1"/>
  <c r="AL12" i="27"/>
  <c r="L10" i="25"/>
  <c r="AE22" i="27"/>
  <c r="AS26" i="3"/>
  <c r="AS26" i="27" s="1"/>
  <c r="AS25" i="27"/>
  <c r="AG13" i="3"/>
  <c r="AG13" i="27" s="1"/>
  <c r="AG12" i="27"/>
  <c r="AQ26" i="3"/>
  <c r="AQ26" i="27" s="1"/>
  <c r="AQ25" i="27"/>
  <c r="AF13" i="3"/>
  <c r="AF13" i="27" s="1"/>
  <c r="AF12" i="27"/>
  <c r="I8" i="4"/>
  <c r="I9" i="4" s="1"/>
  <c r="I10" i="4" s="1"/>
  <c r="AS10" i="27"/>
  <c r="AR24" i="27"/>
  <c r="AR23" i="27"/>
  <c r="AT26" i="3"/>
  <c r="AT26" i="27" s="1"/>
  <c r="AT25" i="27"/>
  <c r="L15" i="23"/>
  <c r="AH13" i="3"/>
  <c r="AH13" i="27" s="1"/>
  <c r="AH12" i="27"/>
  <c r="AN26" i="3"/>
  <c r="AN26" i="27" s="1"/>
  <c r="AN25" i="27"/>
  <c r="BB372" i="8"/>
  <c r="BB373" i="8" s="1"/>
  <c r="AO12" i="3"/>
  <c r="AO10" i="27"/>
  <c r="AI13" i="3"/>
  <c r="AI13" i="27" s="1"/>
  <c r="AI12" i="27"/>
  <c r="Q12" i="3"/>
  <c r="Q12" i="27" s="1"/>
  <c r="P10" i="27"/>
  <c r="I10" i="25"/>
  <c r="I16" i="25" s="1"/>
  <c r="AB22" i="27"/>
  <c r="AK13" i="3"/>
  <c r="AK13" i="27" s="1"/>
  <c r="AK12" i="27"/>
  <c r="P24" i="27"/>
  <c r="P23" i="27"/>
  <c r="AT24" i="27"/>
  <c r="AT23" i="27"/>
  <c r="K10" i="25"/>
  <c r="AD22" i="27"/>
  <c r="AS24" i="27"/>
  <c r="AS23" i="27"/>
  <c r="AR26" i="3"/>
  <c r="AR26" i="27" s="1"/>
  <c r="AR25" i="27"/>
  <c r="AM13" i="3"/>
  <c r="AM13" i="27" s="1"/>
  <c r="AM12" i="27"/>
  <c r="AS27" i="3"/>
  <c r="AS27" i="27" s="1"/>
  <c r="W138" i="3"/>
  <c r="X138" i="3"/>
  <c r="T205" i="8"/>
  <c r="V206" i="8" s="1"/>
  <c r="V256" i="8"/>
  <c r="U54" i="8"/>
  <c r="V48" i="8"/>
  <c r="V60" i="8"/>
  <c r="T219" i="8"/>
  <c r="T224" i="8" s="1"/>
  <c r="T226" i="8" s="1"/>
  <c r="V270" i="8"/>
  <c r="U41" i="3"/>
  <c r="V41" i="3"/>
  <c r="U138" i="3"/>
  <c r="V141" i="3"/>
  <c r="V138" i="3"/>
  <c r="AP48" i="8"/>
  <c r="V30" i="8"/>
  <c r="V18" i="8"/>
  <c r="V179" i="8"/>
  <c r="V180" i="8"/>
  <c r="T213" i="8"/>
  <c r="V214" i="8" s="1"/>
  <c r="V265" i="8"/>
  <c r="AO54" i="8"/>
  <c r="AO60" i="8" s="1"/>
  <c r="M110" i="8"/>
  <c r="K206" i="8"/>
  <c r="J37" i="4"/>
  <c r="K272" i="8"/>
  <c r="M270" i="8"/>
  <c r="K271" i="8"/>
  <c r="K270" i="8"/>
  <c r="K219" i="8"/>
  <c r="K224" i="8" s="1"/>
  <c r="K226" i="8" s="1"/>
  <c r="K110" i="8"/>
  <c r="G124" i="18"/>
  <c r="K359" i="8"/>
  <c r="L362" i="8" s="1"/>
  <c r="K360" i="8"/>
  <c r="K363" i="8" s="1"/>
  <c r="K231" i="8"/>
  <c r="M231" i="8"/>
  <c r="G193" i="18"/>
  <c r="G197" i="18" s="1"/>
  <c r="G205" i="18"/>
  <c r="I67" i="3"/>
  <c r="G37" i="25"/>
  <c r="H8" i="24"/>
  <c r="F37" i="25"/>
  <c r="E37" i="25"/>
  <c r="Q8" i="24"/>
  <c r="Q14" i="24" s="1"/>
  <c r="J37" i="25"/>
  <c r="B37" i="25"/>
  <c r="K143" i="8"/>
  <c r="K151" i="8" s="1"/>
  <c r="K153" i="8" s="1"/>
  <c r="K268" i="8"/>
  <c r="K218" i="8" s="1"/>
  <c r="AS10" i="3"/>
  <c r="AS11" i="27" s="1"/>
  <c r="G130" i="18"/>
  <c r="AR130" i="3"/>
  <c r="AR131" i="3" s="1"/>
  <c r="J45" i="4"/>
  <c r="J22" i="4"/>
  <c r="I45" i="23"/>
  <c r="AS12" i="3"/>
  <c r="AF67" i="3"/>
  <c r="M10" i="25"/>
  <c r="M12" i="25" s="1"/>
  <c r="C67" i="3"/>
  <c r="AO22" i="3"/>
  <c r="AG67" i="3"/>
  <c r="N10" i="25"/>
  <c r="BI22" i="3"/>
  <c r="BI23" i="3" s="1"/>
  <c r="K260" i="8"/>
  <c r="AV125" i="3"/>
  <c r="AV126" i="3" s="1"/>
  <c r="AC10" i="25"/>
  <c r="K15" i="3"/>
  <c r="K18" i="3" s="1"/>
  <c r="S224" i="8"/>
  <c r="S226" i="8" s="1"/>
  <c r="K261" i="8"/>
  <c r="F45" i="23"/>
  <c r="AH67" i="3"/>
  <c r="O10" i="25"/>
  <c r="O13" i="25" s="1"/>
  <c r="I8" i="23"/>
  <c r="I9" i="23" s="1"/>
  <c r="I10" i="23" s="1"/>
  <c r="J19" i="23"/>
  <c r="J20" i="23" s="1"/>
  <c r="Z67" i="3"/>
  <c r="U141" i="3"/>
  <c r="U145" i="3" s="1"/>
  <c r="W145" i="3" s="1"/>
  <c r="T122" i="3"/>
  <c r="S122" i="3"/>
  <c r="P14" i="24"/>
  <c r="T99" i="8"/>
  <c r="U84" i="8"/>
  <c r="U231" i="8"/>
  <c r="AX122" i="3"/>
  <c r="AX123" i="3" s="1"/>
  <c r="S206" i="8"/>
  <c r="U206" i="8"/>
  <c r="S238" i="8"/>
  <c r="S355" i="8" s="1"/>
  <c r="U214" i="8"/>
  <c r="T34" i="8"/>
  <c r="U24" i="8"/>
  <c r="S61" i="3"/>
  <c r="S64" i="3" s="1"/>
  <c r="U111" i="8"/>
  <c r="T372" i="8"/>
  <c r="U356" i="8"/>
  <c r="U39" i="3"/>
  <c r="AY121" i="3"/>
  <c r="AY122" i="3"/>
  <c r="AY123" i="3" s="1"/>
  <c r="U137" i="3"/>
  <c r="U139" i="3"/>
  <c r="W120" i="3"/>
  <c r="S123" i="3"/>
  <c r="S114" i="8"/>
  <c r="U110" i="8"/>
  <c r="U121" i="3"/>
  <c r="X123" i="3"/>
  <c r="AU98" i="3"/>
  <c r="K63" i="4" s="1"/>
  <c r="AV25" i="3"/>
  <c r="U13" i="3"/>
  <c r="U13" i="27" s="1"/>
  <c r="U10" i="3"/>
  <c r="U11" i="27" s="1"/>
  <c r="U23" i="3"/>
  <c r="U26" i="3"/>
  <c r="U26" i="27" s="1"/>
  <c r="AE4" i="18"/>
  <c r="AC548" i="18"/>
  <c r="AV28" i="3"/>
  <c r="AN48" i="8"/>
  <c r="AN54" i="8"/>
  <c r="AN60" i="8" s="1"/>
  <c r="AD3" i="18"/>
  <c r="AD530" i="18" s="1"/>
  <c r="AC541" i="18"/>
  <c r="AD560" i="18"/>
  <c r="AC543" i="18"/>
  <c r="AV67" i="3"/>
  <c r="L18" i="23"/>
  <c r="L23" i="23" s="1"/>
  <c r="AC550" i="18"/>
  <c r="M23" i="3"/>
  <c r="M8" i="24"/>
  <c r="T129" i="3"/>
  <c r="S8" i="24"/>
  <c r="J67" i="3"/>
  <c r="J8" i="24"/>
  <c r="I27" i="3"/>
  <c r="I27" i="27" s="1"/>
  <c r="I8" i="24"/>
  <c r="I14" i="24" s="1"/>
  <c r="M129" i="3"/>
  <c r="L8" i="24"/>
  <c r="AC536" i="18"/>
  <c r="AC534" i="18"/>
  <c r="AC557" i="18"/>
  <c r="AC555" i="18"/>
  <c r="J36" i="23"/>
  <c r="J37" i="23" s="1"/>
  <c r="AP98" i="3"/>
  <c r="F98" i="3" s="1"/>
  <c r="AT130" i="3"/>
  <c r="D23" i="23"/>
  <c r="L18" i="4"/>
  <c r="L37" i="4" s="1"/>
  <c r="P218" i="8"/>
  <c r="AV27" i="3"/>
  <c r="AV27" i="27" s="1"/>
  <c r="AB36" i="4"/>
  <c r="BA238" i="8"/>
  <c r="BA240" i="8" s="1"/>
  <c r="J21" i="23"/>
  <c r="D45" i="23"/>
  <c r="D19" i="23"/>
  <c r="E109" i="23"/>
  <c r="S67" i="3"/>
  <c r="K355" i="8"/>
  <c r="AX48" i="8"/>
  <c r="J45" i="23"/>
  <c r="C45" i="23"/>
  <c r="C37" i="23"/>
  <c r="BA215" i="8"/>
  <c r="AS278" i="8"/>
  <c r="AS280" i="8" s="1"/>
  <c r="AO48" i="8"/>
  <c r="BB214" i="8"/>
  <c r="AS373" i="8"/>
  <c r="AQ270" i="8"/>
  <c r="AI185" i="18"/>
  <c r="AI266" i="18" s="1"/>
  <c r="O260" i="8"/>
  <c r="M260" i="8"/>
  <c r="AY66" i="8"/>
  <c r="L102" i="8"/>
  <c r="I22" i="23"/>
  <c r="F101" i="3"/>
  <c r="AW146" i="8"/>
  <c r="AW147" i="8" s="1"/>
  <c r="K204" i="18"/>
  <c r="K205" i="18"/>
  <c r="J143" i="8"/>
  <c r="J146" i="8" s="1"/>
  <c r="J149" i="8" s="1"/>
  <c r="AI418" i="8"/>
  <c r="M13" i="3"/>
  <c r="M13" i="27" s="1"/>
  <c r="I210" i="8"/>
  <c r="T272" i="8"/>
  <c r="AZ216" i="8"/>
  <c r="T22" i="3"/>
  <c r="T22" i="27" s="1"/>
  <c r="M10" i="3"/>
  <c r="M11" i="27" s="1"/>
  <c r="O10" i="3"/>
  <c r="O11" i="27" s="1"/>
  <c r="T143" i="8"/>
  <c r="T151" i="8" s="1"/>
  <c r="T153" i="8" s="1"/>
  <c r="T155" i="8" s="1"/>
  <c r="L125" i="3"/>
  <c r="L126" i="3" s="1"/>
  <c r="F124" i="18"/>
  <c r="AF106" i="8"/>
  <c r="AF114" i="8" s="1"/>
  <c r="N125" i="3"/>
  <c r="N126" i="3" s="1"/>
  <c r="O23" i="3"/>
  <c r="AZ214" i="8"/>
  <c r="F334" i="8"/>
  <c r="F342" i="8" s="1"/>
  <c r="R356" i="8"/>
  <c r="L36" i="8"/>
  <c r="L355" i="8"/>
  <c r="T106" i="8"/>
  <c r="BA214" i="8"/>
  <c r="E36" i="4"/>
  <c r="Q270" i="8"/>
  <c r="S28" i="3"/>
  <c r="L356" i="8"/>
  <c r="AP238" i="8"/>
  <c r="AP359" i="8" s="1"/>
  <c r="AE418" i="8"/>
  <c r="L218" i="8"/>
  <c r="M124" i="18"/>
  <c r="AP162" i="8"/>
  <c r="C216" i="8"/>
  <c r="P238" i="8"/>
  <c r="P239" i="8" s="1"/>
  <c r="AP272" i="8"/>
  <c r="BD53" i="3"/>
  <c r="AC36" i="4" s="1"/>
  <c r="D45" i="4"/>
  <c r="P12" i="3"/>
  <c r="P12" i="27" s="1"/>
  <c r="N142" i="3"/>
  <c r="L15" i="4"/>
  <c r="M261" i="8"/>
  <c r="AK124" i="18"/>
  <c r="D37" i="4"/>
  <c r="P27" i="3"/>
  <c r="P27" i="27" s="1"/>
  <c r="M15" i="3"/>
  <c r="C63" i="4"/>
  <c r="M206" i="8"/>
  <c r="AP219" i="8"/>
  <c r="AP224" i="8" s="1"/>
  <c r="AP226" i="8" s="1"/>
  <c r="M216" i="8"/>
  <c r="BE53" i="3"/>
  <c r="AD36" i="4" s="1"/>
  <c r="AA125" i="3"/>
  <c r="AP106" i="8"/>
  <c r="AP114" i="8" s="1"/>
  <c r="AS246" i="8"/>
  <c r="AS248" i="8" s="1"/>
  <c r="AS250" i="8" s="1"/>
  <c r="AS251" i="8" s="1"/>
  <c r="I215" i="8"/>
  <c r="AP143" i="8"/>
  <c r="AP151" i="8" s="1"/>
  <c r="AP153" i="8" s="1"/>
  <c r="AP155" i="8" s="1"/>
  <c r="G37" i="4"/>
  <c r="AA27" i="3"/>
  <c r="AA27" i="27" s="1"/>
  <c r="AL197" i="18"/>
  <c r="AL199" i="18" s="1"/>
  <c r="AL202" i="18" s="1"/>
  <c r="AZ218" i="8"/>
  <c r="P142" i="3"/>
  <c r="M149" i="8"/>
  <c r="AZ238" i="8"/>
  <c r="AZ240" i="8" s="1"/>
  <c r="N23" i="3"/>
  <c r="AM471" i="18"/>
  <c r="T158" i="8"/>
  <c r="L67" i="3"/>
  <c r="K26" i="3"/>
  <c r="K26" i="27" s="1"/>
  <c r="I23" i="3"/>
  <c r="I36" i="23"/>
  <c r="I37" i="23" s="1"/>
  <c r="I28" i="3"/>
  <c r="K185" i="18"/>
  <c r="K130" i="18" s="1"/>
  <c r="I14" i="4"/>
  <c r="BB356" i="8"/>
  <c r="I26" i="3"/>
  <c r="I26" i="27" s="1"/>
  <c r="P216" i="8"/>
  <c r="J129" i="3"/>
  <c r="L14" i="23"/>
  <c r="L36" i="23"/>
  <c r="BD98" i="3"/>
  <c r="AC63" i="23" s="1"/>
  <c r="M242" i="8"/>
  <c r="M243" i="8" s="1"/>
  <c r="M246" i="8" s="1"/>
  <c r="M248" i="8" s="1"/>
  <c r="M250" i="8" s="1"/>
  <c r="M251" i="8" s="1"/>
  <c r="AH266" i="18"/>
  <c r="G23" i="4"/>
  <c r="N26" i="3"/>
  <c r="N26" i="27" s="1"/>
  <c r="AB8" i="23"/>
  <c r="L25" i="3"/>
  <c r="L25" i="27" s="1"/>
  <c r="N129" i="3"/>
  <c r="O266" i="18"/>
  <c r="K23" i="3"/>
  <c r="S218" i="8"/>
  <c r="S242" i="8"/>
  <c r="AL155" i="8"/>
  <c r="C199" i="18"/>
  <c r="C202" i="18" s="1"/>
  <c r="S372" i="8"/>
  <c r="AZ356" i="8"/>
  <c r="BB342" i="8"/>
  <c r="S146" i="8"/>
  <c r="AK110" i="8"/>
  <c r="AJ151" i="8"/>
  <c r="AJ153" i="8" s="1"/>
  <c r="AJ155" i="8" s="1"/>
  <c r="T342" i="8"/>
  <c r="T356" i="8"/>
  <c r="D189" i="18"/>
  <c r="D193" i="18" s="1"/>
  <c r="E471" i="18" s="1"/>
  <c r="D123" i="18"/>
  <c r="J22" i="23"/>
  <c r="D467" i="18"/>
  <c r="J139" i="3"/>
  <c r="D184" i="18"/>
  <c r="D129" i="18" s="1"/>
  <c r="J14" i="23"/>
  <c r="AH155" i="8"/>
  <c r="R102" i="8"/>
  <c r="S356" i="8"/>
  <c r="C468" i="18"/>
  <c r="M66" i="8"/>
  <c r="C420" i="8"/>
  <c r="D419" i="8" s="1"/>
  <c r="D420" i="8" s="1"/>
  <c r="E419" i="8" s="1"/>
  <c r="E420" i="8" s="1"/>
  <c r="F419" i="8" s="1"/>
  <c r="AK205" i="18"/>
  <c r="F133" i="8"/>
  <c r="AI272" i="8"/>
  <c r="BA356" i="8"/>
  <c r="AG270" i="8"/>
  <c r="M125" i="3"/>
  <c r="M126" i="3" s="1"/>
  <c r="O26" i="3"/>
  <c r="O26" i="27" s="1"/>
  <c r="N25" i="3"/>
  <c r="N25" i="27" s="1"/>
  <c r="AK193" i="18"/>
  <c r="AL471" i="18" s="1"/>
  <c r="AF162" i="8"/>
  <c r="AF272" i="8"/>
  <c r="R372" i="8"/>
  <c r="M25" i="3"/>
  <c r="M25" i="27" s="1"/>
  <c r="M27" i="3"/>
  <c r="M27" i="27" s="1"/>
  <c r="Q355" i="8"/>
  <c r="AF271" i="8"/>
  <c r="Q216" i="8"/>
  <c r="AT420" i="8"/>
  <c r="AU419" i="8" s="1"/>
  <c r="AF219" i="8"/>
  <c r="AF224" i="8" s="1"/>
  <c r="AF226" i="8" s="1"/>
  <c r="Q364" i="8"/>
  <c r="Q365" i="8" s="1"/>
  <c r="R334" i="8"/>
  <c r="R342" i="8" s="1"/>
  <c r="BF53" i="3"/>
  <c r="S214" i="8"/>
  <c r="O110" i="8"/>
  <c r="Q215" i="8"/>
  <c r="Q29" i="18"/>
  <c r="M44" i="4"/>
  <c r="Q214" i="8"/>
  <c r="Q240" i="8"/>
  <c r="M26" i="3"/>
  <c r="M26" i="27" s="1"/>
  <c r="M67" i="3"/>
  <c r="AI193" i="18"/>
  <c r="AI205" i="18"/>
  <c r="AI204" i="18"/>
  <c r="H45" i="4"/>
  <c r="E128" i="8"/>
  <c r="E129" i="8" s="1"/>
  <c r="E154" i="8" s="1"/>
  <c r="AX360" i="8"/>
  <c r="AX363" i="8" s="1"/>
  <c r="AY231" i="8"/>
  <c r="AQ126" i="3"/>
  <c r="AR127" i="3" s="1"/>
  <c r="AX231" i="8"/>
  <c r="K36" i="23"/>
  <c r="H22" i="23"/>
  <c r="P356" i="8"/>
  <c r="E52" i="4"/>
  <c r="AV23" i="3"/>
  <c r="L148" i="8"/>
  <c r="AW36" i="8"/>
  <c r="I216" i="8"/>
  <c r="I214" i="8"/>
  <c r="AX355" i="8"/>
  <c r="I238" i="8"/>
  <c r="I239" i="8" s="1"/>
  <c r="Q210" i="8"/>
  <c r="AX54" i="8"/>
  <c r="AX60" i="8" s="1"/>
  <c r="AW48" i="8"/>
  <c r="E52" i="23"/>
  <c r="F36" i="23"/>
  <c r="F37" i="23" s="1"/>
  <c r="S209" i="8"/>
  <c r="AQ334" i="8"/>
  <c r="AQ342" i="8" s="1"/>
  <c r="Q233" i="8"/>
  <c r="Q235" i="8" s="1"/>
  <c r="AX240" i="8"/>
  <c r="AX234" i="8"/>
  <c r="AW141" i="3"/>
  <c r="AW142" i="3" s="1"/>
  <c r="AW137" i="3"/>
  <c r="AW138" i="3"/>
  <c r="AW139" i="3" s="1"/>
  <c r="E63" i="4"/>
  <c r="E63" i="23"/>
  <c r="AW89" i="3"/>
  <c r="AF239" i="8"/>
  <c r="AE272" i="8"/>
  <c r="K98" i="3"/>
  <c r="AW278" i="8"/>
  <c r="AW280" i="8" s="1"/>
  <c r="S270" i="8"/>
  <c r="O36" i="8"/>
  <c r="AT151" i="8"/>
  <c r="AT153" i="8" s="1"/>
  <c r="AT155" i="8" s="1"/>
  <c r="BA334" i="8"/>
  <c r="BA342" i="8" s="1"/>
  <c r="AR278" i="8"/>
  <c r="AR281" i="8" s="1"/>
  <c r="Q143" i="8"/>
  <c r="Q146" i="8" s="1"/>
  <c r="O356" i="8"/>
  <c r="G37" i="23"/>
  <c r="AK114" i="8"/>
  <c r="AR275" i="8"/>
  <c r="Q219" i="8"/>
  <c r="Q220" i="8" s="1"/>
  <c r="Q107" i="8" s="1"/>
  <c r="P208" i="8"/>
  <c r="P215" i="8" s="1"/>
  <c r="AR373" i="8"/>
  <c r="AW360" i="8"/>
  <c r="L149" i="8"/>
  <c r="S110" i="8"/>
  <c r="Q268" i="8"/>
  <c r="Q242" i="8" s="1"/>
  <c r="Q243" i="8" s="1"/>
  <c r="Q373" i="8" s="1"/>
  <c r="AW240" i="8"/>
  <c r="Q110" i="8"/>
  <c r="K36" i="8"/>
  <c r="Q271" i="8"/>
  <c r="AW373" i="8"/>
  <c r="I45" i="4"/>
  <c r="Q272" i="8"/>
  <c r="N102" i="8"/>
  <c r="P261" i="8"/>
  <c r="M355" i="8"/>
  <c r="AW355" i="8"/>
  <c r="AH146" i="8"/>
  <c r="AH147" i="8" s="1"/>
  <c r="AW224" i="8"/>
  <c r="AW226" i="8" s="1"/>
  <c r="O209" i="8"/>
  <c r="AN110" i="8"/>
  <c r="T261" i="8"/>
  <c r="M204" i="18"/>
  <c r="AD207" i="18"/>
  <c r="AF243" i="8"/>
  <c r="AF373" i="8" s="1"/>
  <c r="AQ90" i="3"/>
  <c r="G52" i="4"/>
  <c r="P28" i="3"/>
  <c r="Q17" i="3"/>
  <c r="O215" i="8"/>
  <c r="M193" i="18"/>
  <c r="M197" i="18" s="1"/>
  <c r="AK293" i="18"/>
  <c r="AK296" i="18" s="1"/>
  <c r="AY356" i="8"/>
  <c r="AF214" i="8"/>
  <c r="Q356" i="8"/>
  <c r="AF355" i="8"/>
  <c r="R129" i="3"/>
  <c r="S26" i="3"/>
  <c r="S26" i="27" s="1"/>
  <c r="Q27" i="3"/>
  <c r="Q27" i="27" s="1"/>
  <c r="Q26" i="3"/>
  <c r="Q26" i="27" s="1"/>
  <c r="Q25" i="3"/>
  <c r="Q25" i="27" s="1"/>
  <c r="S23" i="3"/>
  <c r="Q125" i="3"/>
  <c r="Q23" i="3"/>
  <c r="Q28" i="3"/>
  <c r="AN155" i="8"/>
  <c r="M356" i="8"/>
  <c r="AX239" i="8"/>
  <c r="AL293" i="18"/>
  <c r="AL296" i="18" s="1"/>
  <c r="AU355" i="8"/>
  <c r="AY372" i="8"/>
  <c r="M372" i="8"/>
  <c r="AV239" i="8"/>
  <c r="AD468" i="18"/>
  <c r="L128" i="8"/>
  <c r="L129" i="8" s="1"/>
  <c r="L154" i="8" s="1"/>
  <c r="L155" i="8" s="1"/>
  <c r="AX356" i="8"/>
  <c r="T266" i="8"/>
  <c r="P260" i="8"/>
  <c r="AE240" i="8"/>
  <c r="P19" i="3"/>
  <c r="AU239" i="8"/>
  <c r="Q67" i="3"/>
  <c r="Q175" i="18"/>
  <c r="Q177" i="18"/>
  <c r="AZ128" i="8"/>
  <c r="AZ129" i="8" s="1"/>
  <c r="AZ154" i="8" s="1"/>
  <c r="AZ155" i="8" s="1"/>
  <c r="AY355" i="8"/>
  <c r="AW246" i="8"/>
  <c r="AW248" i="8" s="1"/>
  <c r="AW250" i="8" s="1"/>
  <c r="AW251" i="8" s="1"/>
  <c r="AU240" i="8"/>
  <c r="AX334" i="8"/>
  <c r="AX342" i="8" s="1"/>
  <c r="AW356" i="8"/>
  <c r="AF240" i="8"/>
  <c r="Q469" i="18"/>
  <c r="O220" i="8"/>
  <c r="O107" i="8" s="1"/>
  <c r="AW239" i="8"/>
  <c r="AX128" i="8"/>
  <c r="AX129" i="8" s="1"/>
  <c r="AX154" i="8" s="1"/>
  <c r="AI270" i="8"/>
  <c r="J98" i="3"/>
  <c r="AO219" i="8"/>
  <c r="AO224" i="8" s="1"/>
  <c r="AO226" i="8" s="1"/>
  <c r="J19" i="4"/>
  <c r="J20" i="4" s="1"/>
  <c r="AH110" i="8"/>
  <c r="BA110" i="8"/>
  <c r="O218" i="8"/>
  <c r="AN146" i="8"/>
  <c r="AN220" i="8" s="1"/>
  <c r="S210" i="8"/>
  <c r="H356" i="8"/>
  <c r="AR98" i="3"/>
  <c r="H63" i="4" s="1"/>
  <c r="K334" i="8"/>
  <c r="K342" i="8" s="1"/>
  <c r="H372" i="8"/>
  <c r="Q209" i="8"/>
  <c r="O233" i="8"/>
  <c r="O235" i="8" s="1"/>
  <c r="AV98" i="3"/>
  <c r="AU151" i="8"/>
  <c r="AU153" i="8" s="1"/>
  <c r="AU155" i="8" s="1"/>
  <c r="S216" i="8"/>
  <c r="N208" i="8"/>
  <c r="N215" i="8" s="1"/>
  <c r="O243" i="8"/>
  <c r="O275" i="8" s="1"/>
  <c r="O148" i="8"/>
  <c r="O149" i="8"/>
  <c r="AP10" i="3"/>
  <c r="AP11" i="27" s="1"/>
  <c r="AG293" i="18"/>
  <c r="AG299" i="18" s="1"/>
  <c r="AI219" i="8"/>
  <c r="AI224" i="8" s="1"/>
  <c r="AI226" i="8" s="1"/>
  <c r="BF9" i="3"/>
  <c r="I19" i="4"/>
  <c r="I20" i="4" s="1"/>
  <c r="H23" i="23"/>
  <c r="T271" i="8"/>
  <c r="AL48" i="8"/>
  <c r="BA242" i="8"/>
  <c r="AI106" i="8"/>
  <c r="AJ110" i="8" s="1"/>
  <c r="N136" i="8"/>
  <c r="G45" i="23"/>
  <c r="AM48" i="8"/>
  <c r="AM110" i="8"/>
  <c r="AM54" i="8"/>
  <c r="AM60" i="8" s="1"/>
  <c r="AI143" i="8"/>
  <c r="AI151" i="8" s="1"/>
  <c r="AI153" i="8" s="1"/>
  <c r="AI155" i="8" s="1"/>
  <c r="BA128" i="8"/>
  <c r="BA129" i="8" s="1"/>
  <c r="BA154" i="8" s="1"/>
  <c r="H37" i="4"/>
  <c r="R66" i="8"/>
  <c r="AG155" i="8"/>
  <c r="AI162" i="8"/>
  <c r="H19" i="4"/>
  <c r="AU373" i="8"/>
  <c r="AI271" i="8"/>
  <c r="E136" i="8"/>
  <c r="J334" i="8"/>
  <c r="J342" i="8" s="1"/>
  <c r="H22" i="4"/>
  <c r="J102" i="8"/>
  <c r="O147" i="8"/>
  <c r="J362" i="8"/>
  <c r="J348" i="8"/>
  <c r="J354" i="8" s="1"/>
  <c r="AE219" i="8"/>
  <c r="AE224" i="8" s="1"/>
  <c r="AE226" i="8" s="1"/>
  <c r="AP12" i="3"/>
  <c r="BE9" i="3"/>
  <c r="AD8" i="23" s="1"/>
  <c r="D334" i="8"/>
  <c r="D342" i="8" s="1"/>
  <c r="H19" i="23"/>
  <c r="G19" i="23"/>
  <c r="AE143" i="8"/>
  <c r="AE106" i="8"/>
  <c r="AE114" i="8" s="1"/>
  <c r="AG114" i="8"/>
  <c r="D128" i="8"/>
  <c r="D129" i="8" s="1"/>
  <c r="D154" i="8" s="1"/>
  <c r="AO52" i="3"/>
  <c r="AZ66" i="8"/>
  <c r="S10" i="3"/>
  <c r="S11" i="27" s="1"/>
  <c r="S13" i="3"/>
  <c r="S13" i="27" s="1"/>
  <c r="S19" i="3"/>
  <c r="S27" i="3"/>
  <c r="S27" i="27" s="1"/>
  <c r="Q136" i="8"/>
  <c r="F90" i="18"/>
  <c r="J162" i="8" s="1"/>
  <c r="N355" i="8"/>
  <c r="P29" i="18"/>
  <c r="N356" i="8"/>
  <c r="BD9" i="3"/>
  <c r="AC8" i="23" s="1"/>
  <c r="I21" i="23"/>
  <c r="E8" i="23"/>
  <c r="E9" i="23" s="1"/>
  <c r="S359" i="8"/>
  <c r="T362" i="8" s="1"/>
  <c r="T230" i="8"/>
  <c r="V231" i="8" s="1"/>
  <c r="S231" i="8"/>
  <c r="AO10" i="3"/>
  <c r="AO11" i="27" s="1"/>
  <c r="N372" i="8"/>
  <c r="I19" i="23"/>
  <c r="I20" i="23" s="1"/>
  <c r="P66" i="8"/>
  <c r="H128" i="8"/>
  <c r="H129" i="8" s="1"/>
  <c r="H154" i="8" s="1"/>
  <c r="BA136" i="8"/>
  <c r="T9" i="3"/>
  <c r="T10" i="27" s="1"/>
  <c r="AM207" i="18"/>
  <c r="N256" i="8"/>
  <c r="AF270" i="8"/>
  <c r="H37" i="23"/>
  <c r="AQ418" i="8"/>
  <c r="AE359" i="8"/>
  <c r="AE243" i="8"/>
  <c r="F23" i="23"/>
  <c r="E8" i="4"/>
  <c r="F9" i="4" s="1"/>
  <c r="O239" i="8"/>
  <c r="Q98" i="3"/>
  <c r="Q142" i="3"/>
  <c r="AE216" i="8"/>
  <c r="P149" i="8"/>
  <c r="P148" i="8"/>
  <c r="F429" i="8"/>
  <c r="F134" i="8" s="1"/>
  <c r="O334" i="8"/>
  <c r="O342" i="8" s="1"/>
  <c r="N15" i="3"/>
  <c r="P18" i="3" s="1"/>
  <c r="L115" i="8"/>
  <c r="N261" i="8"/>
  <c r="AU125" i="3"/>
  <c r="AU28" i="3"/>
  <c r="AU25" i="3"/>
  <c r="K18" i="4"/>
  <c r="AU23" i="3"/>
  <c r="AU67" i="3"/>
  <c r="K18" i="23"/>
  <c r="AZ270" i="8"/>
  <c r="AY272" i="8"/>
  <c r="AY143" i="8"/>
  <c r="AY268" i="8"/>
  <c r="AY106" i="8"/>
  <c r="AY219" i="8"/>
  <c r="AN238" i="8"/>
  <c r="AN216" i="8"/>
  <c r="AL110" i="8"/>
  <c r="AI125" i="3"/>
  <c r="AI67" i="3"/>
  <c r="AI27" i="3"/>
  <c r="AI27" i="27" s="1"/>
  <c r="AX235" i="8"/>
  <c r="AU27" i="3"/>
  <c r="AU27" i="27" s="1"/>
  <c r="N66" i="8"/>
  <c r="AE36" i="4"/>
  <c r="R128" i="8"/>
  <c r="R129" i="8" s="1"/>
  <c r="R154" i="8" s="1"/>
  <c r="AF98" i="3"/>
  <c r="AX206" i="8"/>
  <c r="AX216" i="8"/>
  <c r="N360" i="8"/>
  <c r="N363" i="8" s="1"/>
  <c r="P292" i="18"/>
  <c r="BA66" i="8"/>
  <c r="I21" i="4"/>
  <c r="Q128" i="8"/>
  <c r="Q129" i="8" s="1"/>
  <c r="Q154" i="8" s="1"/>
  <c r="J36" i="8"/>
  <c r="AC125" i="3"/>
  <c r="AC67" i="3"/>
  <c r="AC27" i="3"/>
  <c r="AC27" i="27" s="1"/>
  <c r="BA151" i="8"/>
  <c r="BA153" i="8" s="1"/>
  <c r="BA146" i="8"/>
  <c r="AO24" i="18"/>
  <c r="AO26" i="18" s="1"/>
  <c r="AU136" i="8"/>
  <c r="AU139" i="8" s="1"/>
  <c r="C128" i="8"/>
  <c r="C129" i="8" s="1"/>
  <c r="C154" i="8" s="1"/>
  <c r="AH216" i="8"/>
  <c r="AH238" i="8"/>
  <c r="AL238" i="8"/>
  <c r="AL216" i="8"/>
  <c r="F418" i="8"/>
  <c r="M36" i="8"/>
  <c r="AG125" i="3"/>
  <c r="AG27" i="3"/>
  <c r="AG27" i="27" s="1"/>
  <c r="AM130" i="18"/>
  <c r="AM266" i="18"/>
  <c r="J14" i="4"/>
  <c r="K14" i="4"/>
  <c r="BA220" i="8"/>
  <c r="BA107" i="8" s="1"/>
  <c r="BA111" i="8" s="1"/>
  <c r="BA224" i="8"/>
  <c r="BA226" i="8" s="1"/>
  <c r="L373" i="8"/>
  <c r="B98" i="2"/>
  <c r="I125" i="3"/>
  <c r="H125" i="3"/>
  <c r="H130" i="3" s="1"/>
  <c r="I129" i="3"/>
  <c r="H27" i="3"/>
  <c r="H27" i="27" s="1"/>
  <c r="I25" i="3"/>
  <c r="I25" i="27" s="1"/>
  <c r="H25" i="3"/>
  <c r="H25" i="27" s="1"/>
  <c r="H67" i="3"/>
  <c r="C37" i="4"/>
  <c r="C23" i="4"/>
  <c r="C45" i="4"/>
  <c r="D19" i="4"/>
  <c r="J226" i="8"/>
  <c r="D63" i="23"/>
  <c r="D63" i="4"/>
  <c r="D27" i="3"/>
  <c r="D27" i="27" s="1"/>
  <c r="D125" i="3"/>
  <c r="J238" i="8"/>
  <c r="J360" i="8" s="1"/>
  <c r="L214" i="8"/>
  <c r="H90" i="18"/>
  <c r="L162" i="8" s="1"/>
  <c r="AP270" i="8"/>
  <c r="I37" i="4"/>
  <c r="D219" i="8"/>
  <c r="D224" i="8" s="1"/>
  <c r="D226" i="8" s="1"/>
  <c r="D271" i="8"/>
  <c r="D272" i="8"/>
  <c r="D106" i="8"/>
  <c r="D114" i="8" s="1"/>
  <c r="D143" i="8"/>
  <c r="AM238" i="8"/>
  <c r="AN214" i="8"/>
  <c r="AM216" i="8"/>
  <c r="AM214" i="8"/>
  <c r="AZ334" i="8"/>
  <c r="AZ342" i="8" s="1"/>
  <c r="J214" i="8"/>
  <c r="J152" i="8"/>
  <c r="J247" i="8"/>
  <c r="AY359" i="8"/>
  <c r="AZ362" i="8" s="1"/>
  <c r="AY360" i="8"/>
  <c r="AY240" i="8"/>
  <c r="AY235" i="8"/>
  <c r="P130" i="3"/>
  <c r="P126" i="3"/>
  <c r="Z125" i="3"/>
  <c r="Z23" i="3"/>
  <c r="Z23" i="27" s="1"/>
  <c r="AA23" i="3"/>
  <c r="AA23" i="27" s="1"/>
  <c r="AA28" i="3"/>
  <c r="Z27" i="3"/>
  <c r="Z27" i="27" s="1"/>
  <c r="F23" i="4"/>
  <c r="G19" i="4"/>
  <c r="AY216" i="8"/>
  <c r="AY210" i="8"/>
  <c r="AY206" i="8"/>
  <c r="AF125" i="3"/>
  <c r="AG23" i="3"/>
  <c r="AG23" i="27" s="1"/>
  <c r="AG25" i="3"/>
  <c r="AG28" i="3"/>
  <c r="AF27" i="3"/>
  <c r="AF27" i="27" s="1"/>
  <c r="O126" i="3"/>
  <c r="O130" i="3"/>
  <c r="E334" i="8"/>
  <c r="E342" i="8" s="1"/>
  <c r="AK155" i="8"/>
  <c r="N334" i="8"/>
  <c r="N342" i="8" s="1"/>
  <c r="AK216" i="8"/>
  <c r="AK238" i="8"/>
  <c r="AL214" i="8"/>
  <c r="AM151" i="8"/>
  <c r="AM153" i="8" s="1"/>
  <c r="AM155" i="8" s="1"/>
  <c r="AO272" i="8"/>
  <c r="AH27" i="3"/>
  <c r="AH27" i="27" s="1"/>
  <c r="AH28" i="3"/>
  <c r="AI23" i="3"/>
  <c r="AI23" i="27" s="1"/>
  <c r="AH125" i="3"/>
  <c r="AH25" i="3"/>
  <c r="AI28" i="3"/>
  <c r="AI25" i="3"/>
  <c r="AH23" i="3"/>
  <c r="AH23" i="27" s="1"/>
  <c r="J8" i="4"/>
  <c r="K11" i="4" s="1"/>
  <c r="AU12" i="3"/>
  <c r="AU10" i="3"/>
  <c r="AU11" i="27" s="1"/>
  <c r="AT12" i="3"/>
  <c r="J8" i="23"/>
  <c r="AT10" i="3"/>
  <c r="AT11" i="27" s="1"/>
  <c r="AT27" i="3"/>
  <c r="AT27" i="27" s="1"/>
  <c r="K129" i="3"/>
  <c r="K25" i="3"/>
  <c r="K25" i="27" s="1"/>
  <c r="J25" i="3"/>
  <c r="J25" i="27" s="1"/>
  <c r="J125" i="3"/>
  <c r="L26" i="3"/>
  <c r="L26" i="27" s="1"/>
  <c r="L23" i="3"/>
  <c r="J26" i="3"/>
  <c r="J26" i="27" s="1"/>
  <c r="J23" i="3"/>
  <c r="K125" i="3"/>
  <c r="AO270" i="8"/>
  <c r="AZ206" i="8"/>
  <c r="F37" i="4"/>
  <c r="AW122" i="8"/>
  <c r="D67" i="3"/>
  <c r="L334" i="8"/>
  <c r="L342" i="8" s="1"/>
  <c r="AO162" i="8"/>
  <c r="O66" i="8"/>
  <c r="O240" i="8"/>
  <c r="AP130" i="3"/>
  <c r="AQ131" i="3" s="1"/>
  <c r="AP126" i="3"/>
  <c r="M360" i="8"/>
  <c r="M239" i="8"/>
  <c r="M240" i="8"/>
  <c r="AZ231" i="8"/>
  <c r="J122" i="8"/>
  <c r="B99" i="2"/>
  <c r="P128" i="8"/>
  <c r="P129" i="8" s="1"/>
  <c r="P154" i="8" s="1"/>
  <c r="P155" i="8" s="1"/>
  <c r="Q239" i="8"/>
  <c r="M334" i="8"/>
  <c r="M342" i="8" s="1"/>
  <c r="AF354" i="18"/>
  <c r="AF355" i="18" s="1"/>
  <c r="AE357" i="18"/>
  <c r="BB363" i="8"/>
  <c r="BB364" i="8"/>
  <c r="AV142" i="3"/>
  <c r="I22" i="4"/>
  <c r="J21" i="4"/>
  <c r="D139" i="8"/>
  <c r="E138" i="8" s="1"/>
  <c r="AT373" i="8"/>
  <c r="D240" i="8"/>
  <c r="D355" i="8"/>
  <c r="D243" i="8"/>
  <c r="AB23" i="3"/>
  <c r="AB23" i="27" s="1"/>
  <c r="AC23" i="3"/>
  <c r="AC23" i="27" s="1"/>
  <c r="AB125" i="3"/>
  <c r="AB28" i="3"/>
  <c r="AB67" i="3"/>
  <c r="AB27" i="3"/>
  <c r="AB27" i="27" s="1"/>
  <c r="AC28" i="3"/>
  <c r="K128" i="8"/>
  <c r="K129" i="8" s="1"/>
  <c r="K154" i="8" s="1"/>
  <c r="M128" i="8"/>
  <c r="M129" i="8" s="1"/>
  <c r="M154" i="8" s="1"/>
  <c r="M155" i="8" s="1"/>
  <c r="L205" i="8"/>
  <c r="L216" i="8" s="1"/>
  <c r="L9" i="3"/>
  <c r="L271" i="8"/>
  <c r="L158" i="8"/>
  <c r="L230" i="8"/>
  <c r="L231" i="8" s="1"/>
  <c r="L266" i="8"/>
  <c r="L114" i="8"/>
  <c r="K15" i="4"/>
  <c r="L9" i="4"/>
  <c r="L10" i="4" s="1"/>
  <c r="AH204" i="18"/>
  <c r="Q334" i="8"/>
  <c r="Q342" i="8" s="1"/>
  <c r="AM293" i="18"/>
  <c r="AM299" i="18" s="1"/>
  <c r="AO473" i="18"/>
  <c r="AO387" i="18"/>
  <c r="P102" i="8"/>
  <c r="F231" i="8"/>
  <c r="H231" i="8"/>
  <c r="AS159" i="8"/>
  <c r="AS149" i="8"/>
  <c r="AS220" i="8"/>
  <c r="AS107" i="8" s="1"/>
  <c r="AS148" i="8"/>
  <c r="L11" i="4"/>
  <c r="AS126" i="3"/>
  <c r="AS130" i="3"/>
  <c r="AJ216" i="8"/>
  <c r="AJ238" i="8"/>
  <c r="AK214" i="8"/>
  <c r="AG216" i="8"/>
  <c r="AG214" i="8"/>
  <c r="AG238" i="8"/>
  <c r="AH214" i="8"/>
  <c r="F206" i="8"/>
  <c r="H206" i="8"/>
  <c r="L259" i="8"/>
  <c r="L260" i="8" s="1"/>
  <c r="AH193" i="18"/>
  <c r="AH468" i="18" s="1"/>
  <c r="AO143" i="8"/>
  <c r="AO106" i="8"/>
  <c r="AE27" i="3"/>
  <c r="AE27" i="27" s="1"/>
  <c r="AE125" i="3"/>
  <c r="AF25" i="3"/>
  <c r="AF28" i="3"/>
  <c r="AE67" i="3"/>
  <c r="AF23" i="3"/>
  <c r="AF23" i="27" s="1"/>
  <c r="BB22" i="3"/>
  <c r="K141" i="3"/>
  <c r="M142" i="3" s="1"/>
  <c r="L139" i="3"/>
  <c r="K138" i="3"/>
  <c r="L137" i="3"/>
  <c r="R259" i="8"/>
  <c r="T260" i="8" s="1"/>
  <c r="C334" i="8"/>
  <c r="C342" i="8" s="1"/>
  <c r="O360" i="8"/>
  <c r="O363" i="8" s="1"/>
  <c r="O355" i="8"/>
  <c r="P61" i="3"/>
  <c r="P115" i="8"/>
  <c r="G83" i="2"/>
  <c r="G84" i="2" s="1"/>
  <c r="G65" i="2"/>
  <c r="G67" i="2" s="1"/>
  <c r="H68" i="2" s="1"/>
  <c r="C79" i="2"/>
  <c r="C103" i="2"/>
  <c r="C61" i="2"/>
  <c r="AJ25" i="3"/>
  <c r="AJ28" i="3"/>
  <c r="AJ125" i="3"/>
  <c r="AK28" i="3"/>
  <c r="AJ67" i="3"/>
  <c r="BC22" i="3"/>
  <c r="AK25" i="3"/>
  <c r="AJ27" i="3"/>
  <c r="AJ27" i="27" s="1"/>
  <c r="AK23" i="3"/>
  <c r="AK23" i="27" s="1"/>
  <c r="AJ23" i="3"/>
  <c r="AJ23" i="27" s="1"/>
  <c r="H240" i="8"/>
  <c r="H355" i="8"/>
  <c r="AU149" i="8"/>
  <c r="AU220" i="8"/>
  <c r="AU107" i="8" s="1"/>
  <c r="AU148" i="8"/>
  <c r="AU159" i="8"/>
  <c r="R213" i="8"/>
  <c r="T265" i="8"/>
  <c r="R265" i="8"/>
  <c r="R22" i="3"/>
  <c r="B58" i="2"/>
  <c r="Y56" i="2"/>
  <c r="H36" i="8"/>
  <c r="S36" i="8"/>
  <c r="Z98" i="3"/>
  <c r="AT275" i="8"/>
  <c r="AT278" i="8"/>
  <c r="AT246" i="8"/>
  <c r="AT248" i="8" s="1"/>
  <c r="AT250" i="8" s="1"/>
  <c r="AT251" i="8" s="1"/>
  <c r="AU275" i="8"/>
  <c r="AU278" i="8"/>
  <c r="AV279" i="8" s="1"/>
  <c r="AU246" i="8"/>
  <c r="AU248" i="8" s="1"/>
  <c r="AU250" i="8" s="1"/>
  <c r="AU251" i="8" s="1"/>
  <c r="R269" i="8"/>
  <c r="R271" i="8" s="1"/>
  <c r="N467" i="18"/>
  <c r="N189" i="18"/>
  <c r="N18" i="18"/>
  <c r="N123" i="18"/>
  <c r="N179" i="18"/>
  <c r="N184" i="18"/>
  <c r="N129" i="18" s="1"/>
  <c r="N128" i="8"/>
  <c r="N129" i="8" s="1"/>
  <c r="N154" i="8" s="1"/>
  <c r="J126" i="8"/>
  <c r="J127" i="8" s="1"/>
  <c r="AW127" i="8"/>
  <c r="AR61" i="3"/>
  <c r="AW115" i="8"/>
  <c r="AY128" i="8"/>
  <c r="AY129" i="8" s="1"/>
  <c r="AY154" i="8" s="1"/>
  <c r="I63" i="4"/>
  <c r="I63" i="23"/>
  <c r="H223" i="18"/>
  <c r="H246" i="18"/>
  <c r="H247" i="18" s="1"/>
  <c r="H248" i="18" s="1"/>
  <c r="H249" i="18" s="1"/>
  <c r="P36" i="8"/>
  <c r="AU418" i="8"/>
  <c r="AZ36" i="8"/>
  <c r="AJ214" i="8"/>
  <c r="AI216" i="8"/>
  <c r="AI238" i="8"/>
  <c r="AI214" i="8"/>
  <c r="H334" i="8"/>
  <c r="H342" i="8" s="1"/>
  <c r="S397" i="8"/>
  <c r="T395" i="8"/>
  <c r="AO214" i="8"/>
  <c r="AO238" i="8"/>
  <c r="AO216" i="8"/>
  <c r="AP214" i="8"/>
  <c r="AN214" i="18"/>
  <c r="Q214" i="18"/>
  <c r="L278" i="8"/>
  <c r="L275" i="8"/>
  <c r="AD208" i="18"/>
  <c r="AD202" i="18"/>
  <c r="AD23" i="3"/>
  <c r="AD23" i="27" s="1"/>
  <c r="AE23" i="3"/>
  <c r="AE23" i="27" s="1"/>
  <c r="AE28" i="3"/>
  <c r="AD67" i="3"/>
  <c r="AD125" i="3"/>
  <c r="AD27" i="3"/>
  <c r="AD27" i="27" s="1"/>
  <c r="AD28" i="3"/>
  <c r="AY334" i="8"/>
  <c r="AY342" i="8" s="1"/>
  <c r="I68" i="2"/>
  <c r="AW334" i="8"/>
  <c r="AW342" i="8" s="1"/>
  <c r="T33" i="8"/>
  <c r="C27" i="3"/>
  <c r="C27" i="27" s="1"/>
  <c r="D25" i="3"/>
  <c r="D25" i="27" s="1"/>
  <c r="C125" i="3"/>
  <c r="N12" i="3"/>
  <c r="N12" i="27" s="1"/>
  <c r="P13" i="3"/>
  <c r="P13" i="27" s="1"/>
  <c r="N27" i="3"/>
  <c r="N27" i="27" s="1"/>
  <c r="O12" i="3"/>
  <c r="O12" i="27" s="1"/>
  <c r="P10" i="3"/>
  <c r="P11" i="27" s="1"/>
  <c r="Q213" i="18"/>
  <c r="AN213" i="18"/>
  <c r="P232" i="18"/>
  <c r="S334" i="8"/>
  <c r="S342" i="8" s="1"/>
  <c r="H85" i="2"/>
  <c r="H90" i="2"/>
  <c r="P206" i="8"/>
  <c r="N216" i="8"/>
  <c r="AF151" i="8"/>
  <c r="AF153" i="8" s="1"/>
  <c r="AF155" i="8" s="1"/>
  <c r="AF146" i="8"/>
  <c r="BA36" i="8"/>
  <c r="H243" i="8"/>
  <c r="H278" i="8" s="1"/>
  <c r="AO215" i="18"/>
  <c r="AP215" i="18" s="1"/>
  <c r="AQ215" i="18" s="1"/>
  <c r="AR215" i="18" s="1"/>
  <c r="R215" i="18"/>
  <c r="E63" i="2"/>
  <c r="BB275" i="8"/>
  <c r="BB246" i="8"/>
  <c r="BB248" i="8" s="1"/>
  <c r="BB250" i="8" s="1"/>
  <c r="BB251" i="8" s="1"/>
  <c r="BB278" i="8"/>
  <c r="BC279" i="8" s="1"/>
  <c r="F219" i="8"/>
  <c r="F224" i="8" s="1"/>
  <c r="F226" i="8" s="1"/>
  <c r="F270" i="8"/>
  <c r="F271" i="8"/>
  <c r="F272" i="8"/>
  <c r="S128" i="8"/>
  <c r="S129" i="8" s="1"/>
  <c r="S154" i="8" s="1"/>
  <c r="S155" i="8" s="1"/>
  <c r="G281" i="8"/>
  <c r="G280" i="8"/>
  <c r="G75" i="3"/>
  <c r="G77" i="3" s="1"/>
  <c r="G159" i="8"/>
  <c r="D62" i="2"/>
  <c r="D80" i="2" s="1"/>
  <c r="D89" i="2" s="1"/>
  <c r="R44" i="18"/>
  <c r="Q66" i="8"/>
  <c r="N359" i="8"/>
  <c r="O362" i="8" s="1"/>
  <c r="P231" i="8"/>
  <c r="Q216" i="18"/>
  <c r="AN216" i="18"/>
  <c r="AN292" i="18" s="1"/>
  <c r="C57" i="2"/>
  <c r="P334" i="8"/>
  <c r="P342" i="8" s="1"/>
  <c r="L246" i="8"/>
  <c r="L248" i="8" s="1"/>
  <c r="L250" i="8" s="1"/>
  <c r="L251" i="8" s="1"/>
  <c r="AL130" i="18"/>
  <c r="AL266" i="18"/>
  <c r="AY36" i="8"/>
  <c r="AJ298" i="18"/>
  <c r="AJ293" i="18"/>
  <c r="AJ299" i="18" s="1"/>
  <c r="E114" i="3"/>
  <c r="T97" i="4"/>
  <c r="K210" i="8"/>
  <c r="K233" i="8"/>
  <c r="K215" i="8"/>
  <c r="K209" i="8"/>
  <c r="AC101" i="3"/>
  <c r="AC98" i="3" s="1"/>
  <c r="AH423" i="8"/>
  <c r="AH418" i="8" s="1"/>
  <c r="AR220" i="8"/>
  <c r="AR107" i="8" s="1"/>
  <c r="AS147" i="8"/>
  <c r="AR159" i="8"/>
  <c r="AR148" i="8"/>
  <c r="AR149" i="8"/>
  <c r="Q36" i="8"/>
  <c r="AJ204" i="18"/>
  <c r="AJ193" i="18"/>
  <c r="AJ205" i="18"/>
  <c r="AL25" i="3"/>
  <c r="AL27" i="3"/>
  <c r="AL27" i="27" s="1"/>
  <c r="AL23" i="3"/>
  <c r="AL23" i="27" s="1"/>
  <c r="AL28" i="3"/>
  <c r="AL67" i="3"/>
  <c r="AM28" i="3"/>
  <c r="AL125" i="3"/>
  <c r="AM25" i="3"/>
  <c r="AM23" i="3"/>
  <c r="AM23" i="27" s="1"/>
  <c r="AN473" i="18"/>
  <c r="AN387" i="18"/>
  <c r="AM202" i="18"/>
  <c r="AM208" i="18"/>
  <c r="AO46" i="18"/>
  <c r="AO15" i="18"/>
  <c r="AO41" i="18"/>
  <c r="L223" i="18"/>
  <c r="L246" i="18"/>
  <c r="L247" i="18" s="1"/>
  <c r="L248" i="18" s="1"/>
  <c r="L249" i="18" s="1"/>
  <c r="I130" i="18"/>
  <c r="I266" i="18"/>
  <c r="AM220" i="8"/>
  <c r="AM147" i="8"/>
  <c r="AM149" i="8"/>
  <c r="AM148" i="8"/>
  <c r="AX219" i="8"/>
  <c r="AX106" i="8"/>
  <c r="AX143" i="8"/>
  <c r="AX270" i="8"/>
  <c r="AX272" i="8"/>
  <c r="AX268" i="8"/>
  <c r="AY270" i="8"/>
  <c r="AX271" i="8"/>
  <c r="AP22" i="18"/>
  <c r="AQ37" i="18"/>
  <c r="AK147" i="8"/>
  <c r="AK149" i="8"/>
  <c r="AK220" i="8"/>
  <c r="AK148" i="8"/>
  <c r="AQ461" i="18"/>
  <c r="AP309" i="18"/>
  <c r="AP23" i="18"/>
  <c r="AQ38" i="18"/>
  <c r="I197" i="18"/>
  <c r="I468" i="18"/>
  <c r="AK130" i="18"/>
  <c r="AK266" i="18"/>
  <c r="T17" i="3"/>
  <c r="E130" i="18"/>
  <c r="E266" i="18"/>
  <c r="C146" i="8"/>
  <c r="C151" i="8"/>
  <c r="C153" i="8" s="1"/>
  <c r="AL220" i="8"/>
  <c r="AL147" i="8"/>
  <c r="AL149" i="8"/>
  <c r="AL148" i="8"/>
  <c r="AO448" i="18"/>
  <c r="AO456" i="18"/>
  <c r="AO8" i="18"/>
  <c r="AO32" i="18"/>
  <c r="F470" i="18"/>
  <c r="G470" i="18"/>
  <c r="R34" i="18"/>
  <c r="R171" i="18"/>
  <c r="R469" i="18" s="1"/>
  <c r="R10" i="18"/>
  <c r="R48" i="18"/>
  <c r="R47" i="18" s="1"/>
  <c r="R26" i="18"/>
  <c r="F246" i="18"/>
  <c r="F247" i="18" s="1"/>
  <c r="F248" i="18" s="1"/>
  <c r="F249" i="18" s="1"/>
  <c r="F223" i="18"/>
  <c r="M54" i="3"/>
  <c r="M64" i="3"/>
  <c r="AO43" i="18"/>
  <c r="R66" i="23"/>
  <c r="AH299" i="18"/>
  <c r="AH296" i="18"/>
  <c r="E238" i="8"/>
  <c r="E214" i="8"/>
  <c r="G214" i="8"/>
  <c r="E216" i="8"/>
  <c r="T54" i="8"/>
  <c r="T64" i="8"/>
  <c r="T48" i="8"/>
  <c r="T60" i="8"/>
  <c r="T63" i="8"/>
  <c r="T65" i="8"/>
  <c r="AG197" i="18"/>
  <c r="AG468" i="18"/>
  <c r="E106" i="8"/>
  <c r="E143" i="8"/>
  <c r="G270" i="8"/>
  <c r="E219" i="8"/>
  <c r="E224" i="8" s="1"/>
  <c r="E226" i="8" s="1"/>
  <c r="E271" i="8"/>
  <c r="E272" i="8"/>
  <c r="E270" i="8"/>
  <c r="L197" i="18"/>
  <c r="G115" i="8"/>
  <c r="G61" i="3"/>
  <c r="H130" i="18"/>
  <c r="H266" i="18"/>
  <c r="AV281" i="8"/>
  <c r="AV280" i="8"/>
  <c r="AQ75" i="3"/>
  <c r="AV220" i="8"/>
  <c r="AV107" i="8" s="1"/>
  <c r="AV159" i="8"/>
  <c r="AV147" i="8"/>
  <c r="AV148" i="8"/>
  <c r="AV149" i="8"/>
  <c r="S66" i="8"/>
  <c r="AN10" i="18"/>
  <c r="AN48" i="18"/>
  <c r="AN47" i="18" s="1"/>
  <c r="AN34" i="18"/>
  <c r="AN27" i="18"/>
  <c r="N223" i="18"/>
  <c r="N246" i="18"/>
  <c r="N247" i="18" s="1"/>
  <c r="N248" i="18" s="1"/>
  <c r="N249" i="18" s="1"/>
  <c r="N106" i="8"/>
  <c r="N219" i="8"/>
  <c r="N143" i="8"/>
  <c r="N271" i="8"/>
  <c r="N270" i="8"/>
  <c r="N268" i="8"/>
  <c r="P270" i="8"/>
  <c r="N272" i="8"/>
  <c r="AF193" i="18"/>
  <c r="AE471" i="18" s="1"/>
  <c r="AF205" i="18"/>
  <c r="AF204" i="18"/>
  <c r="AJ220" i="8"/>
  <c r="AJ149" i="8"/>
  <c r="AJ148" i="8"/>
  <c r="AO33" i="18"/>
  <c r="AO9" i="18"/>
  <c r="O128" i="8"/>
  <c r="O129" i="8" s="1"/>
  <c r="O154" i="8" s="1"/>
  <c r="O155" i="8" s="1"/>
  <c r="AJ185" i="18"/>
  <c r="AJ124" i="18"/>
  <c r="AV199" i="8"/>
  <c r="AN26" i="18"/>
  <c r="P177" i="18"/>
  <c r="AN177" i="18" s="1"/>
  <c r="P175" i="18"/>
  <c r="P174" i="18" s="1"/>
  <c r="P239" i="18"/>
  <c r="P424" i="18"/>
  <c r="P425" i="18"/>
  <c r="P439" i="18"/>
  <c r="AN171" i="18"/>
  <c r="Q424" i="18"/>
  <c r="Q425" i="18"/>
  <c r="Q439" i="18"/>
  <c r="J204" i="18"/>
  <c r="J193" i="18"/>
  <c r="J205" i="18"/>
  <c r="R28" i="18"/>
  <c r="L468" i="18"/>
  <c r="E197" i="18"/>
  <c r="E468" i="18"/>
  <c r="AR36" i="18"/>
  <c r="AQ21" i="18"/>
  <c r="T100" i="8"/>
  <c r="T101" i="8"/>
  <c r="T90" i="8"/>
  <c r="T78" i="8"/>
  <c r="T84" i="8"/>
  <c r="T96" i="8"/>
  <c r="R27" i="18"/>
  <c r="M210" i="8"/>
  <c r="M233" i="8"/>
  <c r="M215" i="8"/>
  <c r="M209" i="8"/>
  <c r="I111" i="8"/>
  <c r="I115" i="8"/>
  <c r="I61" i="3"/>
  <c r="T97" i="23"/>
  <c r="AQ42" i="8"/>
  <c r="AQ24" i="8"/>
  <c r="AQ30" i="8" s="1"/>
  <c r="AR24" i="8"/>
  <c r="AR30" i="8" s="1"/>
  <c r="AQ18" i="8"/>
  <c r="AR18" i="8"/>
  <c r="AP442" i="18"/>
  <c r="O197" i="18"/>
  <c r="O468" i="18"/>
  <c r="Q128" i="18"/>
  <c r="Q322" i="18"/>
  <c r="K197" i="18"/>
  <c r="AL477" i="18"/>
  <c r="T233" i="8"/>
  <c r="V234" i="8" s="1"/>
  <c r="S235" i="8"/>
  <c r="M130" i="18"/>
  <c r="M266" i="18"/>
  <c r="J27" i="3"/>
  <c r="J27" i="27" s="1"/>
  <c r="J10" i="3"/>
  <c r="J11" i="27" s="1"/>
  <c r="J13" i="3"/>
  <c r="J13" i="27" s="1"/>
  <c r="J52" i="3"/>
  <c r="J12" i="3"/>
  <c r="J12" i="27" s="1"/>
  <c r="K12" i="3"/>
  <c r="K12" i="27" s="1"/>
  <c r="J185" i="18"/>
  <c r="J124" i="18"/>
  <c r="AX66" i="8"/>
  <c r="AW66" i="8" s="1"/>
  <c r="AV66" i="8" s="1"/>
  <c r="AU66" i="8" s="1"/>
  <c r="AT66" i="8" s="1"/>
  <c r="AS66" i="8" s="1"/>
  <c r="AR66" i="8" s="1"/>
  <c r="AQ66" i="8" s="1"/>
  <c r="AP66" i="8" s="1"/>
  <c r="AO66" i="8" s="1"/>
  <c r="AN66" i="8" s="1"/>
  <c r="AM66" i="8" s="1"/>
  <c r="AL66" i="8" s="1"/>
  <c r="AP7" i="18"/>
  <c r="L54" i="3"/>
  <c r="L64" i="3"/>
  <c r="R158" i="8"/>
  <c r="R256" i="8"/>
  <c r="T256" i="8"/>
  <c r="R205" i="8"/>
  <c r="R9" i="3"/>
  <c r="R10" i="27" s="1"/>
  <c r="R230" i="8"/>
  <c r="R266" i="8"/>
  <c r="AP39" i="18"/>
  <c r="AP42" i="18" s="1"/>
  <c r="R36" i="8"/>
  <c r="AG220" i="8"/>
  <c r="AG148" i="8"/>
  <c r="AG149" i="8"/>
  <c r="AI299" i="18"/>
  <c r="J133" i="8"/>
  <c r="J136" i="8" s="1"/>
  <c r="AW136" i="8"/>
  <c r="AW139" i="8" s="1"/>
  <c r="AX138" i="8" s="1"/>
  <c r="AX139" i="8" s="1"/>
  <c r="AY138" i="8" s="1"/>
  <c r="AY139" i="8" s="1"/>
  <c r="AZ138" i="8" s="1"/>
  <c r="AZ139" i="8" s="1"/>
  <c r="BA138" i="8" s="1"/>
  <c r="AP423" i="8"/>
  <c r="AP418" i="8" s="1"/>
  <c r="AK101" i="3"/>
  <c r="AK98" i="3" s="1"/>
  <c r="AN44" i="18"/>
  <c r="H146" i="8"/>
  <c r="H151" i="8"/>
  <c r="H153" i="8" s="1"/>
  <c r="T24" i="8"/>
  <c r="T18" i="8"/>
  <c r="T30" i="8"/>
  <c r="T35" i="8"/>
  <c r="H5" i="18"/>
  <c r="J231" i="8"/>
  <c r="J359" i="8"/>
  <c r="K362" i="8" s="1"/>
  <c r="AT220" i="8"/>
  <c r="AT107" i="8" s="1"/>
  <c r="AT148" i="8"/>
  <c r="AT159" i="8"/>
  <c r="AT147" i="8"/>
  <c r="AU147" i="8"/>
  <c r="AT149" i="8"/>
  <c r="H239" i="8"/>
  <c r="F240" i="8"/>
  <c r="F239" i="8"/>
  <c r="F243" i="8"/>
  <c r="F355" i="8"/>
  <c r="AZ115" i="8"/>
  <c r="AU61" i="3"/>
  <c r="C240" i="8"/>
  <c r="C355" i="8"/>
  <c r="C243" i="8"/>
  <c r="AQ146" i="8"/>
  <c r="AQ151" i="8"/>
  <c r="AQ153" i="8" s="1"/>
  <c r="I5" i="18"/>
  <c r="J5" i="18" s="1"/>
  <c r="AK5" i="18"/>
  <c r="J63" i="4"/>
  <c r="J63" i="23"/>
  <c r="J216" i="8"/>
  <c r="J206" i="8"/>
  <c r="J470" i="18"/>
  <c r="K470" i="18"/>
  <c r="H197" i="18"/>
  <c r="H468" i="18"/>
  <c r="S38" i="6"/>
  <c r="AQ114" i="8"/>
  <c r="AR110" i="8"/>
  <c r="H114" i="8"/>
  <c r="J110" i="8"/>
  <c r="N36" i="8"/>
  <c r="F204" i="18"/>
  <c r="F193" i="18"/>
  <c r="F205" i="18"/>
  <c r="AQ238" i="8"/>
  <c r="AQ216" i="8"/>
  <c r="AQ214" i="8"/>
  <c r="AR214" i="8"/>
  <c r="M36" i="4"/>
  <c r="M36" i="23"/>
  <c r="L470" i="18"/>
  <c r="M470" i="18"/>
  <c r="AE197" i="18"/>
  <c r="AD471" i="18"/>
  <c r="AE468" i="18"/>
  <c r="AX36" i="8"/>
  <c r="L130" i="18"/>
  <c r="L266" i="18"/>
  <c r="F130" i="18"/>
  <c r="F266" i="18"/>
  <c r="J208" i="8"/>
  <c r="J261" i="8"/>
  <c r="J15" i="3"/>
  <c r="AO255" i="18"/>
  <c r="AO253" i="18"/>
  <c r="AP138" i="3"/>
  <c r="AP139" i="3" s="1"/>
  <c r="F139" i="3" s="1"/>
  <c r="F136" i="3"/>
  <c r="AP137" i="3"/>
  <c r="F137" i="3" s="1"/>
  <c r="AQ141" i="3"/>
  <c r="AQ137" i="3"/>
  <c r="AQ138" i="3"/>
  <c r="AQ139" i="3" s="1"/>
  <c r="AP141" i="3"/>
  <c r="AP142" i="3" s="1"/>
  <c r="D130" i="18"/>
  <c r="D266" i="18"/>
  <c r="J223" i="18"/>
  <c r="J246" i="18"/>
  <c r="J247" i="18" s="1"/>
  <c r="J248" i="18" s="1"/>
  <c r="J249" i="18" s="1"/>
  <c r="G23" i="3"/>
  <c r="G23" i="27" s="1"/>
  <c r="E26" i="3"/>
  <c r="E26" i="27" s="1"/>
  <c r="F22" i="3"/>
  <c r="F22" i="27" s="1"/>
  <c r="E27" i="3"/>
  <c r="E27" i="27" s="1"/>
  <c r="E25" i="3"/>
  <c r="E25" i="27" s="1"/>
  <c r="E67" i="3"/>
  <c r="E23" i="3"/>
  <c r="E23" i="27" s="1"/>
  <c r="F129" i="3"/>
  <c r="E125" i="3"/>
  <c r="G26" i="3"/>
  <c r="G26" i="27" s="1"/>
  <c r="E64" i="2"/>
  <c r="AD549" i="18"/>
  <c r="AD542" i="18"/>
  <c r="AD535" i="18"/>
  <c r="AD556" i="18"/>
  <c r="U123" i="3" l="1"/>
  <c r="U122" i="3"/>
  <c r="I23" i="4"/>
  <c r="T210" i="8"/>
  <c r="I11" i="4"/>
  <c r="I15" i="4"/>
  <c r="AP13" i="3"/>
  <c r="AP13" i="27" s="1"/>
  <c r="AP12" i="27"/>
  <c r="I24" i="27"/>
  <c r="I23" i="27"/>
  <c r="U24" i="27"/>
  <c r="U23" i="27"/>
  <c r="AL26" i="3"/>
  <c r="AL26" i="27" s="1"/>
  <c r="AL25" i="27"/>
  <c r="AT13" i="3"/>
  <c r="AT13" i="27" s="1"/>
  <c r="AT12" i="27"/>
  <c r="AV26" i="3"/>
  <c r="AV26" i="27" s="1"/>
  <c r="AV25" i="27"/>
  <c r="AG26" i="3"/>
  <c r="AG26" i="27" s="1"/>
  <c r="AG25" i="27"/>
  <c r="N24" i="27"/>
  <c r="N23" i="27"/>
  <c r="AU13" i="3"/>
  <c r="AU13" i="27" s="1"/>
  <c r="AU12" i="27"/>
  <c r="AV24" i="27"/>
  <c r="AV23" i="27"/>
  <c r="AU26" i="3"/>
  <c r="AU26" i="27" s="1"/>
  <c r="AU25" i="27"/>
  <c r="AI26" i="3"/>
  <c r="AI26" i="27" s="1"/>
  <c r="AI25" i="27"/>
  <c r="AO13" i="3"/>
  <c r="AO13" i="27" s="1"/>
  <c r="AO12" i="27"/>
  <c r="P37" i="25"/>
  <c r="R22" i="27"/>
  <c r="AH26" i="3"/>
  <c r="AH26" i="27" s="1"/>
  <c r="AH25" i="27"/>
  <c r="AU24" i="27"/>
  <c r="AU23" i="27"/>
  <c r="M24" i="27"/>
  <c r="M23" i="27"/>
  <c r="AK26" i="3"/>
  <c r="AK26" i="27" s="1"/>
  <c r="AK25" i="27"/>
  <c r="V10" i="25"/>
  <c r="AO22" i="27"/>
  <c r="K24" i="27"/>
  <c r="K23" i="27"/>
  <c r="AJ26" i="3"/>
  <c r="AJ26" i="27" s="1"/>
  <c r="AJ25" i="27"/>
  <c r="O24" i="27"/>
  <c r="O23" i="27"/>
  <c r="Q24" i="27"/>
  <c r="Q23" i="27"/>
  <c r="N13" i="3"/>
  <c r="N13" i="27" s="1"/>
  <c r="L10" i="27"/>
  <c r="S24" i="27"/>
  <c r="S23" i="27"/>
  <c r="AF26" i="3"/>
  <c r="AF26" i="27" s="1"/>
  <c r="AF25" i="27"/>
  <c r="AM26" i="3"/>
  <c r="AM26" i="27" s="1"/>
  <c r="AM25" i="27"/>
  <c r="AS13" i="3"/>
  <c r="AS13" i="27" s="1"/>
  <c r="AS12" i="27"/>
  <c r="J24" i="27"/>
  <c r="J23" i="27"/>
  <c r="L24" i="27"/>
  <c r="L23" i="27"/>
  <c r="K220" i="8"/>
  <c r="K107" i="8" s="1"/>
  <c r="K111" i="8" s="1"/>
  <c r="T215" i="8"/>
  <c r="T220" i="8"/>
  <c r="T107" i="8" s="1"/>
  <c r="V111" i="8" s="1"/>
  <c r="V142" i="3"/>
  <c r="V145" i="3"/>
  <c r="X145" i="3" s="1"/>
  <c r="T114" i="8"/>
  <c r="V110" i="8"/>
  <c r="V13" i="3"/>
  <c r="V13" i="27" s="1"/>
  <c r="V10" i="3"/>
  <c r="V11" i="27" s="1"/>
  <c r="R37" i="25"/>
  <c r="V26" i="3"/>
  <c r="V26" i="27" s="1"/>
  <c r="V23" i="3"/>
  <c r="K364" i="8"/>
  <c r="K365" i="8" s="1"/>
  <c r="AX136" i="3"/>
  <c r="AX137" i="3" s="1"/>
  <c r="H471" i="18"/>
  <c r="K63" i="23"/>
  <c r="G468" i="18"/>
  <c r="I471" i="18"/>
  <c r="AV130" i="3"/>
  <c r="I23" i="23"/>
  <c r="K146" i="8"/>
  <c r="K149" i="8" s="1"/>
  <c r="K242" i="8"/>
  <c r="K243" i="8" s="1"/>
  <c r="K275" i="8" s="1"/>
  <c r="W141" i="3"/>
  <c r="J14" i="24"/>
  <c r="T28" i="3"/>
  <c r="F8" i="24"/>
  <c r="H14" i="24" s="1"/>
  <c r="D37" i="25"/>
  <c r="AE560" i="18"/>
  <c r="Q37" i="25"/>
  <c r="S14" i="24"/>
  <c r="C37" i="25"/>
  <c r="S240" i="8"/>
  <c r="S239" i="8"/>
  <c r="O37" i="25"/>
  <c r="I11" i="23"/>
  <c r="U142" i="3"/>
  <c r="K16" i="3"/>
  <c r="K19" i="3"/>
  <c r="I15" i="23"/>
  <c r="M16" i="3"/>
  <c r="AF4" i="18"/>
  <c r="AE3" i="18"/>
  <c r="AE530" i="18" s="1"/>
  <c r="Y12" i="25"/>
  <c r="K28" i="3"/>
  <c r="W123" i="3"/>
  <c r="W122" i="3"/>
  <c r="U25" i="3"/>
  <c r="U25" i="27" s="1"/>
  <c r="BK22" i="3"/>
  <c r="U62" i="3"/>
  <c r="S54" i="3"/>
  <c r="U239" i="8"/>
  <c r="T238" i="8"/>
  <c r="S360" i="8"/>
  <c r="BA243" i="8"/>
  <c r="BA278" i="8" s="1"/>
  <c r="R8" i="24"/>
  <c r="R14" i="24" s="1"/>
  <c r="BJ22" i="3"/>
  <c r="BJ23" i="3" s="1"/>
  <c r="X122" i="3"/>
  <c r="AD534" i="18"/>
  <c r="AD541" i="18"/>
  <c r="AD550" i="18"/>
  <c r="T12" i="3"/>
  <c r="T12" i="27" s="1"/>
  <c r="U12" i="3"/>
  <c r="U12" i="27" s="1"/>
  <c r="S148" i="8"/>
  <c r="U147" i="8"/>
  <c r="BA355" i="8"/>
  <c r="AD536" i="18"/>
  <c r="P240" i="8"/>
  <c r="F63" i="23"/>
  <c r="F63" i="4"/>
  <c r="AD543" i="18"/>
  <c r="L45" i="23"/>
  <c r="L22" i="23"/>
  <c r="L37" i="23"/>
  <c r="L23" i="4"/>
  <c r="K14" i="24"/>
  <c r="AD557" i="18"/>
  <c r="AD555" i="18"/>
  <c r="AD548" i="18"/>
  <c r="L45" i="4"/>
  <c r="L22" i="4"/>
  <c r="AW159" i="8"/>
  <c r="AW160" i="8" s="1"/>
  <c r="AC63" i="4"/>
  <c r="BA360" i="8"/>
  <c r="BA363" i="8" s="1"/>
  <c r="BB239" i="8"/>
  <c r="U129" i="3"/>
  <c r="T8" i="24"/>
  <c r="J151" i="8"/>
  <c r="J153" i="8" s="1"/>
  <c r="L14" i="24"/>
  <c r="N14" i="24"/>
  <c r="L21" i="4"/>
  <c r="M14" i="24"/>
  <c r="O14" i="24"/>
  <c r="AW149" i="8"/>
  <c r="O16" i="3"/>
  <c r="K239" i="8"/>
  <c r="AS281" i="8"/>
  <c r="O18" i="3"/>
  <c r="M28" i="3"/>
  <c r="AI296" i="18"/>
  <c r="AG110" i="8"/>
  <c r="AZ360" i="8"/>
  <c r="AZ364" i="8" s="1"/>
  <c r="AZ243" i="8"/>
  <c r="AZ373" i="8" s="1"/>
  <c r="O373" i="8"/>
  <c r="M19" i="3"/>
  <c r="AW148" i="8"/>
  <c r="M18" i="3"/>
  <c r="AN75" i="3"/>
  <c r="AN77" i="3" s="1"/>
  <c r="P360" i="8"/>
  <c r="P364" i="8" s="1"/>
  <c r="M130" i="3"/>
  <c r="O131" i="3" s="1"/>
  <c r="J220" i="8"/>
  <c r="J107" i="8" s="1"/>
  <c r="J115" i="8" s="1"/>
  <c r="N17" i="3"/>
  <c r="N233" i="8"/>
  <c r="N235" i="8" s="1"/>
  <c r="AI130" i="18"/>
  <c r="T25" i="3"/>
  <c r="T25" i="27" s="1"/>
  <c r="P16" i="3"/>
  <c r="L130" i="3"/>
  <c r="J148" i="8"/>
  <c r="AW22" i="3"/>
  <c r="AW22" i="27" s="1"/>
  <c r="AK471" i="18"/>
  <c r="T146" i="8"/>
  <c r="T125" i="3"/>
  <c r="AW125" i="3" s="1"/>
  <c r="T67" i="3"/>
  <c r="N127" i="3"/>
  <c r="AZ239" i="8"/>
  <c r="BA239" i="8"/>
  <c r="AK468" i="18"/>
  <c r="P355" i="8"/>
  <c r="L147" i="8"/>
  <c r="N130" i="3"/>
  <c r="P131" i="3" s="1"/>
  <c r="AW281" i="8"/>
  <c r="AP240" i="8"/>
  <c r="D204" i="18"/>
  <c r="D205" i="18"/>
  <c r="AP243" i="8"/>
  <c r="AP246" i="8" s="1"/>
  <c r="AP248" i="8" s="1"/>
  <c r="AP250" i="8" s="1"/>
  <c r="AP251" i="8" s="1"/>
  <c r="AD36" i="23"/>
  <c r="AP355" i="8"/>
  <c r="Q151" i="8"/>
  <c r="Q153" i="8" s="1"/>
  <c r="Q155" i="8" s="1"/>
  <c r="AQ110" i="8"/>
  <c r="AW279" i="8"/>
  <c r="J130" i="3"/>
  <c r="AC36" i="23"/>
  <c r="AR75" i="3"/>
  <c r="AR77" i="3" s="1"/>
  <c r="AP239" i="8"/>
  <c r="AL208" i="18"/>
  <c r="P243" i="8"/>
  <c r="P278" i="8" s="1"/>
  <c r="AP146" i="8"/>
  <c r="AP220" i="8" s="1"/>
  <c r="AP107" i="8" s="1"/>
  <c r="AP115" i="8" s="1"/>
  <c r="AZ355" i="8"/>
  <c r="AL207" i="18"/>
  <c r="M275" i="8"/>
  <c r="Q224" i="8"/>
  <c r="Q226" i="8" s="1"/>
  <c r="AU420" i="8"/>
  <c r="AV419" i="8" s="1"/>
  <c r="AV420" i="8" s="1"/>
  <c r="AW419" i="8" s="1"/>
  <c r="AW420" i="8" s="1"/>
  <c r="AX419" i="8" s="1"/>
  <c r="AX420" i="8" s="1"/>
  <c r="AY419" i="8" s="1"/>
  <c r="AY420" i="8" s="1"/>
  <c r="AZ419" i="8" s="1"/>
  <c r="AZ420" i="8" s="1"/>
  <c r="BA419" i="8" s="1"/>
  <c r="BA420" i="8" s="1"/>
  <c r="BB419" i="8" s="1"/>
  <c r="BB420" i="8" s="1"/>
  <c r="BC419" i="8" s="1"/>
  <c r="BC420" i="8" s="1"/>
  <c r="K266" i="18"/>
  <c r="AE36" i="23"/>
  <c r="AK299" i="18"/>
  <c r="AG296" i="18"/>
  <c r="AH148" i="8"/>
  <c r="AO10" i="18"/>
  <c r="AH149" i="8"/>
  <c r="AH220" i="8"/>
  <c r="AH107" i="8" s="1"/>
  <c r="H155" i="8"/>
  <c r="P127" i="3"/>
  <c r="F136" i="8"/>
  <c r="F139" i="8" s="1"/>
  <c r="G138" i="8" s="1"/>
  <c r="G139" i="8" s="1"/>
  <c r="H138" i="8" s="1"/>
  <c r="H139" i="8" s="1"/>
  <c r="I138" i="8" s="1"/>
  <c r="I139" i="8" s="1"/>
  <c r="J138" i="8" s="1"/>
  <c r="J139" i="8" s="1"/>
  <c r="K138" i="8" s="1"/>
  <c r="K139" i="8" s="1"/>
  <c r="L138" i="8" s="1"/>
  <c r="L139" i="8" s="1"/>
  <c r="M138" i="8" s="1"/>
  <c r="M139" i="8" s="1"/>
  <c r="N138" i="8" s="1"/>
  <c r="N139" i="8" s="1"/>
  <c r="O138" i="8" s="1"/>
  <c r="O139" i="8" s="1"/>
  <c r="P138" i="8" s="1"/>
  <c r="P139" i="8" s="1"/>
  <c r="Q138" i="8" s="1"/>
  <c r="Q139" i="8" s="1"/>
  <c r="R138" i="8" s="1"/>
  <c r="R139" i="8" s="1"/>
  <c r="S138" i="8" s="1"/>
  <c r="AO48" i="18"/>
  <c r="AO47" i="18" s="1"/>
  <c r="AO28" i="18"/>
  <c r="AO27" i="18"/>
  <c r="C208" i="18"/>
  <c r="AL299" i="18"/>
  <c r="AO34" i="18"/>
  <c r="S149" i="8"/>
  <c r="S243" i="8"/>
  <c r="T242" i="8"/>
  <c r="N210" i="8"/>
  <c r="AK197" i="18"/>
  <c r="AK207" i="18" s="1"/>
  <c r="AK477" i="18"/>
  <c r="BA298" i="8"/>
  <c r="AI146" i="8"/>
  <c r="AI220" i="8" s="1"/>
  <c r="AC8" i="4"/>
  <c r="I243" i="8"/>
  <c r="I373" i="8" s="1"/>
  <c r="I355" i="8"/>
  <c r="AF278" i="8"/>
  <c r="AF280" i="8" s="1"/>
  <c r="AR280" i="8"/>
  <c r="I240" i="8"/>
  <c r="I360" i="8"/>
  <c r="AS279" i="8"/>
  <c r="AM75" i="3"/>
  <c r="AX364" i="8"/>
  <c r="AX365" i="8" s="1"/>
  <c r="S234" i="8"/>
  <c r="R261" i="8"/>
  <c r="C155" i="8"/>
  <c r="P209" i="8"/>
  <c r="O234" i="8"/>
  <c r="P210" i="8"/>
  <c r="F9" i="23"/>
  <c r="M278" i="8"/>
  <c r="M373" i="8"/>
  <c r="P233" i="8"/>
  <c r="P235" i="8" s="1"/>
  <c r="AI197" i="18"/>
  <c r="AI468" i="18"/>
  <c r="J239" i="8"/>
  <c r="Q218" i="8"/>
  <c r="O61" i="3"/>
  <c r="O111" i="8"/>
  <c r="O115" i="8"/>
  <c r="Q126" i="3"/>
  <c r="Q127" i="3" s="1"/>
  <c r="Q130" i="3"/>
  <c r="Q131" i="3" s="1"/>
  <c r="E9" i="4"/>
  <c r="AH197" i="18"/>
  <c r="AH199" i="18" s="1"/>
  <c r="L206" i="8"/>
  <c r="M468" i="18"/>
  <c r="Q174" i="18"/>
  <c r="Q118" i="18" s="1"/>
  <c r="Q17" i="18"/>
  <c r="Q178" i="18"/>
  <c r="M471" i="18"/>
  <c r="H63" i="23"/>
  <c r="AD8" i="4"/>
  <c r="AI471" i="18"/>
  <c r="AF275" i="8"/>
  <c r="AF246" i="8"/>
  <c r="AF248" i="8" s="1"/>
  <c r="AF250" i="8" s="1"/>
  <c r="AF251" i="8" s="1"/>
  <c r="AH471" i="18"/>
  <c r="Q234" i="8"/>
  <c r="O17" i="3"/>
  <c r="K9" i="4"/>
  <c r="K10" i="4" s="1"/>
  <c r="AF110" i="8"/>
  <c r="T216" i="8"/>
  <c r="O246" i="8"/>
  <c r="O248" i="8" s="1"/>
  <c r="O250" i="8" s="1"/>
  <c r="O251" i="8" s="1"/>
  <c r="O278" i="8"/>
  <c r="AN148" i="8"/>
  <c r="N28" i="3"/>
  <c r="T19" i="3"/>
  <c r="T27" i="3"/>
  <c r="T27" i="27" s="1"/>
  <c r="AN149" i="8"/>
  <c r="N19" i="3"/>
  <c r="K23" i="4"/>
  <c r="AN147" i="8"/>
  <c r="E139" i="8"/>
  <c r="L63" i="23"/>
  <c r="AE63" i="23" s="1"/>
  <c r="L63" i="4"/>
  <c r="AE63" i="4" s="1"/>
  <c r="N364" i="8"/>
  <c r="N365" i="8" s="1"/>
  <c r="F420" i="8"/>
  <c r="G419" i="8" s="1"/>
  <c r="G420" i="8" s="1"/>
  <c r="H419" i="8" s="1"/>
  <c r="H420" i="8" s="1"/>
  <c r="I419" i="8" s="1"/>
  <c r="I420" i="8" s="1"/>
  <c r="J419" i="8" s="1"/>
  <c r="J420" i="8" s="1"/>
  <c r="K419" i="8" s="1"/>
  <c r="K420" i="8" s="1"/>
  <c r="L419" i="8" s="1"/>
  <c r="L420" i="8" s="1"/>
  <c r="M419" i="8" s="1"/>
  <c r="M420" i="8" s="1"/>
  <c r="N419" i="8" s="1"/>
  <c r="N420" i="8" s="1"/>
  <c r="O419" i="8" s="1"/>
  <c r="O420" i="8" s="1"/>
  <c r="P419" i="8" s="1"/>
  <c r="P420" i="8" s="1"/>
  <c r="Q419" i="8" s="1"/>
  <c r="Q420" i="8" s="1"/>
  <c r="R419" i="8" s="1"/>
  <c r="R420" i="8" s="1"/>
  <c r="S419" i="8" s="1"/>
  <c r="AI110" i="8"/>
  <c r="BA139" i="8"/>
  <c r="AI114" i="8"/>
  <c r="N10" i="3"/>
  <c r="N11" i="27" s="1"/>
  <c r="BA155" i="8"/>
  <c r="J240" i="8"/>
  <c r="AM296" i="18"/>
  <c r="T359" i="8"/>
  <c r="U362" i="8" s="1"/>
  <c r="U365" i="8" s="1"/>
  <c r="AE246" i="8"/>
  <c r="AE248" i="8" s="1"/>
  <c r="AE250" i="8" s="1"/>
  <c r="AE251" i="8" s="1"/>
  <c r="AE275" i="8"/>
  <c r="AE278" i="8"/>
  <c r="R15" i="3"/>
  <c r="R18" i="3" s="1"/>
  <c r="K356" i="8"/>
  <c r="J372" i="8"/>
  <c r="J356" i="8"/>
  <c r="AW9" i="3"/>
  <c r="AW10" i="27" s="1"/>
  <c r="AE146" i="8"/>
  <c r="AE151" i="8"/>
  <c r="AE153" i="8" s="1"/>
  <c r="AE155" i="8" s="1"/>
  <c r="AH477" i="18"/>
  <c r="R208" i="8"/>
  <c r="R215" i="8" s="1"/>
  <c r="T36" i="8"/>
  <c r="AG147" i="8"/>
  <c r="R260" i="8"/>
  <c r="AE373" i="8"/>
  <c r="AY224" i="8"/>
  <c r="AY226" i="8" s="1"/>
  <c r="AY220" i="8"/>
  <c r="AY107" i="8" s="1"/>
  <c r="AY218" i="8"/>
  <c r="AY242" i="8"/>
  <c r="AY146" i="8"/>
  <c r="AY151" i="8"/>
  <c r="AY153" i="8" s="1"/>
  <c r="AY155" i="8" s="1"/>
  <c r="AY114" i="8"/>
  <c r="AZ110" i="8"/>
  <c r="AU130" i="3"/>
  <c r="AU131" i="3" s="1"/>
  <c r="AU126" i="3"/>
  <c r="AU127" i="3" s="1"/>
  <c r="K37" i="4"/>
  <c r="K45" i="4"/>
  <c r="K21" i="4"/>
  <c r="K22" i="4"/>
  <c r="K19" i="4"/>
  <c r="K20" i="4" s="1"/>
  <c r="K45" i="23"/>
  <c r="K19" i="23"/>
  <c r="K20" i="23" s="1"/>
  <c r="K37" i="23"/>
  <c r="K22" i="23"/>
  <c r="L19" i="23"/>
  <c r="L20" i="23" s="1"/>
  <c r="L21" i="23"/>
  <c r="K23" i="23"/>
  <c r="K21" i="23"/>
  <c r="AW128" i="8"/>
  <c r="AW129" i="8" s="1"/>
  <c r="AW154" i="8" s="1"/>
  <c r="AW155" i="8" s="1"/>
  <c r="AN359" i="8"/>
  <c r="AN240" i="8"/>
  <c r="AN243" i="8"/>
  <c r="AN355" i="8"/>
  <c r="L19" i="4"/>
  <c r="L20" i="4" s="1"/>
  <c r="AL359" i="8"/>
  <c r="AL240" i="8"/>
  <c r="AL243" i="8"/>
  <c r="AL355" i="8"/>
  <c r="BA149" i="8"/>
  <c r="BA147" i="8"/>
  <c r="BA148" i="8"/>
  <c r="BA159" i="8"/>
  <c r="AV61" i="3"/>
  <c r="AV62" i="3" s="1"/>
  <c r="BA115" i="8"/>
  <c r="AH240" i="8"/>
  <c r="AH359" i="8"/>
  <c r="AH355" i="8"/>
  <c r="AH243" i="8"/>
  <c r="AP24" i="18"/>
  <c r="AP27" i="18" s="1"/>
  <c r="N206" i="8"/>
  <c r="I130" i="3"/>
  <c r="BB365" i="8"/>
  <c r="O364" i="8"/>
  <c r="O365" i="8" s="1"/>
  <c r="AK243" i="8"/>
  <c r="AK240" i="8"/>
  <c r="AK359" i="8"/>
  <c r="AK355" i="8"/>
  <c r="AL239" i="8"/>
  <c r="D151" i="8"/>
  <c r="D153" i="8" s="1"/>
  <c r="D155" i="8" s="1"/>
  <c r="D146" i="8"/>
  <c r="J128" i="8"/>
  <c r="J129" i="8" s="1"/>
  <c r="J154" i="8" s="1"/>
  <c r="K126" i="3"/>
  <c r="M127" i="3" s="1"/>
  <c r="K130" i="3"/>
  <c r="J11" i="4"/>
  <c r="J9" i="4"/>
  <c r="J10" i="4" s="1"/>
  <c r="J15" i="4"/>
  <c r="J23" i="4"/>
  <c r="AY364" i="8"/>
  <c r="AY363" i="8"/>
  <c r="J243" i="8"/>
  <c r="J355" i="8"/>
  <c r="L239" i="8"/>
  <c r="L13" i="3"/>
  <c r="L13" i="27" s="1"/>
  <c r="K155" i="8"/>
  <c r="L10" i="3"/>
  <c r="L11" i="27" s="1"/>
  <c r="J9" i="23"/>
  <c r="J10" i="23" s="1"/>
  <c r="J11" i="23"/>
  <c r="K11" i="23"/>
  <c r="J23" i="23"/>
  <c r="K9" i="23"/>
  <c r="K10" i="23" s="1"/>
  <c r="J15" i="23"/>
  <c r="O127" i="3"/>
  <c r="AQ127" i="3"/>
  <c r="AP127" i="3"/>
  <c r="M364" i="8"/>
  <c r="M363" i="8"/>
  <c r="AM359" i="8"/>
  <c r="AM240" i="8"/>
  <c r="AN239" i="8"/>
  <c r="AM243" i="8"/>
  <c r="AM355" i="8"/>
  <c r="AM239" i="8"/>
  <c r="AH239" i="8"/>
  <c r="AG359" i="8"/>
  <c r="AG243" i="8"/>
  <c r="AG240" i="8"/>
  <c r="AG355" i="8"/>
  <c r="AG239" i="8"/>
  <c r="AS131" i="3"/>
  <c r="AT131" i="3"/>
  <c r="Q275" i="8"/>
  <c r="Q246" i="8"/>
  <c r="Q248" i="8" s="1"/>
  <c r="Q250" i="8" s="1"/>
  <c r="Q251" i="8" s="1"/>
  <c r="Q278" i="8"/>
  <c r="AG354" i="18"/>
  <c r="AG355" i="18" s="1"/>
  <c r="AF357" i="18"/>
  <c r="D63" i="2"/>
  <c r="P64" i="3"/>
  <c r="P54" i="3"/>
  <c r="AT127" i="3"/>
  <c r="AS127" i="3"/>
  <c r="AQ39" i="18"/>
  <c r="AQ41" i="18" s="1"/>
  <c r="L12" i="3"/>
  <c r="L12" i="27" s="1"/>
  <c r="M12" i="3"/>
  <c r="M12" i="27" s="1"/>
  <c r="L27" i="3"/>
  <c r="L27" i="27" s="1"/>
  <c r="S147" i="8"/>
  <c r="Q148" i="8"/>
  <c r="Q147" i="8"/>
  <c r="Q149" i="8"/>
  <c r="Q115" i="8"/>
  <c r="Q111" i="8"/>
  <c r="Q61" i="3"/>
  <c r="S111" i="8"/>
  <c r="L359" i="8"/>
  <c r="M362" i="8" s="1"/>
  <c r="L240" i="8"/>
  <c r="L360" i="8"/>
  <c r="AO114" i="8"/>
  <c r="AO110" i="8"/>
  <c r="L15" i="3"/>
  <c r="L18" i="3" s="1"/>
  <c r="L261" i="8"/>
  <c r="L208" i="8"/>
  <c r="L209" i="8" s="1"/>
  <c r="N260" i="8"/>
  <c r="AJ359" i="8"/>
  <c r="AJ240" i="8"/>
  <c r="AJ243" i="8"/>
  <c r="AK239" i="8"/>
  <c r="AJ355" i="8"/>
  <c r="AN61" i="3"/>
  <c r="AS115" i="8"/>
  <c r="H246" i="8"/>
  <c r="H248" i="8" s="1"/>
  <c r="H250" i="8" s="1"/>
  <c r="H251" i="8" s="1"/>
  <c r="H373" i="8"/>
  <c r="N231" i="8"/>
  <c r="AP110" i="8"/>
  <c r="AO151" i="8"/>
  <c r="AO153" i="8" s="1"/>
  <c r="AO155" i="8" s="1"/>
  <c r="AO146" i="8"/>
  <c r="D278" i="8"/>
  <c r="D275" i="8"/>
  <c r="D246" i="8"/>
  <c r="D248" i="8" s="1"/>
  <c r="D250" i="8" s="1"/>
  <c r="D251" i="8" s="1"/>
  <c r="D373" i="8"/>
  <c r="H275" i="8"/>
  <c r="AS160" i="8"/>
  <c r="AS161" i="8"/>
  <c r="F83" i="2"/>
  <c r="F84" i="2" s="1"/>
  <c r="F65" i="2"/>
  <c r="F67" i="2" s="1"/>
  <c r="G68" i="2" s="1"/>
  <c r="B79" i="2"/>
  <c r="B61" i="2"/>
  <c r="N124" i="18"/>
  <c r="N185" i="18"/>
  <c r="T102" i="8"/>
  <c r="AR161" i="8"/>
  <c r="AR160" i="8"/>
  <c r="I86" i="2"/>
  <c r="AR64" i="3"/>
  <c r="AR54" i="3"/>
  <c r="AU160" i="8"/>
  <c r="AU161" i="8"/>
  <c r="AP25" i="3"/>
  <c r="AO67" i="3"/>
  <c r="BD22" i="3"/>
  <c r="AP23" i="3"/>
  <c r="AP23" i="27" s="1"/>
  <c r="AO125" i="3"/>
  <c r="AO130" i="3" s="1"/>
  <c r="BF22" i="3"/>
  <c r="E18" i="4"/>
  <c r="AO25" i="3"/>
  <c r="E18" i="23"/>
  <c r="AO23" i="3"/>
  <c r="AO23" i="27" s="1"/>
  <c r="AO27" i="3"/>
  <c r="AO27" i="27" s="1"/>
  <c r="BE22" i="3"/>
  <c r="AT281" i="8"/>
  <c r="AT280" i="8"/>
  <c r="AO75" i="3"/>
  <c r="AT279" i="8"/>
  <c r="AR115" i="8"/>
  <c r="AM61" i="3"/>
  <c r="AS111" i="8"/>
  <c r="AF220" i="8"/>
  <c r="AF148" i="8"/>
  <c r="AF149" i="8"/>
  <c r="AD209" i="18"/>
  <c r="AD210" i="18"/>
  <c r="AO240" i="8"/>
  <c r="AO243" i="8"/>
  <c r="AO239" i="8"/>
  <c r="AO359" i="8"/>
  <c r="AO355" i="8"/>
  <c r="N205" i="18"/>
  <c r="N193" i="18"/>
  <c r="N204" i="18"/>
  <c r="C210" i="18"/>
  <c r="C209" i="18"/>
  <c r="AP61" i="3"/>
  <c r="AU115" i="8"/>
  <c r="C62" i="2"/>
  <c r="C80" i="2" s="1"/>
  <c r="C89" i="2" s="1"/>
  <c r="R238" i="8"/>
  <c r="R240" i="8" s="1"/>
  <c r="R214" i="8"/>
  <c r="T214" i="8"/>
  <c r="AN122" i="18"/>
  <c r="P345" i="18"/>
  <c r="AN345" i="18" s="1"/>
  <c r="AN232" i="18" s="1"/>
  <c r="P476" i="18"/>
  <c r="G161" i="8"/>
  <c r="G160" i="8"/>
  <c r="AI240" i="8"/>
  <c r="AI359" i="8"/>
  <c r="AJ239" i="8"/>
  <c r="AI243" i="8"/>
  <c r="AI355" i="8"/>
  <c r="AI239" i="8"/>
  <c r="R106" i="8"/>
  <c r="R219" i="8"/>
  <c r="R143" i="8"/>
  <c r="R268" i="8"/>
  <c r="T270" i="8"/>
  <c r="R272" i="8"/>
  <c r="R270" i="8"/>
  <c r="T26" i="3"/>
  <c r="T26" i="27" s="1"/>
  <c r="R125" i="3"/>
  <c r="S129" i="3"/>
  <c r="S125" i="3"/>
  <c r="T23" i="3"/>
  <c r="R67" i="3"/>
  <c r="R23" i="3"/>
  <c r="S25" i="3"/>
  <c r="S25" i="27" s="1"/>
  <c r="R25" i="3"/>
  <c r="R25" i="27" s="1"/>
  <c r="R26" i="3"/>
  <c r="R26" i="27" s="1"/>
  <c r="R216" i="18"/>
  <c r="AO216" i="18"/>
  <c r="AO292" i="18" s="1"/>
  <c r="Q292" i="18"/>
  <c r="AO213" i="18"/>
  <c r="R213" i="18"/>
  <c r="Q232" i="18"/>
  <c r="L159" i="8"/>
  <c r="L281" i="8"/>
  <c r="L280" i="8"/>
  <c r="L75" i="3"/>
  <c r="S133" i="8"/>
  <c r="S136" i="8" s="1"/>
  <c r="S418" i="8"/>
  <c r="T418" i="8" s="1"/>
  <c r="S101" i="3"/>
  <c r="S98" i="3" s="1"/>
  <c r="T397" i="8"/>
  <c r="G199" i="18"/>
  <c r="G207" i="18"/>
  <c r="X67" i="2"/>
  <c r="AN29" i="18"/>
  <c r="K234" i="8"/>
  <c r="K235" i="8"/>
  <c r="BB281" i="8"/>
  <c r="BB280" i="8"/>
  <c r="AO214" i="18"/>
  <c r="R214" i="18"/>
  <c r="AP214" i="18" s="1"/>
  <c r="AQ214" i="18" s="1"/>
  <c r="AR214" i="18" s="1"/>
  <c r="AU280" i="8"/>
  <c r="AU279" i="8"/>
  <c r="AU281" i="8"/>
  <c r="AP75" i="3"/>
  <c r="AQ76" i="3" s="1"/>
  <c r="G90" i="2"/>
  <c r="G85" i="2"/>
  <c r="X84" i="2"/>
  <c r="M234" i="8"/>
  <c r="M235" i="8"/>
  <c r="N218" i="8"/>
  <c r="N242" i="8"/>
  <c r="N243" i="8" s="1"/>
  <c r="G239" i="8"/>
  <c r="E240" i="8"/>
  <c r="E239" i="8"/>
  <c r="E243" i="8"/>
  <c r="E355" i="8"/>
  <c r="AK107" i="8"/>
  <c r="AK159" i="8"/>
  <c r="AP8" i="18"/>
  <c r="H137" i="3"/>
  <c r="H139" i="3"/>
  <c r="F197" i="18"/>
  <c r="F471" i="18"/>
  <c r="F468" i="18"/>
  <c r="R231" i="8"/>
  <c r="R359" i="8"/>
  <c r="S362" i="8" s="1"/>
  <c r="T231" i="8"/>
  <c r="AN439" i="18"/>
  <c r="Q328" i="18" s="1"/>
  <c r="P328" i="18"/>
  <c r="AN328" i="18" s="1"/>
  <c r="P445" i="18"/>
  <c r="AQ77" i="3"/>
  <c r="M45" i="3"/>
  <c r="M88" i="3"/>
  <c r="M57" i="3"/>
  <c r="M69" i="3"/>
  <c r="AP456" i="18"/>
  <c r="M13" i="4"/>
  <c r="M13" i="23"/>
  <c r="AQ163" i="8"/>
  <c r="AQ155" i="8"/>
  <c r="R13" i="3"/>
  <c r="R13" i="27" s="1"/>
  <c r="T13" i="3"/>
  <c r="T13" i="27" s="1"/>
  <c r="R12" i="3"/>
  <c r="R12" i="27" s="1"/>
  <c r="S12" i="3"/>
  <c r="S12" i="27" s="1"/>
  <c r="R27" i="3"/>
  <c r="R27" i="27" s="1"/>
  <c r="R10" i="3"/>
  <c r="R11" i="27" s="1"/>
  <c r="T10" i="3"/>
  <c r="T11" i="27" s="1"/>
  <c r="AQ54" i="8"/>
  <c r="AQ60" i="8" s="1"/>
  <c r="AR54" i="8"/>
  <c r="AR60" i="8" s="1"/>
  <c r="AQ48" i="8"/>
  <c r="AR48" i="8"/>
  <c r="E207" i="18"/>
  <c r="E199" i="18"/>
  <c r="P327" i="18"/>
  <c r="AN327" i="18" s="1"/>
  <c r="AN425" i="18"/>
  <c r="AO44" i="18"/>
  <c r="H199" i="18"/>
  <c r="AQ220" i="8"/>
  <c r="AQ107" i="8" s="1"/>
  <c r="AQ148" i="8"/>
  <c r="AQ159" i="8"/>
  <c r="AR147" i="8"/>
  <c r="AQ149" i="8"/>
  <c r="R206" i="8"/>
  <c r="R216" i="8"/>
  <c r="T206" i="8"/>
  <c r="P326" i="18"/>
  <c r="AN326" i="18" s="1"/>
  <c r="AN424" i="18"/>
  <c r="N146" i="8"/>
  <c r="N151" i="8"/>
  <c r="N153" i="8" s="1"/>
  <c r="N155" i="8" s="1"/>
  <c r="AP448" i="18"/>
  <c r="C246" i="8"/>
  <c r="C248" i="8" s="1"/>
  <c r="C250" i="8" s="1"/>
  <c r="C251" i="8" s="1"/>
  <c r="C278" i="8"/>
  <c r="C275" i="8"/>
  <c r="C373" i="8"/>
  <c r="O199" i="18"/>
  <c r="O207" i="18"/>
  <c r="P183" i="18"/>
  <c r="AN239" i="18"/>
  <c r="AN240" i="18" s="1"/>
  <c r="AJ130" i="18"/>
  <c r="AJ266" i="18"/>
  <c r="AJ296" i="18"/>
  <c r="N220" i="8"/>
  <c r="N107" i="8" s="1"/>
  <c r="N224" i="8"/>
  <c r="N226" i="8" s="1"/>
  <c r="E146" i="8"/>
  <c r="E151" i="8"/>
  <c r="F143" i="8"/>
  <c r="F146" i="8" s="1"/>
  <c r="H147" i="8" s="1"/>
  <c r="R29" i="18"/>
  <c r="AX242" i="8"/>
  <c r="AX218" i="8"/>
  <c r="P17" i="18"/>
  <c r="P178" i="18"/>
  <c r="N110" i="8"/>
  <c r="N114" i="8"/>
  <c r="P110" i="8"/>
  <c r="E110" i="8"/>
  <c r="E114" i="8"/>
  <c r="G110" i="8"/>
  <c r="F106" i="8"/>
  <c r="AP255" i="18"/>
  <c r="AP259" i="18" s="1"/>
  <c r="AQ243" i="8"/>
  <c r="AQ240" i="8"/>
  <c r="AQ239" i="8"/>
  <c r="AR239" i="8"/>
  <c r="AQ355" i="8"/>
  <c r="K17" i="3"/>
  <c r="J17" i="3"/>
  <c r="J19" i="3"/>
  <c r="J28" i="3"/>
  <c r="AE199" i="18"/>
  <c r="AE207" i="18"/>
  <c r="AP46" i="18"/>
  <c r="AP15" i="18"/>
  <c r="AP41" i="18"/>
  <c r="AQ442" i="18"/>
  <c r="M207" i="18"/>
  <c r="M199" i="18"/>
  <c r="AF197" i="18"/>
  <c r="AF471" i="18"/>
  <c r="AF468" i="18"/>
  <c r="G54" i="3"/>
  <c r="G64" i="3"/>
  <c r="AG471" i="18"/>
  <c r="D197" i="18"/>
  <c r="D468" i="18"/>
  <c r="AX146" i="8"/>
  <c r="AX151" i="8"/>
  <c r="AX153" i="8" s="1"/>
  <c r="AX155" i="8" s="1"/>
  <c r="AJ197" i="18"/>
  <c r="AJ477" i="18"/>
  <c r="AJ471" i="18"/>
  <c r="AJ468" i="18"/>
  <c r="H159" i="8"/>
  <c r="H280" i="8"/>
  <c r="H281" i="8"/>
  <c r="H75" i="3"/>
  <c r="AU54" i="3"/>
  <c r="AU64" i="3"/>
  <c r="J130" i="18"/>
  <c r="J266" i="18"/>
  <c r="R177" i="18"/>
  <c r="AO177" i="18" s="1"/>
  <c r="R175" i="18"/>
  <c r="R174" i="18" s="1"/>
  <c r="R425" i="18"/>
  <c r="AO425" i="18" s="1"/>
  <c r="R439" i="18"/>
  <c r="R239" i="18"/>
  <c r="R424" i="18"/>
  <c r="R326" i="18" s="1"/>
  <c r="AO171" i="18"/>
  <c r="AX114" i="8"/>
  <c r="AX110" i="8"/>
  <c r="AY110" i="8"/>
  <c r="J233" i="8"/>
  <c r="J215" i="8"/>
  <c r="J210" i="8"/>
  <c r="T235" i="8"/>
  <c r="AG199" i="18"/>
  <c r="AG207" i="18"/>
  <c r="AL107" i="8"/>
  <c r="AL159" i="8"/>
  <c r="AX220" i="8"/>
  <c r="AX107" i="8" s="1"/>
  <c r="AX224" i="8"/>
  <c r="AX226" i="8" s="1"/>
  <c r="AT161" i="8"/>
  <c r="AT160" i="8"/>
  <c r="L45" i="3"/>
  <c r="L57" i="3"/>
  <c r="L69" i="3"/>
  <c r="L88" i="3"/>
  <c r="AQ7" i="18"/>
  <c r="J197" i="18"/>
  <c r="J471" i="18"/>
  <c r="J468" i="18"/>
  <c r="L471" i="18"/>
  <c r="S66" i="23"/>
  <c r="I54" i="3"/>
  <c r="I64" i="3"/>
  <c r="I62" i="3"/>
  <c r="L199" i="18"/>
  <c r="C220" i="8"/>
  <c r="C107" i="8" s="1"/>
  <c r="C148" i="8"/>
  <c r="C149" i="8"/>
  <c r="K5" i="18"/>
  <c r="AL5" i="18"/>
  <c r="F278" i="8"/>
  <c r="H279" i="8" s="1"/>
  <c r="F275" i="8"/>
  <c r="F373" i="8"/>
  <c r="F246" i="8"/>
  <c r="F248" i="8" s="1"/>
  <c r="F250" i="8" s="1"/>
  <c r="F251" i="8" s="1"/>
  <c r="AT111" i="8"/>
  <c r="AT115" i="8"/>
  <c r="AO61" i="3"/>
  <c r="AU111" i="8"/>
  <c r="Q445" i="18"/>
  <c r="AV161" i="8"/>
  <c r="AV160" i="8"/>
  <c r="I207" i="18"/>
  <c r="I199" i="18"/>
  <c r="G25" i="3"/>
  <c r="G25" i="27" s="1"/>
  <c r="H23" i="3"/>
  <c r="H23" i="27" s="1"/>
  <c r="F26" i="3"/>
  <c r="F26" i="27" s="1"/>
  <c r="H26" i="3"/>
  <c r="H26" i="27" s="1"/>
  <c r="F27" i="3"/>
  <c r="F27" i="27" s="1"/>
  <c r="F25" i="3"/>
  <c r="F25" i="27" s="1"/>
  <c r="F67" i="3"/>
  <c r="F23" i="3"/>
  <c r="F23" i="27" s="1"/>
  <c r="G129" i="3"/>
  <c r="F125" i="3"/>
  <c r="F130" i="3" s="1"/>
  <c r="G125" i="3"/>
  <c r="AG107" i="8"/>
  <c r="AG159" i="8"/>
  <c r="K471" i="18"/>
  <c r="AR21" i="18"/>
  <c r="AV111" i="8"/>
  <c r="AV115" i="8"/>
  <c r="AQ61" i="3"/>
  <c r="AW111" i="8"/>
  <c r="AQ23" i="18"/>
  <c r="AR38" i="18"/>
  <c r="AQ309" i="18"/>
  <c r="AR461" i="18"/>
  <c r="AR309" i="18" s="1"/>
  <c r="AM107" i="8"/>
  <c r="AM159" i="8"/>
  <c r="AM210" i="18"/>
  <c r="AM209" i="18"/>
  <c r="BA287" i="8" s="1"/>
  <c r="J364" i="8"/>
  <c r="J363" i="8"/>
  <c r="H220" i="8"/>
  <c r="H107" i="8" s="1"/>
  <c r="H149" i="8"/>
  <c r="H148" i="8"/>
  <c r="J147" i="8"/>
  <c r="K207" i="18"/>
  <c r="K199" i="18"/>
  <c r="AI477" i="18"/>
  <c r="AN159" i="8"/>
  <c r="AN107" i="8"/>
  <c r="AN469" i="18"/>
  <c r="AP9" i="18"/>
  <c r="AL210" i="18"/>
  <c r="AL209" i="18"/>
  <c r="AZ287" i="8" s="1"/>
  <c r="AQ142" i="3"/>
  <c r="AR142" i="3"/>
  <c r="G471" i="18"/>
  <c r="AN174" i="18"/>
  <c r="AN118" i="18" s="1"/>
  <c r="AN119" i="18" s="1"/>
  <c r="P118" i="18"/>
  <c r="AJ107" i="8"/>
  <c r="AJ159" i="8"/>
  <c r="T66" i="8"/>
  <c r="AP43" i="18"/>
  <c r="AQ22" i="18"/>
  <c r="AR37" i="18"/>
  <c r="AE549" i="18"/>
  <c r="AE542" i="18"/>
  <c r="AE535" i="18"/>
  <c r="D64" i="2"/>
  <c r="AE556" i="18"/>
  <c r="M111" i="8" l="1"/>
  <c r="K115" i="8"/>
  <c r="AO26" i="3"/>
  <c r="AO26" i="27" s="1"/>
  <c r="AO25" i="27"/>
  <c r="R24" i="27"/>
  <c r="R23" i="27"/>
  <c r="T61" i="3"/>
  <c r="V62" i="3" s="1"/>
  <c r="AP26" i="3"/>
  <c r="AP26" i="27" s="1"/>
  <c r="AP25" i="27"/>
  <c r="T24" i="27"/>
  <c r="T23" i="27"/>
  <c r="V24" i="27"/>
  <c r="V23" i="27"/>
  <c r="K61" i="3"/>
  <c r="K62" i="3" s="1"/>
  <c r="T115" i="8"/>
  <c r="V150" i="3"/>
  <c r="X149" i="3"/>
  <c r="X150" i="3"/>
  <c r="AX138" i="3"/>
  <c r="AX139" i="3" s="1"/>
  <c r="AX141" i="3"/>
  <c r="AX142" i="3" s="1"/>
  <c r="T149" i="8"/>
  <c r="V147" i="8"/>
  <c r="T355" i="8"/>
  <c r="V239" i="8"/>
  <c r="K278" i="8"/>
  <c r="K281" i="8" s="1"/>
  <c r="K373" i="8"/>
  <c r="AF3" i="18"/>
  <c r="AF530" i="18" s="1"/>
  <c r="K246" i="8"/>
  <c r="K248" i="8" s="1"/>
  <c r="K250" i="8" s="1"/>
  <c r="K251" i="8" s="1"/>
  <c r="K147" i="8"/>
  <c r="AF560" i="18"/>
  <c r="AG4" i="18"/>
  <c r="M147" i="8"/>
  <c r="K148" i="8"/>
  <c r="W137" i="3"/>
  <c r="W142" i="3"/>
  <c r="W139" i="3"/>
  <c r="AY136" i="3"/>
  <c r="AY137" i="3" s="1"/>
  <c r="J42" i="25"/>
  <c r="AE550" i="18"/>
  <c r="AE557" i="18"/>
  <c r="T243" i="8"/>
  <c r="T373" i="8" s="1"/>
  <c r="BA373" i="8"/>
  <c r="AE548" i="18"/>
  <c r="BA246" i="8"/>
  <c r="BA248" i="8" s="1"/>
  <c r="BA250" i="8" s="1"/>
  <c r="BA251" i="8" s="1"/>
  <c r="BA275" i="8"/>
  <c r="AE541" i="18"/>
  <c r="AE543" i="18"/>
  <c r="AE534" i="18"/>
  <c r="T240" i="8"/>
  <c r="AE536" i="18"/>
  <c r="T360" i="8"/>
  <c r="T364" i="8" s="1"/>
  <c r="AW25" i="3"/>
  <c r="AD10" i="25"/>
  <c r="T14" i="24"/>
  <c r="AE555" i="18"/>
  <c r="BK23" i="3"/>
  <c r="S363" i="8"/>
  <c r="S364" i="8"/>
  <c r="U55" i="3"/>
  <c r="S88" i="3"/>
  <c r="S45" i="3"/>
  <c r="S57" i="3"/>
  <c r="S69" i="3"/>
  <c r="AW161" i="8"/>
  <c r="BA364" i="8"/>
  <c r="BA365" i="8" s="1"/>
  <c r="AZ363" i="8"/>
  <c r="AZ365" i="8" s="1"/>
  <c r="AZ246" i="8"/>
  <c r="AZ248" i="8" s="1"/>
  <c r="AZ250" i="8" s="1"/>
  <c r="AZ251" i="8" s="1"/>
  <c r="R28" i="3"/>
  <c r="U125" i="3"/>
  <c r="U130" i="3" s="1"/>
  <c r="U8" i="24"/>
  <c r="AZ275" i="8"/>
  <c r="AK199" i="18"/>
  <c r="AK208" i="18" s="1"/>
  <c r="T18" i="3"/>
  <c r="AP149" i="8"/>
  <c r="P363" i="8"/>
  <c r="P365" i="8" s="1"/>
  <c r="P373" i="8"/>
  <c r="P275" i="8"/>
  <c r="P246" i="8"/>
  <c r="P248" i="8" s="1"/>
  <c r="P250" i="8" s="1"/>
  <c r="P251" i="8" s="1"/>
  <c r="AP275" i="8"/>
  <c r="AN76" i="3"/>
  <c r="T148" i="8"/>
  <c r="M131" i="3"/>
  <c r="L111" i="8"/>
  <c r="AP278" i="8"/>
  <c r="AK75" i="3" s="1"/>
  <c r="AZ278" i="8"/>
  <c r="AZ280" i="8" s="1"/>
  <c r="N131" i="3"/>
  <c r="AW23" i="3"/>
  <c r="M18" i="4"/>
  <c r="J61" i="3"/>
  <c r="L62" i="3" s="1"/>
  <c r="AR76" i="3"/>
  <c r="AH159" i="8"/>
  <c r="AH161" i="8" s="1"/>
  <c r="AP159" i="8"/>
  <c r="AP160" i="8" s="1"/>
  <c r="AJ147" i="8"/>
  <c r="AK61" i="3"/>
  <c r="AK64" i="3" s="1"/>
  <c r="AQ147" i="8"/>
  <c r="AP148" i="8"/>
  <c r="AW67" i="3"/>
  <c r="AI148" i="8"/>
  <c r="T126" i="3"/>
  <c r="M18" i="23"/>
  <c r="M22" i="23" s="1"/>
  <c r="AP373" i="8"/>
  <c r="T130" i="3"/>
  <c r="AI147" i="8"/>
  <c r="AW28" i="3"/>
  <c r="V129" i="3"/>
  <c r="AI149" i="8"/>
  <c r="AO29" i="18"/>
  <c r="S246" i="8"/>
  <c r="S248" i="8" s="1"/>
  <c r="S250" i="8" s="1"/>
  <c r="S251" i="8" s="1"/>
  <c r="S373" i="8"/>
  <c r="S278" i="8"/>
  <c r="S275" i="8"/>
  <c r="T275" i="8" s="1"/>
  <c r="AP48" i="18"/>
  <c r="AP47" i="18" s="1"/>
  <c r="I246" i="8"/>
  <c r="I248" i="8" s="1"/>
  <c r="I250" i="8" s="1"/>
  <c r="I251" i="8" s="1"/>
  <c r="AP10" i="18"/>
  <c r="I278" i="8"/>
  <c r="I279" i="8" s="1"/>
  <c r="I275" i="8"/>
  <c r="AA75" i="3"/>
  <c r="AA77" i="3" s="1"/>
  <c r="AF281" i="8"/>
  <c r="M280" i="8"/>
  <c r="M159" i="8"/>
  <c r="R233" i="8"/>
  <c r="T234" i="8" s="1"/>
  <c r="T209" i="8"/>
  <c r="R210" i="8"/>
  <c r="AH207" i="18"/>
  <c r="AM77" i="3"/>
  <c r="M281" i="8"/>
  <c r="P234" i="8"/>
  <c r="R209" i="8"/>
  <c r="S139" i="8"/>
  <c r="T138" i="8" s="1"/>
  <c r="AI199" i="18"/>
  <c r="AI207" i="18"/>
  <c r="M75" i="3"/>
  <c r="M77" i="3" s="1"/>
  <c r="Q18" i="18"/>
  <c r="Q123" i="18"/>
  <c r="Q179" i="18"/>
  <c r="Q124" i="18" s="1"/>
  <c r="Q315" i="18"/>
  <c r="L16" i="3"/>
  <c r="O54" i="3"/>
  <c r="O64" i="3"/>
  <c r="O62" i="3"/>
  <c r="O281" i="8"/>
  <c r="O280" i="8"/>
  <c r="O75" i="3"/>
  <c r="O159" i="8"/>
  <c r="AP26" i="18"/>
  <c r="AP171" i="18"/>
  <c r="AP469" i="18" s="1"/>
  <c r="R19" i="3"/>
  <c r="T16" i="3"/>
  <c r="S17" i="3"/>
  <c r="AP28" i="18"/>
  <c r="AQ15" i="18"/>
  <c r="R17" i="3"/>
  <c r="J155" i="8"/>
  <c r="AW27" i="3"/>
  <c r="AW27" i="27" s="1"/>
  <c r="O279" i="8"/>
  <c r="AQ46" i="18"/>
  <c r="AQ43" i="18"/>
  <c r="AP34" i="18"/>
  <c r="R16" i="3"/>
  <c r="AQ42" i="18"/>
  <c r="AV131" i="3"/>
  <c r="AE149" i="8"/>
  <c r="AE220" i="8"/>
  <c r="AE148" i="8"/>
  <c r="M8" i="23"/>
  <c r="AW12" i="3"/>
  <c r="M8" i="4"/>
  <c r="AW10" i="3"/>
  <c r="AW11" i="27" s="1"/>
  <c r="AE280" i="8"/>
  <c r="Z75" i="3"/>
  <c r="Z77" i="3" s="1"/>
  <c r="AE281" i="8"/>
  <c r="AF279" i="8"/>
  <c r="AF147" i="8"/>
  <c r="AN246" i="8"/>
  <c r="AN248" i="8" s="1"/>
  <c r="AN250" i="8" s="1"/>
  <c r="AN251" i="8" s="1"/>
  <c r="AN278" i="8"/>
  <c r="AN275" i="8"/>
  <c r="AN373" i="8"/>
  <c r="AY148" i="8"/>
  <c r="AZ147" i="8"/>
  <c r="AY149" i="8"/>
  <c r="AY159" i="8"/>
  <c r="AV127" i="3"/>
  <c r="AY243" i="8"/>
  <c r="AY298" i="8"/>
  <c r="AZ111" i="8"/>
  <c r="AT61" i="3"/>
  <c r="AY115" i="8"/>
  <c r="M365" i="8"/>
  <c r="BA161" i="8"/>
  <c r="BA160" i="8"/>
  <c r="AH278" i="8"/>
  <c r="AH373" i="8"/>
  <c r="AH275" i="8"/>
  <c r="AH246" i="8"/>
  <c r="AH248" i="8" s="1"/>
  <c r="AH250" i="8" s="1"/>
  <c r="AH251" i="8" s="1"/>
  <c r="AL246" i="8"/>
  <c r="AL248" i="8" s="1"/>
  <c r="AL250" i="8" s="1"/>
  <c r="AL251" i="8" s="1"/>
  <c r="AL275" i="8"/>
  <c r="AL373" i="8"/>
  <c r="AL278" i="8"/>
  <c r="AV54" i="3"/>
  <c r="AV64" i="3"/>
  <c r="D220" i="8"/>
  <c r="D107" i="8" s="1"/>
  <c r="D148" i="8"/>
  <c r="D149" i="8"/>
  <c r="R360" i="8"/>
  <c r="R364" i="8" s="1"/>
  <c r="AM373" i="8"/>
  <c r="AM278" i="8"/>
  <c r="AM246" i="8"/>
  <c r="AM248" i="8" s="1"/>
  <c r="AM250" i="8" s="1"/>
  <c r="AM251" i="8" s="1"/>
  <c r="AM275" i="8"/>
  <c r="J278" i="8"/>
  <c r="J275" i="8"/>
  <c r="J246" i="8"/>
  <c r="J248" i="8" s="1"/>
  <c r="J250" i="8" s="1"/>
  <c r="J251" i="8" s="1"/>
  <c r="J373" i="8"/>
  <c r="AY365" i="8"/>
  <c r="AK278" i="8"/>
  <c r="AK373" i="8"/>
  <c r="AK275" i="8"/>
  <c r="AK246" i="8"/>
  <c r="AK248" i="8" s="1"/>
  <c r="AK250" i="8" s="1"/>
  <c r="AK251" i="8" s="1"/>
  <c r="AW130" i="3"/>
  <c r="AW131" i="3" s="1"/>
  <c r="AW126" i="3"/>
  <c r="AW127" i="3" s="1"/>
  <c r="AJ275" i="8"/>
  <c r="AJ246" i="8"/>
  <c r="AJ248" i="8" s="1"/>
  <c r="AJ250" i="8" s="1"/>
  <c r="AJ251" i="8" s="1"/>
  <c r="AJ278" i="8"/>
  <c r="AJ373" i="8"/>
  <c r="P88" i="3"/>
  <c r="P45" i="3"/>
  <c r="P57" i="3"/>
  <c r="P69" i="3"/>
  <c r="L363" i="8"/>
  <c r="L364" i="8"/>
  <c r="L210" i="8"/>
  <c r="L233" i="8"/>
  <c r="L234" i="8" s="1"/>
  <c r="L215" i="8"/>
  <c r="N209" i="8"/>
  <c r="AH354" i="18"/>
  <c r="AH355" i="18" s="1"/>
  <c r="AG357" i="18"/>
  <c r="C354" i="18"/>
  <c r="C355" i="18" s="1"/>
  <c r="D281" i="8"/>
  <c r="D280" i="8"/>
  <c r="D75" i="3"/>
  <c r="D77" i="3" s="1"/>
  <c r="D159" i="8"/>
  <c r="AN54" i="3"/>
  <c r="AN109" i="3"/>
  <c r="AN64" i="3"/>
  <c r="Q64" i="3"/>
  <c r="Q62" i="3"/>
  <c r="S62" i="3"/>
  <c r="Q54" i="3"/>
  <c r="Q75" i="3"/>
  <c r="Q159" i="8"/>
  <c r="Q281" i="8"/>
  <c r="Q280" i="8"/>
  <c r="Q279" i="8"/>
  <c r="AG373" i="8"/>
  <c r="AG275" i="8"/>
  <c r="AG246" i="8"/>
  <c r="AG248" i="8" s="1"/>
  <c r="AG250" i="8" s="1"/>
  <c r="AG251" i="8" s="1"/>
  <c r="AG278" i="8"/>
  <c r="R327" i="18"/>
  <c r="AO149" i="8"/>
  <c r="AO147" i="8"/>
  <c r="AO220" i="8"/>
  <c r="AO107" i="8" s="1"/>
  <c r="AO159" i="8"/>
  <c r="AO148" i="8"/>
  <c r="AP147" i="8"/>
  <c r="L19" i="3"/>
  <c r="L28" i="3"/>
  <c r="M17" i="3"/>
  <c r="N16" i="3"/>
  <c r="N18" i="3"/>
  <c r="L17" i="3"/>
  <c r="D83" i="2"/>
  <c r="D84" i="2" s="1"/>
  <c r="D65" i="2"/>
  <c r="D67" i="2" s="1"/>
  <c r="E83" i="2"/>
  <c r="E84" i="2" s="1"/>
  <c r="E65" i="2"/>
  <c r="E67" i="2" s="1"/>
  <c r="AO122" i="18"/>
  <c r="AP77" i="3"/>
  <c r="AP76" i="3"/>
  <c r="C63" i="2"/>
  <c r="S420" i="8"/>
  <c r="T419" i="8" s="1"/>
  <c r="T420" i="8" s="1"/>
  <c r="U419" i="8" s="1"/>
  <c r="U420" i="8" s="1"/>
  <c r="V419" i="8" s="1"/>
  <c r="V420" i="8" s="1"/>
  <c r="W419" i="8" s="1"/>
  <c r="W420" i="8" s="1"/>
  <c r="AO76" i="3"/>
  <c r="AO77" i="3"/>
  <c r="P159" i="8"/>
  <c r="P280" i="8"/>
  <c r="P281" i="8"/>
  <c r="P75" i="3"/>
  <c r="P77" i="3" s="1"/>
  <c r="G208" i="18"/>
  <c r="G202" i="18"/>
  <c r="AI275" i="8"/>
  <c r="AI246" i="8"/>
  <c r="AI248" i="8" s="1"/>
  <c r="AI250" i="8" s="1"/>
  <c r="AI251" i="8" s="1"/>
  <c r="AI278" i="8"/>
  <c r="AI373" i="8"/>
  <c r="H39" i="23"/>
  <c r="AR69" i="3"/>
  <c r="AR72" i="3" s="1"/>
  <c r="H39" i="4"/>
  <c r="AR45" i="3"/>
  <c r="Y15" i="25" s="1"/>
  <c r="AR57" i="3"/>
  <c r="AR88" i="3"/>
  <c r="N130" i="18"/>
  <c r="N266" i="18"/>
  <c r="T133" i="8"/>
  <c r="T136" i="8" s="1"/>
  <c r="T101" i="3"/>
  <c r="L160" i="8"/>
  <c r="L161" i="8"/>
  <c r="AP54" i="3"/>
  <c r="AP64" i="3"/>
  <c r="AP109" i="3"/>
  <c r="AO131" i="3"/>
  <c r="AP131" i="3"/>
  <c r="G130" i="3"/>
  <c r="Q476" i="18"/>
  <c r="Q345" i="18"/>
  <c r="AO345" i="18" s="1"/>
  <c r="AO232" i="18" s="1"/>
  <c r="R218" i="8"/>
  <c r="R242" i="8"/>
  <c r="R243" i="8" s="1"/>
  <c r="AM54" i="3"/>
  <c r="AM64" i="3"/>
  <c r="AM109" i="3"/>
  <c r="AN62" i="3"/>
  <c r="E23" i="23"/>
  <c r="E37" i="23"/>
  <c r="E45" i="23"/>
  <c r="E19" i="23"/>
  <c r="F19" i="23"/>
  <c r="B62" i="2"/>
  <c r="B80" i="2" s="1"/>
  <c r="B89" i="2" s="1"/>
  <c r="L77" i="3"/>
  <c r="AF107" i="8"/>
  <c r="AG111" i="8" s="1"/>
  <c r="AF159" i="8"/>
  <c r="AP213" i="18"/>
  <c r="R232" i="18"/>
  <c r="AP216" i="18"/>
  <c r="R292" i="18"/>
  <c r="S130" i="3"/>
  <c r="S126" i="3"/>
  <c r="R151" i="8"/>
  <c r="R153" i="8" s="1"/>
  <c r="R155" i="8" s="1"/>
  <c r="R146" i="8"/>
  <c r="R224" i="8"/>
  <c r="R226" i="8" s="1"/>
  <c r="R220" i="8"/>
  <c r="R107" i="8" s="1"/>
  <c r="AN483" i="18"/>
  <c r="AN476" i="18"/>
  <c r="AO275" i="8"/>
  <c r="AO278" i="8"/>
  <c r="AO373" i="8"/>
  <c r="AO246" i="8"/>
  <c r="AO248" i="8" s="1"/>
  <c r="AO250" i="8" s="1"/>
  <c r="AO251" i="8" s="1"/>
  <c r="E23" i="4"/>
  <c r="E37" i="4"/>
  <c r="F19" i="4"/>
  <c r="E45" i="4"/>
  <c r="E19" i="4"/>
  <c r="X85" i="2"/>
  <c r="R126" i="3"/>
  <c r="R130" i="3"/>
  <c r="R110" i="8"/>
  <c r="T110" i="8"/>
  <c r="R114" i="8"/>
  <c r="R239" i="8"/>
  <c r="T239" i="8"/>
  <c r="R355" i="8"/>
  <c r="N197" i="18"/>
  <c r="N199" i="18" s="1"/>
  <c r="N202" i="18" s="1"/>
  <c r="N471" i="18"/>
  <c r="O471" i="18"/>
  <c r="AM477" i="18"/>
  <c r="N468" i="18"/>
  <c r="H86" i="2"/>
  <c r="F85" i="2"/>
  <c r="F90" i="2"/>
  <c r="AJ160" i="8"/>
  <c r="AJ161" i="8"/>
  <c r="J365" i="8"/>
  <c r="AL160" i="8"/>
  <c r="AL161" i="8"/>
  <c r="R328" i="18"/>
  <c r="AO328" i="18" s="1"/>
  <c r="AO439" i="18"/>
  <c r="R445" i="18"/>
  <c r="AQ115" i="8"/>
  <c r="AQ111" i="8"/>
  <c r="AL61" i="3"/>
  <c r="AR111" i="8"/>
  <c r="M14" i="4"/>
  <c r="F149" i="8"/>
  <c r="F220" i="8"/>
  <c r="F148" i="8"/>
  <c r="F147" i="8"/>
  <c r="H202" i="18"/>
  <c r="AK160" i="8"/>
  <c r="AK161" i="8"/>
  <c r="E153" i="8"/>
  <c r="E155" i="8" s="1"/>
  <c r="F151" i="8"/>
  <c r="F153" i="8" s="1"/>
  <c r="F155" i="8" s="1"/>
  <c r="F199" i="18"/>
  <c r="AK111" i="8"/>
  <c r="AK115" i="8"/>
  <c r="AF61" i="3"/>
  <c r="AG160" i="8"/>
  <c r="AG161" i="8"/>
  <c r="AQ275" i="8"/>
  <c r="AQ278" i="8"/>
  <c r="AQ373" i="8"/>
  <c r="AQ246" i="8"/>
  <c r="AQ248" i="8" s="1"/>
  <c r="AQ250" i="8" s="1"/>
  <c r="AQ251" i="8" s="1"/>
  <c r="K208" i="18"/>
  <c r="K202" i="18"/>
  <c r="AR23" i="18"/>
  <c r="AG115" i="8"/>
  <c r="AB61" i="3"/>
  <c r="L72" i="3"/>
  <c r="R118" i="18"/>
  <c r="AO174" i="18"/>
  <c r="AO118" i="18" s="1"/>
  <c r="AO119" i="18" s="1"/>
  <c r="AQ9" i="18"/>
  <c r="C115" i="8"/>
  <c r="C61" i="3"/>
  <c r="R178" i="18"/>
  <c r="R17" i="18"/>
  <c r="H77" i="3"/>
  <c r="AQ255" i="18"/>
  <c r="AQ259" i="18" s="1"/>
  <c r="AP253" i="18"/>
  <c r="AP444" i="18" s="1"/>
  <c r="P315" i="18"/>
  <c r="P18" i="18"/>
  <c r="P123" i="18"/>
  <c r="P179" i="18"/>
  <c r="E220" i="8"/>
  <c r="E107" i="8" s="1"/>
  <c r="E148" i="8"/>
  <c r="E147" i="8"/>
  <c r="E149" i="8"/>
  <c r="G147" i="8"/>
  <c r="AN445" i="18"/>
  <c r="AN362" i="18"/>
  <c r="AN366" i="18" s="1"/>
  <c r="AQ456" i="18"/>
  <c r="L48" i="3"/>
  <c r="I45" i="25" s="1"/>
  <c r="L80" i="3"/>
  <c r="L30" i="3"/>
  <c r="D199" i="18"/>
  <c r="AF199" i="18"/>
  <c r="AF207" i="18"/>
  <c r="N115" i="8"/>
  <c r="N111" i="8"/>
  <c r="N61" i="3"/>
  <c r="P111" i="8"/>
  <c r="Q327" i="18"/>
  <c r="AN360" i="18"/>
  <c r="AN364" i="18" s="1"/>
  <c r="AE202" i="18"/>
  <c r="AE208" i="18"/>
  <c r="C159" i="8"/>
  <c r="C280" i="8"/>
  <c r="C281" i="8"/>
  <c r="C75" i="3"/>
  <c r="C77" i="3" s="1"/>
  <c r="N149" i="8"/>
  <c r="N147" i="8"/>
  <c r="N148" i="8"/>
  <c r="P147" i="8"/>
  <c r="E278" i="8"/>
  <c r="E275" i="8"/>
  <c r="E246" i="8"/>
  <c r="E248" i="8" s="1"/>
  <c r="E250" i="8" s="1"/>
  <c r="E251" i="8" s="1"/>
  <c r="E373" i="8"/>
  <c r="I45" i="3"/>
  <c r="I55" i="3"/>
  <c r="I88" i="3"/>
  <c r="I57" i="3"/>
  <c r="I69" i="3"/>
  <c r="H160" i="8"/>
  <c r="H161" i="8"/>
  <c r="E202" i="18"/>
  <c r="E208" i="18"/>
  <c r="M72" i="3"/>
  <c r="I208" i="18"/>
  <c r="I202" i="18"/>
  <c r="AO360" i="18"/>
  <c r="AG202" i="18"/>
  <c r="AG208" i="18"/>
  <c r="AP271" i="18"/>
  <c r="AQ448" i="18"/>
  <c r="AO64" i="3"/>
  <c r="AO62" i="3"/>
  <c r="AO54" i="3"/>
  <c r="AO109" i="3"/>
  <c r="AP62" i="3"/>
  <c r="AR22" i="18"/>
  <c r="M202" i="18"/>
  <c r="M208" i="18"/>
  <c r="M109" i="3"/>
  <c r="AL111" i="8"/>
  <c r="AL115" i="8"/>
  <c r="AG61" i="3"/>
  <c r="J235" i="8"/>
  <c r="AU45" i="3"/>
  <c r="AB15" i="25" s="1"/>
  <c r="AB16" i="25" s="1"/>
  <c r="AU57" i="3"/>
  <c r="AU69" i="3"/>
  <c r="AU88" i="3"/>
  <c r="K39" i="4"/>
  <c r="K39" i="23"/>
  <c r="AQ8" i="18"/>
  <c r="AQ54" i="3"/>
  <c r="AQ64" i="3"/>
  <c r="AQ62" i="3"/>
  <c r="AR62" i="3"/>
  <c r="AQ109" i="3"/>
  <c r="T66" i="23"/>
  <c r="F110" i="8"/>
  <c r="F114" i="8"/>
  <c r="H110" i="8"/>
  <c r="AH111" i="8"/>
  <c r="AH115" i="8"/>
  <c r="AC61" i="3"/>
  <c r="BA288" i="8"/>
  <c r="AM295" i="18"/>
  <c r="AM160" i="8"/>
  <c r="AM161" i="8"/>
  <c r="L202" i="18"/>
  <c r="AJ199" i="18"/>
  <c r="AJ207" i="18"/>
  <c r="Q326" i="18"/>
  <c r="AO326" i="18" s="1"/>
  <c r="AN361" i="18"/>
  <c r="AN365" i="18" s="1"/>
  <c r="M48" i="3"/>
  <c r="J45" i="25" s="1"/>
  <c r="M30" i="3"/>
  <c r="M80" i="3"/>
  <c r="N278" i="8"/>
  <c r="N275" i="8"/>
  <c r="N373" i="8"/>
  <c r="N246" i="8"/>
  <c r="N248" i="8" s="1"/>
  <c r="N250" i="8" s="1"/>
  <c r="N251" i="8" s="1"/>
  <c r="AR442" i="18"/>
  <c r="P128" i="18"/>
  <c r="P322" i="18"/>
  <c r="AN322" i="18" s="1"/>
  <c r="AN183" i="18"/>
  <c r="AN128" i="18" s="1"/>
  <c r="AH202" i="18"/>
  <c r="AH208" i="18"/>
  <c r="AZ288" i="8"/>
  <c r="AL295" i="18"/>
  <c r="AM111" i="8"/>
  <c r="AM115" i="8"/>
  <c r="AH61" i="3"/>
  <c r="BA281" i="8"/>
  <c r="BA280" i="8"/>
  <c r="AV75" i="3"/>
  <c r="BB279" i="8"/>
  <c r="F159" i="8"/>
  <c r="F281" i="8"/>
  <c r="F279" i="8"/>
  <c r="F280" i="8"/>
  <c r="F75" i="3"/>
  <c r="H76" i="3" s="1"/>
  <c r="J199" i="18"/>
  <c r="AI107" i="8"/>
  <c r="AJ111" i="8" s="1"/>
  <c r="AI159" i="8"/>
  <c r="AJ115" i="8"/>
  <c r="AE61" i="3"/>
  <c r="AN160" i="8"/>
  <c r="AN161" i="8"/>
  <c r="AM5" i="18"/>
  <c r="M5" i="18"/>
  <c r="N5" i="18" s="1"/>
  <c r="AO424" i="18"/>
  <c r="G45" i="3"/>
  <c r="G88" i="3"/>
  <c r="G57" i="3"/>
  <c r="G69" i="3"/>
  <c r="O202" i="18"/>
  <c r="O208" i="18"/>
  <c r="AQ160" i="8"/>
  <c r="AQ161" i="8"/>
  <c r="M14" i="23"/>
  <c r="AN175" i="18"/>
  <c r="AN115" i="8"/>
  <c r="AN111" i="8"/>
  <c r="AI61" i="3"/>
  <c r="AR39" i="18"/>
  <c r="AR43" i="18" s="1"/>
  <c r="AO469" i="18"/>
  <c r="AX243" i="8"/>
  <c r="AX298" i="8"/>
  <c r="H115" i="8"/>
  <c r="H61" i="3"/>
  <c r="J111" i="8"/>
  <c r="AR7" i="18"/>
  <c r="L5" i="18"/>
  <c r="AQ24" i="18"/>
  <c r="AQ28" i="18" s="1"/>
  <c r="AX111" i="8"/>
  <c r="AX115" i="8"/>
  <c r="AS61" i="3"/>
  <c r="AY111" i="8"/>
  <c r="R183" i="18"/>
  <c r="AO239" i="18"/>
  <c r="AO240" i="18" s="1"/>
  <c r="AY147" i="8"/>
  <c r="AX149" i="8"/>
  <c r="AX148" i="8"/>
  <c r="AX159" i="8"/>
  <c r="AX147" i="8"/>
  <c r="AP44" i="18"/>
  <c r="C64" i="2"/>
  <c r="AF549" i="18"/>
  <c r="AF542" i="18"/>
  <c r="AF535" i="18"/>
  <c r="AF556" i="18"/>
  <c r="T54" i="3" l="1"/>
  <c r="AW54" i="3" s="1"/>
  <c r="AW69" i="3" s="1"/>
  <c r="AW61" i="3"/>
  <c r="AW64" i="3" s="1"/>
  <c r="T64" i="3"/>
  <c r="M62" i="3"/>
  <c r="AW24" i="27"/>
  <c r="AW23" i="27"/>
  <c r="AW26" i="3"/>
  <c r="AW26" i="27" s="1"/>
  <c r="AW25" i="27"/>
  <c r="K54" i="3"/>
  <c r="K55" i="3" s="1"/>
  <c r="K64" i="3"/>
  <c r="AW13" i="3"/>
  <c r="AW13" i="27" s="1"/>
  <c r="AW12" i="27"/>
  <c r="U14" i="24"/>
  <c r="W14" i="24"/>
  <c r="T69" i="3"/>
  <c r="T72" i="3" s="1"/>
  <c r="V55" i="3"/>
  <c r="AF534" i="18"/>
  <c r="AW45" i="3"/>
  <c r="AD15" i="25" s="1"/>
  <c r="AD16" i="25" s="1"/>
  <c r="AF555" i="18"/>
  <c r="AF550" i="18"/>
  <c r="AF541" i="18"/>
  <c r="AF548" i="18"/>
  <c r="AF557" i="18"/>
  <c r="K280" i="8"/>
  <c r="W150" i="3"/>
  <c r="W149" i="3"/>
  <c r="AF536" i="18"/>
  <c r="AF543" i="18"/>
  <c r="AW55" i="3"/>
  <c r="W144" i="3"/>
  <c r="M279" i="8"/>
  <c r="K159" i="8"/>
  <c r="K160" i="8" s="1"/>
  <c r="K75" i="3"/>
  <c r="K77" i="3" s="1"/>
  <c r="M39" i="23"/>
  <c r="M47" i="23" s="1"/>
  <c r="AG3" i="18"/>
  <c r="AG530" i="18" s="1"/>
  <c r="AG560" i="18"/>
  <c r="C4" i="18"/>
  <c r="AY138" i="3"/>
  <c r="AY139" i="3" s="1"/>
  <c r="AX22" i="3"/>
  <c r="V8" i="24"/>
  <c r="V14" i="24" s="1"/>
  <c r="AY141" i="3"/>
  <c r="AY142" i="3" s="1"/>
  <c r="T246" i="8"/>
  <c r="T248" i="8" s="1"/>
  <c r="T250" i="8" s="1"/>
  <c r="T251" i="8" s="1"/>
  <c r="X141" i="3"/>
  <c r="X142" i="3" s="1"/>
  <c r="X139" i="3"/>
  <c r="X137" i="3"/>
  <c r="J38" i="25"/>
  <c r="AD12" i="25"/>
  <c r="AD13" i="25"/>
  <c r="T363" i="8"/>
  <c r="T365" i="8" s="1"/>
  <c r="M37" i="4"/>
  <c r="B31" i="25"/>
  <c r="AK202" i="18"/>
  <c r="AK209" i="18" s="1"/>
  <c r="AY287" i="8" s="1"/>
  <c r="Y16" i="25"/>
  <c r="S365" i="8"/>
  <c r="P72" i="3"/>
  <c r="S72" i="3"/>
  <c r="U70" i="3"/>
  <c r="U46" i="3"/>
  <c r="S48" i="3"/>
  <c r="P45" i="25" s="1"/>
  <c r="S30" i="3"/>
  <c r="S80" i="3"/>
  <c r="S81" i="3" s="1"/>
  <c r="S91" i="3" s="1"/>
  <c r="S93" i="3" s="1"/>
  <c r="S94" i="3" s="1"/>
  <c r="X22" i="3"/>
  <c r="X22" i="27" s="1"/>
  <c r="BL22" i="3"/>
  <c r="BL23" i="3" s="1"/>
  <c r="W129" i="3"/>
  <c r="W125" i="3"/>
  <c r="W25" i="3"/>
  <c r="W25" i="27" s="1"/>
  <c r="W66" i="3"/>
  <c r="W60" i="3"/>
  <c r="W23" i="3"/>
  <c r="W23" i="27" s="1"/>
  <c r="W26" i="3"/>
  <c r="W26" i="27" s="1"/>
  <c r="S279" i="8"/>
  <c r="U279" i="8"/>
  <c r="U126" i="3"/>
  <c r="U127" i="3" s="1"/>
  <c r="AP281" i="8"/>
  <c r="V125" i="3"/>
  <c r="V130" i="3" s="1"/>
  <c r="AP279" i="8"/>
  <c r="AP280" i="8"/>
  <c r="AZ281" i="8"/>
  <c r="AU75" i="3"/>
  <c r="AU77" i="3" s="1"/>
  <c r="J64" i="3"/>
  <c r="BA279" i="8"/>
  <c r="AH160" i="8"/>
  <c r="M23" i="4"/>
  <c r="J54" i="3"/>
  <c r="L55" i="3" s="1"/>
  <c r="M45" i="4"/>
  <c r="AP161" i="8"/>
  <c r="AK54" i="3"/>
  <c r="AK88" i="3" s="1"/>
  <c r="M21" i="4"/>
  <c r="M19" i="4"/>
  <c r="M20" i="4" s="1"/>
  <c r="M22" i="4"/>
  <c r="M19" i="23"/>
  <c r="M20" i="23" s="1"/>
  <c r="AK109" i="3"/>
  <c r="M21" i="23"/>
  <c r="M23" i="23"/>
  <c r="M37" i="23"/>
  <c r="M45" i="23"/>
  <c r="I281" i="8"/>
  <c r="I75" i="3"/>
  <c r="I76" i="3" s="1"/>
  <c r="R235" i="8"/>
  <c r="R234" i="8"/>
  <c r="K279" i="8"/>
  <c r="I280" i="8"/>
  <c r="I159" i="8"/>
  <c r="I161" i="8" s="1"/>
  <c r="T139" i="8"/>
  <c r="U138" i="8" s="1"/>
  <c r="U139" i="8" s="1"/>
  <c r="V138" i="8" s="1"/>
  <c r="V139" i="8" s="1"/>
  <c r="W138" i="8" s="1"/>
  <c r="W139" i="8" s="1"/>
  <c r="S281" i="8"/>
  <c r="S75" i="3"/>
  <c r="S280" i="8"/>
  <c r="S159" i="8"/>
  <c r="T278" i="8"/>
  <c r="V279" i="8" s="1"/>
  <c r="M15" i="23"/>
  <c r="AQ44" i="18"/>
  <c r="AI208" i="18"/>
  <c r="AI202" i="18"/>
  <c r="M160" i="8"/>
  <c r="M161" i="8"/>
  <c r="AP29" i="18"/>
  <c r="O45" i="3"/>
  <c r="M42" i="25" s="1"/>
  <c r="O57" i="3"/>
  <c r="O69" i="3"/>
  <c r="O88" i="3"/>
  <c r="P109" i="3" s="1"/>
  <c r="O55" i="3"/>
  <c r="AP239" i="18"/>
  <c r="AP183" i="18" s="1"/>
  <c r="AP322" i="18" s="1"/>
  <c r="AP175" i="18"/>
  <c r="AP174" i="18" s="1"/>
  <c r="AP118" i="18" s="1"/>
  <c r="O161" i="8"/>
  <c r="O160" i="8"/>
  <c r="AP177" i="18"/>
  <c r="O77" i="3"/>
  <c r="O76" i="3"/>
  <c r="AV55" i="3"/>
  <c r="AE107" i="8"/>
  <c r="AF111" i="8" s="1"/>
  <c r="AE159" i="8"/>
  <c r="M11" i="23"/>
  <c r="M9" i="23"/>
  <c r="M10" i="23" s="1"/>
  <c r="M9" i="4"/>
  <c r="M10" i="4" s="1"/>
  <c r="M11" i="4"/>
  <c r="M15" i="4"/>
  <c r="AT64" i="3"/>
  <c r="AT54" i="3"/>
  <c r="AU62" i="3"/>
  <c r="AY161" i="8"/>
  <c r="AY160" i="8"/>
  <c r="AY373" i="8"/>
  <c r="AY275" i="8"/>
  <c r="AY278" i="8"/>
  <c r="AY246" i="8"/>
  <c r="AY248" i="8" s="1"/>
  <c r="AY250" i="8" s="1"/>
  <c r="AY251" i="8" s="1"/>
  <c r="AN280" i="8"/>
  <c r="AN281" i="8"/>
  <c r="AI75" i="3"/>
  <c r="AI77" i="3" s="1"/>
  <c r="AO327" i="18"/>
  <c r="R363" i="8"/>
  <c r="R365" i="8" s="1"/>
  <c r="AV45" i="3"/>
  <c r="L39" i="23"/>
  <c r="AV69" i="3"/>
  <c r="AV72" i="3" s="1"/>
  <c r="AV57" i="3"/>
  <c r="L39" i="4"/>
  <c r="AV88" i="3"/>
  <c r="AV109" i="3" s="1"/>
  <c r="AH280" i="8"/>
  <c r="AH281" i="8"/>
  <c r="AC75" i="3"/>
  <c r="AC77" i="3" s="1"/>
  <c r="AL280" i="8"/>
  <c r="AL281" i="8"/>
  <c r="AG75" i="3"/>
  <c r="AG77" i="3" s="1"/>
  <c r="AO175" i="18"/>
  <c r="AO17" i="18" s="1"/>
  <c r="AM279" i="8"/>
  <c r="AM280" i="8"/>
  <c r="AM281" i="8"/>
  <c r="AN279" i="8"/>
  <c r="AH75" i="3"/>
  <c r="AL279" i="8"/>
  <c r="AK280" i="8"/>
  <c r="AK281" i="8"/>
  <c r="AF75" i="3"/>
  <c r="J159" i="8"/>
  <c r="J280" i="8"/>
  <c r="J281" i="8"/>
  <c r="J75" i="3"/>
  <c r="J279" i="8"/>
  <c r="L279" i="8"/>
  <c r="L365" i="8"/>
  <c r="D115" i="8"/>
  <c r="D61" i="3"/>
  <c r="AO115" i="8"/>
  <c r="AJ61" i="3"/>
  <c r="AJ62" i="3" s="1"/>
  <c r="AP111" i="8"/>
  <c r="L235" i="8"/>
  <c r="N234" i="8"/>
  <c r="D354" i="18"/>
  <c r="D355" i="18" s="1"/>
  <c r="D357" i="18" s="1"/>
  <c r="C357" i="18"/>
  <c r="AO111" i="8"/>
  <c r="AE75" i="3"/>
  <c r="AJ281" i="8"/>
  <c r="AJ280" i="8"/>
  <c r="AK279" i="8"/>
  <c r="AI354" i="18"/>
  <c r="AI355" i="18" s="1"/>
  <c r="AH357" i="18"/>
  <c r="E354" i="18"/>
  <c r="E355" i="18" s="1"/>
  <c r="B63" i="2"/>
  <c r="Q160" i="8"/>
  <c r="Q161" i="8"/>
  <c r="D39" i="23"/>
  <c r="AN88" i="3"/>
  <c r="AN57" i="3"/>
  <c r="AN45" i="3"/>
  <c r="U15" i="25" s="1"/>
  <c r="U16" i="25" s="1"/>
  <c r="AN69" i="3"/>
  <c r="AN72" i="3" s="1"/>
  <c r="D39" i="4"/>
  <c r="P80" i="3"/>
  <c r="P81" i="3" s="1"/>
  <c r="P91" i="3" s="1"/>
  <c r="P93" i="3" s="1"/>
  <c r="P97" i="3" s="1"/>
  <c r="P30" i="3"/>
  <c r="P48" i="3"/>
  <c r="M45" i="25" s="1"/>
  <c r="AH279" i="8"/>
  <c r="AG281" i="8"/>
  <c r="AG279" i="8"/>
  <c r="AG280" i="8"/>
  <c r="AB75" i="3"/>
  <c r="AB77" i="3" s="1"/>
  <c r="Q77" i="3"/>
  <c r="Q76" i="3"/>
  <c r="D161" i="8"/>
  <c r="D160" i="8"/>
  <c r="Q45" i="3"/>
  <c r="N42" i="25" s="1"/>
  <c r="Q69" i="3"/>
  <c r="BI69" i="3" s="1"/>
  <c r="BI72" i="3" s="1"/>
  <c r="S55" i="3"/>
  <c r="Q55" i="3"/>
  <c r="Q57" i="3"/>
  <c r="Q88" i="3"/>
  <c r="Q109" i="3" s="1"/>
  <c r="AO160" i="8"/>
  <c r="AO161" i="8"/>
  <c r="S127" i="3"/>
  <c r="R278" i="8"/>
  <c r="R275" i="8"/>
  <c r="R246" i="8"/>
  <c r="R248" i="8" s="1"/>
  <c r="R250" i="8" s="1"/>
  <c r="R251" i="8" s="1"/>
  <c r="R373" i="8"/>
  <c r="BE61" i="3"/>
  <c r="AO280" i="8"/>
  <c r="AO279" i="8"/>
  <c r="AO281" i="8"/>
  <c r="AJ75" i="3"/>
  <c r="AK76" i="3" s="1"/>
  <c r="S131" i="3"/>
  <c r="U131" i="3"/>
  <c r="AP57" i="3"/>
  <c r="AP88" i="3"/>
  <c r="F39" i="4"/>
  <c r="F39" i="23"/>
  <c r="AP69" i="3"/>
  <c r="AP72" i="3" s="1"/>
  <c r="AP45" i="3"/>
  <c r="W15" i="25" s="1"/>
  <c r="W16" i="25" s="1"/>
  <c r="AK77" i="3"/>
  <c r="AO483" i="18"/>
  <c r="AO476" i="18"/>
  <c r="AQ216" i="18"/>
  <c r="AP292" i="18"/>
  <c r="AI280" i="8"/>
  <c r="AD75" i="3"/>
  <c r="AD77" i="3" s="1"/>
  <c r="AI281" i="8"/>
  <c r="AJ279" i="8"/>
  <c r="AI279" i="8"/>
  <c r="P161" i="8"/>
  <c r="P160" i="8"/>
  <c r="R345" i="18"/>
  <c r="R476" i="18"/>
  <c r="AM45" i="3"/>
  <c r="T15" i="25" s="1"/>
  <c r="T16" i="25" s="1"/>
  <c r="AM88" i="3"/>
  <c r="C39" i="4"/>
  <c r="C39" i="23"/>
  <c r="AM57" i="3"/>
  <c r="AM69" i="3"/>
  <c r="AN55" i="3"/>
  <c r="AR30" i="3"/>
  <c r="H31" i="23"/>
  <c r="AR48" i="3"/>
  <c r="AR80" i="3"/>
  <c r="H31" i="4"/>
  <c r="F68" i="2"/>
  <c r="E68" i="2"/>
  <c r="R61" i="3"/>
  <c r="R111" i="8"/>
  <c r="T111" i="8"/>
  <c r="R115" i="8"/>
  <c r="AQ213" i="18"/>
  <c r="AP232" i="18"/>
  <c r="H47" i="4"/>
  <c r="H50" i="4" s="1"/>
  <c r="H67" i="4"/>
  <c r="H42" i="4"/>
  <c r="E85" i="2"/>
  <c r="F86" i="2" s="1"/>
  <c r="E90" i="2"/>
  <c r="T131" i="3"/>
  <c r="R131" i="3"/>
  <c r="G86" i="2"/>
  <c r="R148" i="8"/>
  <c r="R149" i="8"/>
  <c r="R147" i="8"/>
  <c r="T147" i="8"/>
  <c r="AF160" i="8"/>
  <c r="AF161" i="8"/>
  <c r="AW101" i="3"/>
  <c r="AW98" i="3" s="1"/>
  <c r="T98" i="3"/>
  <c r="G209" i="18"/>
  <c r="K287" i="8" s="1"/>
  <c r="G210" i="18"/>
  <c r="K288" i="8" s="1"/>
  <c r="T127" i="3"/>
  <c r="R127" i="3"/>
  <c r="AA61" i="3"/>
  <c r="AF115" i="8"/>
  <c r="H42" i="23"/>
  <c r="H47" i="23"/>
  <c r="H50" i="23" s="1"/>
  <c r="H67" i="23"/>
  <c r="D85" i="2"/>
  <c r="D90" i="2"/>
  <c r="AQ271" i="18"/>
  <c r="U66" i="23"/>
  <c r="AR448" i="18"/>
  <c r="I46" i="3"/>
  <c r="I48" i="3"/>
  <c r="F45" i="25" s="1"/>
  <c r="I80" i="3"/>
  <c r="I30" i="3"/>
  <c r="L81" i="3"/>
  <c r="L91" i="3" s="1"/>
  <c r="L93" i="3" s="1"/>
  <c r="M81" i="3"/>
  <c r="M91" i="3" s="1"/>
  <c r="M93" i="3" s="1"/>
  <c r="AN17" i="18"/>
  <c r="AN178" i="18"/>
  <c r="AR8" i="18"/>
  <c r="AJ202" i="18"/>
  <c r="AJ478" i="18" s="1"/>
  <c r="AJ208" i="18"/>
  <c r="O5" i="18"/>
  <c r="AN5" i="18"/>
  <c r="AV77" i="3"/>
  <c r="AU30" i="3"/>
  <c r="AU48" i="3"/>
  <c r="AU80" i="3"/>
  <c r="K31" i="4"/>
  <c r="K31" i="23"/>
  <c r="N54" i="3"/>
  <c r="N64" i="3"/>
  <c r="N62" i="3"/>
  <c r="P62" i="3"/>
  <c r="AN315" i="18"/>
  <c r="AR9" i="18"/>
  <c r="AO45" i="3"/>
  <c r="V15" i="25" s="1"/>
  <c r="V16" i="25" s="1"/>
  <c r="AO57" i="3"/>
  <c r="AO69" i="3"/>
  <c r="AO55" i="3"/>
  <c r="AO88" i="3"/>
  <c r="E39" i="4"/>
  <c r="AP55" i="3"/>
  <c r="E39" i="23"/>
  <c r="E210" i="18"/>
  <c r="E209" i="18"/>
  <c r="K210" i="18"/>
  <c r="O288" i="8" s="1"/>
  <c r="K209" i="18"/>
  <c r="O287" i="8" s="1"/>
  <c r="AL478" i="18"/>
  <c r="F202" i="18"/>
  <c r="M41" i="3"/>
  <c r="M35" i="3"/>
  <c r="M33" i="3"/>
  <c r="M144" i="3"/>
  <c r="AX160" i="8"/>
  <c r="AX161" i="8"/>
  <c r="AP281" i="18"/>
  <c r="AP344" i="18"/>
  <c r="H54" i="3"/>
  <c r="H64" i="3"/>
  <c r="J62" i="3"/>
  <c r="AC54" i="3"/>
  <c r="AC62" i="3"/>
  <c r="AC109" i="3"/>
  <c r="AC64" i="3"/>
  <c r="C160" i="8"/>
  <c r="C161" i="8"/>
  <c r="AE54" i="3"/>
  <c r="AE64" i="3"/>
  <c r="AE109" i="3"/>
  <c r="AG64" i="3"/>
  <c r="AG62" i="3"/>
  <c r="AG54" i="3"/>
  <c r="AG109" i="3"/>
  <c r="AG210" i="18"/>
  <c r="AG295" i="18" s="1"/>
  <c r="AG209" i="18"/>
  <c r="AL54" i="3"/>
  <c r="AL64" i="3"/>
  <c r="AL62" i="3"/>
  <c r="AM62" i="3"/>
  <c r="AL109" i="3"/>
  <c r="AQ48" i="18"/>
  <c r="AQ47" i="18" s="1"/>
  <c r="AQ34" i="18"/>
  <c r="AQ171" i="18"/>
  <c r="AQ469" i="18" s="1"/>
  <c r="AQ10" i="18"/>
  <c r="AQ26" i="18"/>
  <c r="AH54" i="3"/>
  <c r="AH64" i="3"/>
  <c r="AH62" i="3"/>
  <c r="AH109" i="3"/>
  <c r="AE210" i="18"/>
  <c r="AE209" i="18"/>
  <c r="AF202" i="18"/>
  <c r="AF208" i="18"/>
  <c r="AR255" i="18"/>
  <c r="AQ253" i="18"/>
  <c r="AQ444" i="18" s="1"/>
  <c r="O209" i="18"/>
  <c r="S287" i="8" s="1"/>
  <c r="T287" i="8" s="1"/>
  <c r="O210" i="18"/>
  <c r="S288" i="8" s="1"/>
  <c r="T288" i="8" s="1"/>
  <c r="AQ45" i="3"/>
  <c r="X15" i="25" s="1"/>
  <c r="X16" i="25" s="1"/>
  <c r="AQ88" i="3"/>
  <c r="AQ57" i="3"/>
  <c r="AQ69" i="3"/>
  <c r="AQ55" i="3"/>
  <c r="G39" i="4"/>
  <c r="G39" i="23"/>
  <c r="AR55" i="3"/>
  <c r="M210" i="18"/>
  <c r="Q288" i="8" s="1"/>
  <c r="M209" i="18"/>
  <c r="Q287" i="8" s="1"/>
  <c r="AM478" i="18"/>
  <c r="E159" i="8"/>
  <c r="E279" i="8"/>
  <c r="E281" i="8"/>
  <c r="E280" i="8"/>
  <c r="E75" i="3"/>
  <c r="G279" i="8"/>
  <c r="D202" i="18"/>
  <c r="AQ279" i="8"/>
  <c r="AQ280" i="8"/>
  <c r="AQ281" i="8"/>
  <c r="AL75" i="3"/>
  <c r="AR279" i="8"/>
  <c r="R128" i="18"/>
  <c r="R322" i="18"/>
  <c r="AO322" i="18" s="1"/>
  <c r="AO183" i="18"/>
  <c r="AO128" i="18" s="1"/>
  <c r="AX275" i="8"/>
  <c r="AX373" i="8"/>
  <c r="AX278" i="8"/>
  <c r="AX246" i="8"/>
  <c r="AX248" i="8" s="1"/>
  <c r="AX250" i="8" s="1"/>
  <c r="AX251" i="8" s="1"/>
  <c r="G72" i="3"/>
  <c r="AI160" i="8"/>
  <c r="AI161" i="8"/>
  <c r="AP360" i="18"/>
  <c r="AO364" i="18"/>
  <c r="AW72" i="3"/>
  <c r="AI111" i="8"/>
  <c r="AI115" i="8"/>
  <c r="AD61" i="3"/>
  <c r="AE62" i="3" s="1"/>
  <c r="AS54" i="3"/>
  <c r="AS62" i="3"/>
  <c r="AT62" i="3"/>
  <c r="AS64" i="3"/>
  <c r="J202" i="18"/>
  <c r="AQ27" i="18"/>
  <c r="I210" i="18"/>
  <c r="M288" i="8" s="1"/>
  <c r="I209" i="18"/>
  <c r="M287" i="8" s="1"/>
  <c r="AR46" i="18"/>
  <c r="AR15" i="18"/>
  <c r="AR41" i="18"/>
  <c r="N159" i="8"/>
  <c r="N280" i="8"/>
  <c r="N279" i="8"/>
  <c r="N281" i="8"/>
  <c r="N75" i="3"/>
  <c r="P279" i="8"/>
  <c r="K47" i="23"/>
  <c r="K42" i="23"/>
  <c r="K67" i="23"/>
  <c r="AI64" i="3"/>
  <c r="AI62" i="3"/>
  <c r="AI54" i="3"/>
  <c r="AI109" i="3"/>
  <c r="G30" i="3"/>
  <c r="G48" i="3"/>
  <c r="D45" i="25" s="1"/>
  <c r="G80" i="3"/>
  <c r="F76" i="3"/>
  <c r="F77" i="3"/>
  <c r="K42" i="4"/>
  <c r="K67" i="4"/>
  <c r="K47" i="4"/>
  <c r="I72" i="3"/>
  <c r="I70" i="3"/>
  <c r="L41" i="3"/>
  <c r="L35" i="3"/>
  <c r="L144" i="3"/>
  <c r="L145" i="3" s="1"/>
  <c r="E111" i="8"/>
  <c r="E115" i="8"/>
  <c r="E61" i="3"/>
  <c r="F107" i="8"/>
  <c r="G111" i="8"/>
  <c r="R18" i="18"/>
  <c r="R123" i="18"/>
  <c r="R179" i="18"/>
  <c r="R315" i="18"/>
  <c r="AO361" i="18"/>
  <c r="C54" i="3"/>
  <c r="C64" i="3"/>
  <c r="AB54" i="3"/>
  <c r="AB64" i="3"/>
  <c r="AB109" i="3"/>
  <c r="P124" i="18"/>
  <c r="AN179" i="18"/>
  <c r="AN124" i="18" s="1"/>
  <c r="AO362" i="18"/>
  <c r="AO445" i="18"/>
  <c r="AR24" i="18"/>
  <c r="AR28" i="18" s="1"/>
  <c r="F161" i="8"/>
  <c r="F160" i="8"/>
  <c r="AH209" i="18"/>
  <c r="AH210" i="18"/>
  <c r="AH295" i="18" s="1"/>
  <c r="AU72" i="3"/>
  <c r="AR42" i="18"/>
  <c r="AR456" i="18"/>
  <c r="AF54" i="3"/>
  <c r="AF64" i="3"/>
  <c r="AF62" i="3"/>
  <c r="AF109" i="3"/>
  <c r="B64" i="2"/>
  <c r="AG549" i="18"/>
  <c r="AG542" i="18"/>
  <c r="AG535" i="18"/>
  <c r="AG556" i="18"/>
  <c r="M55" i="3" l="1"/>
  <c r="K69" i="3"/>
  <c r="K70" i="3" s="1"/>
  <c r="AW62" i="3"/>
  <c r="AW88" i="3"/>
  <c r="T57" i="3"/>
  <c r="T45" i="3"/>
  <c r="R42" i="25" s="1"/>
  <c r="M39" i="4"/>
  <c r="M42" i="4" s="1"/>
  <c r="AW57" i="3"/>
  <c r="T88" i="3"/>
  <c r="K57" i="3"/>
  <c r="K88" i="3"/>
  <c r="L109" i="3" s="1"/>
  <c r="K45" i="3"/>
  <c r="K30" i="3" s="1"/>
  <c r="AX23" i="3"/>
  <c r="AX23" i="27" s="1"/>
  <c r="AX22" i="27"/>
  <c r="V70" i="3"/>
  <c r="BK69" i="3"/>
  <c r="BK72" i="3" s="1"/>
  <c r="AD18" i="25"/>
  <c r="M31" i="4"/>
  <c r="M25" i="4" s="1"/>
  <c r="AW75" i="3"/>
  <c r="AW77" i="3" s="1"/>
  <c r="AW48" i="3"/>
  <c r="M31" i="23"/>
  <c r="M25" i="23" s="1"/>
  <c r="AY22" i="3"/>
  <c r="X53" i="3"/>
  <c r="AY53" i="3" s="1"/>
  <c r="O36" i="23" s="1"/>
  <c r="AG548" i="18"/>
  <c r="K161" i="8"/>
  <c r="AG541" i="18"/>
  <c r="AG550" i="18"/>
  <c r="W30" i="3"/>
  <c r="W45" i="3" s="1"/>
  <c r="W148" i="3"/>
  <c r="AG534" i="18"/>
  <c r="AG557" i="18"/>
  <c r="AG555" i="18"/>
  <c r="AG536" i="18"/>
  <c r="AG543" i="18"/>
  <c r="M76" i="3"/>
  <c r="M67" i="23"/>
  <c r="M42" i="23"/>
  <c r="M40" i="23"/>
  <c r="M41" i="23" s="1"/>
  <c r="D4" i="18"/>
  <c r="C3" i="18"/>
  <c r="C530" i="18" s="1"/>
  <c r="C560" i="18"/>
  <c r="AK210" i="18"/>
  <c r="AY288" i="8" s="1"/>
  <c r="AK478" i="18"/>
  <c r="X144" i="3"/>
  <c r="X148" i="3" s="1"/>
  <c r="AV46" i="3"/>
  <c r="AC15" i="25"/>
  <c r="AC16" i="25" s="1"/>
  <c r="AX25" i="3"/>
  <c r="M11" i="21"/>
  <c r="W126" i="3"/>
  <c r="W127" i="3" s="1"/>
  <c r="W130" i="3"/>
  <c r="W131" i="3" s="1"/>
  <c r="X125" i="3"/>
  <c r="S97" i="3"/>
  <c r="N18" i="23"/>
  <c r="N21" i="23" s="1"/>
  <c r="S82" i="3"/>
  <c r="S84" i="3" s="1"/>
  <c r="U31" i="3"/>
  <c r="S144" i="3"/>
  <c r="U34" i="3"/>
  <c r="S41" i="3"/>
  <c r="U42" i="3" s="1"/>
  <c r="S35" i="3"/>
  <c r="N18" i="4"/>
  <c r="N19" i="4" s="1"/>
  <c r="N20" i="4" s="1"/>
  <c r="V131" i="3"/>
  <c r="W24" i="27"/>
  <c r="W9" i="3"/>
  <c r="W10" i="27" s="1"/>
  <c r="X66" i="3"/>
  <c r="AY66" i="3" s="1"/>
  <c r="W67" i="3"/>
  <c r="W89" i="3"/>
  <c r="AX53" i="3"/>
  <c r="N36" i="4" s="1"/>
  <c r="AX60" i="3"/>
  <c r="X60" i="3"/>
  <c r="AY60" i="3" s="1"/>
  <c r="X25" i="3"/>
  <c r="X25" i="27" s="1"/>
  <c r="X23" i="3"/>
  <c r="X26" i="3"/>
  <c r="X26" i="27" s="1"/>
  <c r="S77" i="3"/>
  <c r="U76" i="3"/>
  <c r="AX125" i="3"/>
  <c r="AX130" i="3" s="1"/>
  <c r="AX131" i="3" s="1"/>
  <c r="V126" i="3"/>
  <c r="AX66" i="3"/>
  <c r="AX67" i="3" s="1"/>
  <c r="AV76" i="3"/>
  <c r="J69" i="3"/>
  <c r="L70" i="3" s="1"/>
  <c r="J45" i="3"/>
  <c r="J88" i="3"/>
  <c r="J109" i="3" s="1"/>
  <c r="AK57" i="3"/>
  <c r="J57" i="3"/>
  <c r="AK69" i="3"/>
  <c r="AK72" i="3" s="1"/>
  <c r="AK45" i="3"/>
  <c r="I77" i="3"/>
  <c r="K76" i="3"/>
  <c r="AP128" i="18"/>
  <c r="AI478" i="18"/>
  <c r="S76" i="3"/>
  <c r="I160" i="8"/>
  <c r="AP178" i="18"/>
  <c r="AP123" i="18" s="1"/>
  <c r="T159" i="8"/>
  <c r="T281" i="8"/>
  <c r="T75" i="3"/>
  <c r="T280" i="8"/>
  <c r="S160" i="8"/>
  <c r="S161" i="8"/>
  <c r="AI210" i="18"/>
  <c r="AI295" i="18" s="1"/>
  <c r="AI209" i="18"/>
  <c r="AV70" i="3"/>
  <c r="O72" i="3"/>
  <c r="O70" i="3"/>
  <c r="O48" i="3"/>
  <c r="L45" i="25" s="1"/>
  <c r="O80" i="3"/>
  <c r="O30" i="3"/>
  <c r="O46" i="3"/>
  <c r="P82" i="3"/>
  <c r="AO178" i="18"/>
  <c r="AW70" i="3"/>
  <c r="AE160" i="8"/>
  <c r="AE161" i="8"/>
  <c r="Z61" i="3"/>
  <c r="AE115" i="8"/>
  <c r="AW46" i="3"/>
  <c r="AZ279" i="8"/>
  <c r="AT75" i="3"/>
  <c r="AY281" i="8"/>
  <c r="AY280" i="8"/>
  <c r="L40" i="23"/>
  <c r="L41" i="23" s="1"/>
  <c r="J39" i="23"/>
  <c r="AT57" i="3"/>
  <c r="AT45" i="3"/>
  <c r="AA15" i="25" s="1"/>
  <c r="AA16" i="25" s="1"/>
  <c r="AT88" i="3"/>
  <c r="AU109" i="3" s="1"/>
  <c r="AU55" i="3"/>
  <c r="AT69" i="3"/>
  <c r="J39" i="4"/>
  <c r="AW109" i="3"/>
  <c r="L47" i="23"/>
  <c r="L48" i="23" s="1"/>
  <c r="L49" i="23" s="1"/>
  <c r="L67" i="23"/>
  <c r="L42" i="23"/>
  <c r="L31" i="4"/>
  <c r="AV80" i="3"/>
  <c r="AV81" i="3" s="1"/>
  <c r="AV30" i="3"/>
  <c r="AV31" i="3" s="1"/>
  <c r="L31" i="23"/>
  <c r="AV48" i="3"/>
  <c r="AP17" i="18"/>
  <c r="L47" i="4"/>
  <c r="L42" i="4"/>
  <c r="L67" i="4"/>
  <c r="L40" i="4"/>
  <c r="L41" i="4" s="1"/>
  <c r="BC61" i="3"/>
  <c r="J77" i="3"/>
  <c r="J76" i="3"/>
  <c r="L76" i="3"/>
  <c r="D64" i="3"/>
  <c r="D54" i="3"/>
  <c r="J160" i="8"/>
  <c r="J161" i="8"/>
  <c r="AH77" i="3"/>
  <c r="AI76" i="3"/>
  <c r="AH76" i="3"/>
  <c r="AF77" i="3"/>
  <c r="AG76" i="3"/>
  <c r="AB62" i="3"/>
  <c r="Q70" i="3"/>
  <c r="S70" i="3"/>
  <c r="Q72" i="3"/>
  <c r="D67" i="4"/>
  <c r="D47" i="4"/>
  <c r="D42" i="4"/>
  <c r="AE77" i="3"/>
  <c r="AF76" i="3"/>
  <c r="P144" i="3"/>
  <c r="P145" i="3" s="1"/>
  <c r="P41" i="3"/>
  <c r="P35" i="3"/>
  <c r="S46" i="3"/>
  <c r="Q48" i="3"/>
  <c r="N45" i="25" s="1"/>
  <c r="Q80" i="3"/>
  <c r="Q81" i="3" s="1"/>
  <c r="Q91" i="3" s="1"/>
  <c r="Q93" i="3" s="1"/>
  <c r="Q97" i="3" s="1"/>
  <c r="Q46" i="3"/>
  <c r="Q30" i="3"/>
  <c r="K72" i="3"/>
  <c r="M70" i="3"/>
  <c r="AN48" i="3"/>
  <c r="AN30" i="3"/>
  <c r="D31" i="4"/>
  <c r="D31" i="23"/>
  <c r="AN80" i="3"/>
  <c r="E357" i="18"/>
  <c r="F354" i="18"/>
  <c r="F355" i="18" s="1"/>
  <c r="F357" i="18" s="1"/>
  <c r="G354" i="18"/>
  <c r="G355" i="18" s="1"/>
  <c r="AI357" i="18"/>
  <c r="AJ354" i="18"/>
  <c r="AJ355" i="18" s="1"/>
  <c r="AK62" i="3"/>
  <c r="AJ54" i="3"/>
  <c r="AJ55" i="3" s="1"/>
  <c r="AJ64" i="3"/>
  <c r="BD61" i="3"/>
  <c r="AJ109" i="3"/>
  <c r="D47" i="23"/>
  <c r="D42" i="23"/>
  <c r="D67" i="23"/>
  <c r="C83" i="2"/>
  <c r="C84" i="2" s="1"/>
  <c r="C65" i="2"/>
  <c r="C67" i="2" s="1"/>
  <c r="D68" i="2" s="1"/>
  <c r="B83" i="2"/>
  <c r="B84" i="2" s="1"/>
  <c r="B65" i="2"/>
  <c r="B67" i="2" s="1"/>
  <c r="H25" i="23"/>
  <c r="H28" i="23" s="1"/>
  <c r="H34" i="23"/>
  <c r="AR41" i="3"/>
  <c r="AR144" i="3"/>
  <c r="AR145" i="3" s="1"/>
  <c r="AR35" i="3"/>
  <c r="AP30" i="3"/>
  <c r="AP80" i="3"/>
  <c r="F31" i="4"/>
  <c r="F31" i="23"/>
  <c r="AP48" i="3"/>
  <c r="R54" i="3"/>
  <c r="R64" i="3"/>
  <c r="R62" i="3"/>
  <c r="T62" i="3"/>
  <c r="AQ292" i="18"/>
  <c r="AR216" i="18"/>
  <c r="AR292" i="18" s="1"/>
  <c r="AJ77" i="3"/>
  <c r="AJ76" i="3"/>
  <c r="M63" i="4"/>
  <c r="M63" i="23"/>
  <c r="AM80" i="3"/>
  <c r="AM81" i="3" s="1"/>
  <c r="AM48" i="3"/>
  <c r="C31" i="4"/>
  <c r="AM30" i="3"/>
  <c r="C31" i="23"/>
  <c r="AN46" i="3"/>
  <c r="AP476" i="18"/>
  <c r="AP345" i="18"/>
  <c r="AP349" i="18" s="1"/>
  <c r="AN70" i="3"/>
  <c r="AM72" i="3"/>
  <c r="F47" i="23"/>
  <c r="F67" i="23"/>
  <c r="F42" i="23"/>
  <c r="L82" i="3"/>
  <c r="AQ232" i="18"/>
  <c r="AR213" i="18"/>
  <c r="AR232" i="18" s="1"/>
  <c r="F47" i="4"/>
  <c r="F42" i="4"/>
  <c r="F67" i="4"/>
  <c r="E86" i="2"/>
  <c r="H34" i="4"/>
  <c r="H25" i="4"/>
  <c r="H28" i="4" s="1"/>
  <c r="C42" i="23"/>
  <c r="C67" i="23"/>
  <c r="C47" i="23"/>
  <c r="D40" i="23"/>
  <c r="AA109" i="3"/>
  <c r="AA54" i="3"/>
  <c r="AA64" i="3"/>
  <c r="AR81" i="3"/>
  <c r="C47" i="4"/>
  <c r="C42" i="4"/>
  <c r="C67" i="4"/>
  <c r="D40" i="4"/>
  <c r="R159" i="8"/>
  <c r="R280" i="8"/>
  <c r="R75" i="3"/>
  <c r="R279" i="8"/>
  <c r="R281" i="8"/>
  <c r="T279" i="8"/>
  <c r="T284" i="8"/>
  <c r="T83" i="3"/>
  <c r="AU81" i="3"/>
  <c r="AU82" i="3" s="1"/>
  <c r="AU84" i="3" s="1"/>
  <c r="M82" i="3"/>
  <c r="M84" i="3" s="1"/>
  <c r="AC45" i="3"/>
  <c r="AC88" i="3"/>
  <c r="AC57" i="3"/>
  <c r="AC69" i="3"/>
  <c r="M94" i="3"/>
  <c r="M97" i="3"/>
  <c r="AP362" i="18"/>
  <c r="AO366" i="18"/>
  <c r="L97" i="3"/>
  <c r="C45" i="3"/>
  <c r="C57" i="3"/>
  <c r="C69" i="3"/>
  <c r="C72" i="3" s="1"/>
  <c r="C88" i="3"/>
  <c r="AI45" i="3"/>
  <c r="P15" i="25" s="1"/>
  <c r="P16" i="25" s="1"/>
  <c r="AI55" i="3"/>
  <c r="AI88" i="3"/>
  <c r="AI57" i="3"/>
  <c r="AI69" i="3"/>
  <c r="AQ360" i="18"/>
  <c r="AR360" i="18" s="1"/>
  <c r="AP425" i="18"/>
  <c r="AL77" i="3"/>
  <c r="AL76" i="3"/>
  <c r="AM76" i="3"/>
  <c r="E160" i="8"/>
  <c r="E161" i="8"/>
  <c r="E40" i="23"/>
  <c r="E67" i="23"/>
  <c r="E47" i="23"/>
  <c r="E42" i="23"/>
  <c r="F40" i="23"/>
  <c r="AU41" i="3"/>
  <c r="AU35" i="3"/>
  <c r="AU144" i="3"/>
  <c r="K50" i="4"/>
  <c r="AR253" i="18"/>
  <c r="AR444" i="18" s="1"/>
  <c r="AL57" i="3"/>
  <c r="AL69" i="3"/>
  <c r="AL55" i="3"/>
  <c r="AL45" i="3"/>
  <c r="S15" i="25" s="1"/>
  <c r="S16" i="25" s="1"/>
  <c r="AL88" i="3"/>
  <c r="AM55" i="3"/>
  <c r="AE45" i="3"/>
  <c r="AE57" i="3"/>
  <c r="AE69" i="3"/>
  <c r="BE69" i="3" s="1"/>
  <c r="AE88" i="3"/>
  <c r="AB45" i="3"/>
  <c r="AB88" i="3"/>
  <c r="AB57" i="3"/>
  <c r="AB69" i="3"/>
  <c r="F111" i="8"/>
  <c r="F115" i="8"/>
  <c r="F61" i="3"/>
  <c r="H111" i="8"/>
  <c r="AF45" i="3"/>
  <c r="M15" i="25" s="1"/>
  <c r="AF88" i="3"/>
  <c r="AF57" i="3"/>
  <c r="AF69" i="3"/>
  <c r="AF55" i="3"/>
  <c r="E54" i="3"/>
  <c r="E64" i="3"/>
  <c r="E62" i="3"/>
  <c r="G62" i="3"/>
  <c r="N161" i="8"/>
  <c r="N160" i="8"/>
  <c r="AR259" i="18"/>
  <c r="M145" i="3"/>
  <c r="F40" i="4"/>
  <c r="E40" i="4"/>
  <c r="E42" i="4"/>
  <c r="E47" i="4"/>
  <c r="E67" i="4"/>
  <c r="I35" i="3"/>
  <c r="I31" i="3"/>
  <c r="I34" i="3"/>
  <c r="AR44" i="18"/>
  <c r="I81" i="3"/>
  <c r="I91" i="3" s="1"/>
  <c r="I93" i="3" s="1"/>
  <c r="AS45" i="3"/>
  <c r="Z15" i="25" s="1"/>
  <c r="Z16" i="25" s="1"/>
  <c r="AS88" i="3"/>
  <c r="AS57" i="3"/>
  <c r="AS69" i="3"/>
  <c r="AS55" i="3"/>
  <c r="AT55" i="3"/>
  <c r="I39" i="4"/>
  <c r="I39" i="23"/>
  <c r="AH45" i="3"/>
  <c r="O15" i="25" s="1"/>
  <c r="AH55" i="3"/>
  <c r="AH88" i="3"/>
  <c r="AH69" i="3"/>
  <c r="AH57" i="3"/>
  <c r="H45" i="3"/>
  <c r="H88" i="3"/>
  <c r="H57" i="3"/>
  <c r="H69" i="3"/>
  <c r="J55" i="3"/>
  <c r="AD54" i="3"/>
  <c r="AD62" i="3"/>
  <c r="AD64" i="3"/>
  <c r="AD109" i="3"/>
  <c r="G42" i="23"/>
  <c r="G40" i="23"/>
  <c r="G47" i="23"/>
  <c r="G67" i="23"/>
  <c r="H40" i="23"/>
  <c r="AE39" i="23"/>
  <c r="AO72" i="3"/>
  <c r="AO70" i="3"/>
  <c r="AP70" i="3"/>
  <c r="Q5" i="18"/>
  <c r="AO5" i="18"/>
  <c r="AN517" i="18"/>
  <c r="G35" i="3"/>
  <c r="AR10" i="18"/>
  <c r="AR48" i="18"/>
  <c r="AR47" i="18" s="1"/>
  <c r="AR34" i="18"/>
  <c r="AR171" i="18"/>
  <c r="AR469" i="18" s="1"/>
  <c r="AR26" i="18"/>
  <c r="AX279" i="8"/>
  <c r="AX280" i="8"/>
  <c r="AX281" i="8"/>
  <c r="AS75" i="3"/>
  <c r="AY279" i="8"/>
  <c r="AE39" i="4"/>
  <c r="G40" i="4"/>
  <c r="G42" i="4"/>
  <c r="G47" i="4"/>
  <c r="G67" i="4"/>
  <c r="H40" i="4"/>
  <c r="P5" i="18"/>
  <c r="B576" i="18"/>
  <c r="B574" i="18" s="1"/>
  <c r="AO315" i="18"/>
  <c r="N76" i="3"/>
  <c r="N77" i="3"/>
  <c r="P76" i="3"/>
  <c r="AP361" i="18"/>
  <c r="AO365" i="18"/>
  <c r="AQ29" i="18"/>
  <c r="AG45" i="3"/>
  <c r="N15" i="25" s="1"/>
  <c r="N16" i="25" s="1"/>
  <c r="AG55" i="3"/>
  <c r="AG88" i="3"/>
  <c r="AG57" i="3"/>
  <c r="AG69" i="3"/>
  <c r="AO30" i="3"/>
  <c r="AO46" i="3"/>
  <c r="AO80" i="3"/>
  <c r="AO48" i="3"/>
  <c r="E31" i="4"/>
  <c r="E31" i="23"/>
  <c r="AP46" i="3"/>
  <c r="AQ72" i="3"/>
  <c r="AQ70" i="3"/>
  <c r="AR70" i="3"/>
  <c r="M50" i="23"/>
  <c r="N45" i="3"/>
  <c r="N55" i="3"/>
  <c r="P55" i="3"/>
  <c r="N88" i="3"/>
  <c r="N57" i="3"/>
  <c r="N69" i="3"/>
  <c r="BH69" i="3" s="1"/>
  <c r="BH72" i="3" s="1"/>
  <c r="AJ210" i="18"/>
  <c r="AJ209" i="18"/>
  <c r="AX287" i="8" s="1"/>
  <c r="AH478" i="18"/>
  <c r="AR109" i="3"/>
  <c r="AF210" i="18"/>
  <c r="AF209" i="18"/>
  <c r="AQ177" i="18"/>
  <c r="AQ175" i="18"/>
  <c r="AQ239" i="18"/>
  <c r="AQ183" i="18" s="1"/>
  <c r="AR27" i="18"/>
  <c r="V66" i="23"/>
  <c r="R124" i="18"/>
  <c r="AO179" i="18"/>
  <c r="AO124" i="18" s="1"/>
  <c r="G81" i="3"/>
  <c r="G91" i="3" s="1"/>
  <c r="G93" i="3" s="1"/>
  <c r="K50" i="23"/>
  <c r="AQ46" i="3"/>
  <c r="AQ48" i="3"/>
  <c r="AQ30" i="3"/>
  <c r="AQ80" i="3"/>
  <c r="G31" i="4"/>
  <c r="G31" i="23"/>
  <c r="AR46" i="3"/>
  <c r="K34" i="23"/>
  <c r="K25" i="23"/>
  <c r="AN18" i="18"/>
  <c r="AN123" i="18"/>
  <c r="E77" i="3"/>
  <c r="E76" i="3"/>
  <c r="G76" i="3"/>
  <c r="K34" i="4"/>
  <c r="K25" i="4"/>
  <c r="AQ281" i="18"/>
  <c r="AQ344" i="18"/>
  <c r="C549" i="18"/>
  <c r="C542" i="18"/>
  <c r="C535" i="18"/>
  <c r="C556" i="18"/>
  <c r="T48" i="3" l="1"/>
  <c r="Q45" i="25" s="1"/>
  <c r="M12" i="21"/>
  <c r="AX24" i="27"/>
  <c r="T80" i="3"/>
  <c r="T81" i="3" s="1"/>
  <c r="T82" i="3" s="1"/>
  <c r="T84" i="3" s="1"/>
  <c r="AW84" i="3" s="1"/>
  <c r="M40" i="4"/>
  <c r="M41" i="4" s="1"/>
  <c r="Q42" i="25"/>
  <c r="V46" i="3"/>
  <c r="T30" i="3"/>
  <c r="R38" i="25" s="1"/>
  <c r="M47" i="4"/>
  <c r="M50" i="4" s="1"/>
  <c r="M67" i="4"/>
  <c r="M34" i="23"/>
  <c r="K80" i="3"/>
  <c r="K81" i="3" s="1"/>
  <c r="K91" i="3" s="1"/>
  <c r="K93" i="3" s="1"/>
  <c r="K48" i="3"/>
  <c r="H45" i="25" s="1"/>
  <c r="U109" i="3"/>
  <c r="T109" i="3"/>
  <c r="I42" i="25"/>
  <c r="M46" i="3"/>
  <c r="K46" i="3"/>
  <c r="M32" i="4"/>
  <c r="M33" i="4" s="1"/>
  <c r="M34" i="4"/>
  <c r="M32" i="23"/>
  <c r="M33" i="23" s="1"/>
  <c r="O18" i="23"/>
  <c r="AY22" i="27"/>
  <c r="AX26" i="3"/>
  <c r="AX26" i="27" s="1"/>
  <c r="AX25" i="27"/>
  <c r="X24" i="27"/>
  <c r="X23" i="27"/>
  <c r="AW76" i="3"/>
  <c r="D560" i="18"/>
  <c r="AK295" i="18"/>
  <c r="C534" i="18"/>
  <c r="C557" i="18"/>
  <c r="C555" i="18"/>
  <c r="C550" i="18"/>
  <c r="W31" i="3"/>
  <c r="W34" i="3"/>
  <c r="W35" i="3"/>
  <c r="W33" i="3"/>
  <c r="AH4" i="18"/>
  <c r="D3" i="18"/>
  <c r="D530" i="18" s="1"/>
  <c r="C541" i="18"/>
  <c r="C536" i="18"/>
  <c r="T77" i="3"/>
  <c r="V76" i="3"/>
  <c r="C548" i="18"/>
  <c r="C543" i="18"/>
  <c r="X30" i="3"/>
  <c r="AY30" i="3" s="1"/>
  <c r="AY144" i="3" s="1"/>
  <c r="AY145" i="3" s="1"/>
  <c r="J15" i="25"/>
  <c r="J16" i="25" s="1"/>
  <c r="AC46" i="3"/>
  <c r="AX9" i="3"/>
  <c r="P33" i="3"/>
  <c r="M38" i="25"/>
  <c r="K31" i="3"/>
  <c r="I38" i="25"/>
  <c r="L42" i="25"/>
  <c r="K42" i="25"/>
  <c r="F42" i="25"/>
  <c r="E42" i="25"/>
  <c r="J30" i="3"/>
  <c r="L31" i="3" s="1"/>
  <c r="H42" i="25"/>
  <c r="G42" i="25"/>
  <c r="N38" i="25"/>
  <c r="O16" i="25"/>
  <c r="AD19" i="25"/>
  <c r="N19" i="23"/>
  <c r="N20" i="23" s="1"/>
  <c r="N22" i="4"/>
  <c r="N21" i="4"/>
  <c r="N22" i="23"/>
  <c r="BE45" i="3"/>
  <c r="L15" i="25"/>
  <c r="L16" i="25" s="1"/>
  <c r="N37" i="4"/>
  <c r="M18" i="25"/>
  <c r="M16" i="25"/>
  <c r="Y18" i="25"/>
  <c r="AK30" i="3"/>
  <c r="AK35" i="3" s="1"/>
  <c r="R15" i="25"/>
  <c r="R16" i="25" s="1"/>
  <c r="U148" i="3"/>
  <c r="S145" i="3"/>
  <c r="U149" i="3" s="1"/>
  <c r="AY67" i="3"/>
  <c r="O44" i="23"/>
  <c r="AY89" i="3"/>
  <c r="AY25" i="3"/>
  <c r="AY23" i="3"/>
  <c r="AY125" i="3"/>
  <c r="X130" i="3"/>
  <c r="X131" i="3" s="1"/>
  <c r="X126" i="3"/>
  <c r="X127" i="3" s="1"/>
  <c r="N36" i="23"/>
  <c r="N37" i="23" s="1"/>
  <c r="AW82" i="3"/>
  <c r="V127" i="3"/>
  <c r="X9" i="3"/>
  <c r="W13" i="3"/>
  <c r="W13" i="27" s="1"/>
  <c r="W12" i="3"/>
  <c r="W12" i="27" s="1"/>
  <c r="W10" i="3"/>
  <c r="W11" i="27" s="1"/>
  <c r="W27" i="3"/>
  <c r="W27" i="27" s="1"/>
  <c r="AX126" i="3"/>
  <c r="AX127" i="3" s="1"/>
  <c r="X67" i="3"/>
  <c r="X89" i="3"/>
  <c r="AK48" i="3"/>
  <c r="AX89" i="3"/>
  <c r="N44" i="4"/>
  <c r="N45" i="4" s="1"/>
  <c r="O45" i="4" s="1"/>
  <c r="P45" i="4" s="1"/>
  <c r="Q45" i="4" s="1"/>
  <c r="R45" i="4" s="1"/>
  <c r="S45" i="4" s="1"/>
  <c r="AK80" i="3"/>
  <c r="AK81" i="3" s="1"/>
  <c r="AK91" i="3" s="1"/>
  <c r="AK93" i="3" s="1"/>
  <c r="N44" i="23"/>
  <c r="N45" i="23" s="1"/>
  <c r="J80" i="3"/>
  <c r="J81" i="3" s="1"/>
  <c r="J91" i="3" s="1"/>
  <c r="J93" i="3" s="1"/>
  <c r="J97" i="3" s="1"/>
  <c r="L46" i="3"/>
  <c r="J72" i="3"/>
  <c r="J48" i="3"/>
  <c r="G45" i="25" s="1"/>
  <c r="K109" i="3"/>
  <c r="AP315" i="18"/>
  <c r="L32" i="23"/>
  <c r="L33" i="23" s="1"/>
  <c r="L32" i="4"/>
  <c r="L33" i="4" s="1"/>
  <c r="K34" i="3"/>
  <c r="AP179" i="18"/>
  <c r="AP124" i="18" s="1"/>
  <c r="AP18" i="18"/>
  <c r="T161" i="8"/>
  <c r="T160" i="8"/>
  <c r="AV33" i="3"/>
  <c r="AV34" i="3" s="1"/>
  <c r="AO123" i="18"/>
  <c r="AO18" i="18"/>
  <c r="O81" i="3"/>
  <c r="O91" i="3" s="1"/>
  <c r="O93" i="3" s="1"/>
  <c r="O41" i="3"/>
  <c r="O42" i="3" s="1"/>
  <c r="O35" i="3"/>
  <c r="O144" i="3"/>
  <c r="O34" i="3"/>
  <c r="O31" i="3"/>
  <c r="M48" i="23"/>
  <c r="M49" i="23" s="1"/>
  <c r="Z54" i="3"/>
  <c r="Z64" i="3"/>
  <c r="Z109" i="3"/>
  <c r="Z62" i="3"/>
  <c r="BF61" i="3"/>
  <c r="BB61" i="3"/>
  <c r="AA62" i="3"/>
  <c r="J42" i="23"/>
  <c r="J47" i="23"/>
  <c r="K40" i="23"/>
  <c r="K41" i="23" s="1"/>
  <c r="J67" i="23"/>
  <c r="Q94" i="3"/>
  <c r="Q82" i="3"/>
  <c r="Q84" i="3" s="1"/>
  <c r="L48" i="4"/>
  <c r="L49" i="4" s="1"/>
  <c r="J47" i="4"/>
  <c r="J42" i="4"/>
  <c r="J67" i="4"/>
  <c r="K40" i="4"/>
  <c r="K41" i="4" s="1"/>
  <c r="AQ425" i="18"/>
  <c r="AQ327" i="18" s="1"/>
  <c r="AT72" i="3"/>
  <c r="AU70" i="3"/>
  <c r="AT77" i="3"/>
  <c r="AU76" i="3"/>
  <c r="AT80" i="3"/>
  <c r="J31" i="23"/>
  <c r="AT48" i="3"/>
  <c r="AT30" i="3"/>
  <c r="J31" i="4"/>
  <c r="AU46" i="3"/>
  <c r="AV41" i="3"/>
  <c r="AV35" i="3"/>
  <c r="AV144" i="3"/>
  <c r="AV145" i="3" s="1"/>
  <c r="AV82" i="3"/>
  <c r="AV84" i="3" s="1"/>
  <c r="AV85" i="3" s="1"/>
  <c r="AV91" i="3"/>
  <c r="AV93" i="3" s="1"/>
  <c r="L54" i="4"/>
  <c r="L54" i="23"/>
  <c r="L59" i="23" s="1"/>
  <c r="L62" i="23" s="1"/>
  <c r="L34" i="4"/>
  <c r="L25" i="4"/>
  <c r="L28" i="4" s="1"/>
  <c r="L50" i="4"/>
  <c r="L50" i="23"/>
  <c r="L25" i="23"/>
  <c r="L28" i="23" s="1"/>
  <c r="L34" i="23"/>
  <c r="D45" i="3"/>
  <c r="D57" i="3"/>
  <c r="D69" i="3"/>
  <c r="D72" i="3" s="1"/>
  <c r="D88" i="3"/>
  <c r="D109" i="3" s="1"/>
  <c r="I354" i="18"/>
  <c r="I355" i="18" s="1"/>
  <c r="AJ357" i="18"/>
  <c r="AK354" i="18"/>
  <c r="AK355" i="18" s="1"/>
  <c r="H354" i="18"/>
  <c r="H355" i="18" s="1"/>
  <c r="H357" i="18" s="1"/>
  <c r="G357" i="18"/>
  <c r="AN81" i="3"/>
  <c r="D34" i="23"/>
  <c r="D25" i="23"/>
  <c r="D28" i="23" s="1"/>
  <c r="S31" i="3"/>
  <c r="Q35" i="3"/>
  <c r="Q34" i="3"/>
  <c r="Q33" i="3"/>
  <c r="Q31" i="3"/>
  <c r="S34" i="3"/>
  <c r="Q41" i="3"/>
  <c r="Q144" i="3"/>
  <c r="K144" i="3"/>
  <c r="K35" i="3"/>
  <c r="M34" i="3"/>
  <c r="M31" i="3"/>
  <c r="L33" i="3"/>
  <c r="D25" i="4"/>
  <c r="D28" i="4" s="1"/>
  <c r="D34" i="4"/>
  <c r="D50" i="23"/>
  <c r="AJ88" i="3"/>
  <c r="AK55" i="3"/>
  <c r="AJ45" i="3"/>
  <c r="AJ57" i="3"/>
  <c r="AJ69" i="3"/>
  <c r="BC69" i="3" s="1"/>
  <c r="AN35" i="3"/>
  <c r="AN41" i="3"/>
  <c r="AN144" i="3"/>
  <c r="AN145" i="3" s="1"/>
  <c r="D50" i="4"/>
  <c r="AR345" i="18"/>
  <c r="AR476" i="18"/>
  <c r="AQ476" i="18"/>
  <c r="AQ345" i="18"/>
  <c r="AQ349" i="18" s="1"/>
  <c r="AP81" i="3"/>
  <c r="AP82" i="3" s="1"/>
  <c r="AP84" i="3" s="1"/>
  <c r="R76" i="3"/>
  <c r="R77" i="3"/>
  <c r="T76" i="3"/>
  <c r="AP41" i="3"/>
  <c r="AP35" i="3"/>
  <c r="AP144" i="3"/>
  <c r="AP145" i="3" s="1"/>
  <c r="C68" i="2"/>
  <c r="Y67" i="2"/>
  <c r="AR29" i="18"/>
  <c r="C50" i="4"/>
  <c r="D48" i="4"/>
  <c r="C34" i="23"/>
  <c r="C25" i="23"/>
  <c r="D32" i="23"/>
  <c r="R45" i="3"/>
  <c r="R69" i="3"/>
  <c r="BJ69" i="3" s="1"/>
  <c r="BJ72" i="3" s="1"/>
  <c r="R88" i="3"/>
  <c r="R57" i="3"/>
  <c r="R55" i="3"/>
  <c r="T55" i="3"/>
  <c r="Y84" i="2"/>
  <c r="B85" i="2"/>
  <c r="B90" i="2"/>
  <c r="AA45" i="3"/>
  <c r="AB46" i="3" s="1"/>
  <c r="AA69" i="3"/>
  <c r="AA72" i="3" s="1"/>
  <c r="AA88" i="3"/>
  <c r="AA57" i="3"/>
  <c r="AM82" i="3"/>
  <c r="AM84" i="3" s="1"/>
  <c r="C54" i="23"/>
  <c r="C54" i="4"/>
  <c r="AM91" i="3"/>
  <c r="AM93" i="3" s="1"/>
  <c r="F34" i="23"/>
  <c r="F25" i="23"/>
  <c r="F28" i="23" s="1"/>
  <c r="R160" i="8"/>
  <c r="R161" i="8"/>
  <c r="AR91" i="3"/>
  <c r="AR93" i="3" s="1"/>
  <c r="AR97" i="3" s="1"/>
  <c r="H54" i="4"/>
  <c r="H54" i="23"/>
  <c r="C50" i="23"/>
  <c r="D48" i="23"/>
  <c r="AM144" i="3"/>
  <c r="AM35" i="3"/>
  <c r="AN33" i="3"/>
  <c r="AN34" i="3" s="1"/>
  <c r="AN31" i="3"/>
  <c r="F50" i="4"/>
  <c r="F25" i="4"/>
  <c r="F28" i="4" s="1"/>
  <c r="F34" i="4"/>
  <c r="AR82" i="3"/>
  <c r="F50" i="23"/>
  <c r="C34" i="4"/>
  <c r="C25" i="4"/>
  <c r="D32" i="4"/>
  <c r="C85" i="2"/>
  <c r="D86" i="2" s="1"/>
  <c r="C90" i="2"/>
  <c r="AD47" i="4"/>
  <c r="AD47" i="23"/>
  <c r="AU145" i="3"/>
  <c r="AH30" i="3"/>
  <c r="AH80" i="3"/>
  <c r="AH48" i="3"/>
  <c r="AH46" i="3"/>
  <c r="AQ178" i="18"/>
  <c r="AQ17" i="18"/>
  <c r="AJ295" i="18"/>
  <c r="AX288" i="8"/>
  <c r="AG72" i="3"/>
  <c r="AG70" i="3"/>
  <c r="I47" i="23"/>
  <c r="I42" i="23"/>
  <c r="I40" i="23"/>
  <c r="I41" i="23" s="1"/>
  <c r="J40" i="23"/>
  <c r="J41" i="23" s="1"/>
  <c r="I67" i="23"/>
  <c r="AB30" i="3"/>
  <c r="AB48" i="3"/>
  <c r="AB80" i="3"/>
  <c r="AI48" i="3"/>
  <c r="AI80" i="3"/>
  <c r="AI30" i="3"/>
  <c r="AI46" i="3"/>
  <c r="W83" i="3"/>
  <c r="X83" i="3" s="1"/>
  <c r="M99" i="4"/>
  <c r="G50" i="23"/>
  <c r="G48" i="23"/>
  <c r="H48" i="23"/>
  <c r="AE47" i="23"/>
  <c r="I40" i="4"/>
  <c r="I41" i="4" s="1"/>
  <c r="J40" i="4"/>
  <c r="J41" i="4" s="1"/>
  <c r="I42" i="4"/>
  <c r="I47" i="4"/>
  <c r="I67" i="4"/>
  <c r="E45" i="3"/>
  <c r="E88" i="3"/>
  <c r="E57" i="3"/>
  <c r="E69" i="3"/>
  <c r="E55" i="3"/>
  <c r="G55" i="3"/>
  <c r="AH72" i="3"/>
  <c r="AH70" i="3"/>
  <c r="AQ128" i="18"/>
  <c r="AQ322" i="18"/>
  <c r="K28" i="23"/>
  <c r="G94" i="3"/>
  <c r="G97" i="3"/>
  <c r="N72" i="3"/>
  <c r="N70" i="3"/>
  <c r="P70" i="3"/>
  <c r="G82" i="3"/>
  <c r="G84" i="3" s="1"/>
  <c r="G48" i="4"/>
  <c r="G50" i="4"/>
  <c r="AE47" i="4"/>
  <c r="H48" i="4"/>
  <c r="M28" i="4"/>
  <c r="M28" i="23"/>
  <c r="M150" i="3"/>
  <c r="AE72" i="3"/>
  <c r="AP327" i="18"/>
  <c r="AG30" i="3"/>
  <c r="AG48" i="3"/>
  <c r="AG46" i="3"/>
  <c r="AG80" i="3"/>
  <c r="AS72" i="3"/>
  <c r="AS70" i="3"/>
  <c r="AT70" i="3"/>
  <c r="AE30" i="3"/>
  <c r="BE30" i="3" s="1"/>
  <c r="AE48" i="3"/>
  <c r="AE80" i="3"/>
  <c r="BE80" i="3" s="1"/>
  <c r="C30" i="3"/>
  <c r="C35" i="3" s="1"/>
  <c r="C80" i="3"/>
  <c r="AP5" i="18"/>
  <c r="AO517" i="18"/>
  <c r="H72" i="3"/>
  <c r="J70" i="3"/>
  <c r="AT109" i="3"/>
  <c r="AS109" i="3"/>
  <c r="AR271" i="18"/>
  <c r="AF48" i="3"/>
  <c r="AF30" i="3"/>
  <c r="AF80" i="3"/>
  <c r="AF46" i="3"/>
  <c r="AQ81" i="3"/>
  <c r="E32" i="4"/>
  <c r="E34" i="4"/>
  <c r="E25" i="4"/>
  <c r="F32" i="4"/>
  <c r="Q306" i="18"/>
  <c r="AQ306" i="18"/>
  <c r="AR306" i="18"/>
  <c r="AN306" i="18"/>
  <c r="AO306" i="18"/>
  <c r="P306" i="18"/>
  <c r="R306" i="18"/>
  <c r="AP306" i="18"/>
  <c r="AR175" i="18"/>
  <c r="AR174" i="18" s="1"/>
  <c r="AR118" i="18" s="1"/>
  <c r="AR177" i="18"/>
  <c r="AR239" i="18"/>
  <c r="AR183" i="18" s="1"/>
  <c r="AR425" i="18"/>
  <c r="R5" i="18"/>
  <c r="Q517" i="18"/>
  <c r="AS30" i="3"/>
  <c r="AS48" i="3"/>
  <c r="AS46" i="3"/>
  <c r="AS80" i="3"/>
  <c r="I31" i="4"/>
  <c r="I31" i="23"/>
  <c r="AT46" i="3"/>
  <c r="AL48" i="3"/>
  <c r="AL46" i="3"/>
  <c r="AM46" i="3"/>
  <c r="AL80" i="3"/>
  <c r="AL30" i="3"/>
  <c r="E48" i="23"/>
  <c r="E50" i="23"/>
  <c r="F48" i="23"/>
  <c r="AC72" i="3"/>
  <c r="AC70" i="3"/>
  <c r="O109" i="3"/>
  <c r="N109" i="3"/>
  <c r="P517" i="18"/>
  <c r="P120" i="18" s="1"/>
  <c r="AS77" i="3"/>
  <c r="AS76" i="3"/>
  <c r="AT76" i="3"/>
  <c r="AD88" i="3"/>
  <c r="AD57" i="3"/>
  <c r="AD69" i="3"/>
  <c r="AD45" i="3"/>
  <c r="I109" i="3"/>
  <c r="H109" i="3"/>
  <c r="F54" i="3"/>
  <c r="F64" i="3"/>
  <c r="F62" i="3"/>
  <c r="H62" i="3"/>
  <c r="AQ362" i="18"/>
  <c r="AP439" i="18"/>
  <c r="AF72" i="3"/>
  <c r="AF70" i="3"/>
  <c r="G34" i="23"/>
  <c r="G25" i="23"/>
  <c r="G32" i="23"/>
  <c r="H32" i="23"/>
  <c r="K28" i="4"/>
  <c r="N48" i="3"/>
  <c r="K45" i="25" s="1"/>
  <c r="N30" i="3"/>
  <c r="N46" i="3"/>
  <c r="N80" i="3"/>
  <c r="P46" i="3"/>
  <c r="AL70" i="3"/>
  <c r="AL72" i="3"/>
  <c r="AM70" i="3"/>
  <c r="AO81" i="3"/>
  <c r="H30" i="3"/>
  <c r="H48" i="3"/>
  <c r="E45" i="25" s="1"/>
  <c r="H80" i="3"/>
  <c r="J46" i="3"/>
  <c r="AC30" i="3"/>
  <c r="AC48" i="3"/>
  <c r="AC80" i="3"/>
  <c r="G25" i="4"/>
  <c r="G32" i="4"/>
  <c r="G34" i="4"/>
  <c r="H32" i="4"/>
  <c r="E34" i="23"/>
  <c r="E25" i="23"/>
  <c r="E32" i="23"/>
  <c r="F32" i="23"/>
  <c r="AQ33" i="3"/>
  <c r="AQ34" i="3" s="1"/>
  <c r="AQ31" i="3"/>
  <c r="AQ35" i="3"/>
  <c r="AQ41" i="3"/>
  <c r="AQ144" i="3"/>
  <c r="AR33" i="3"/>
  <c r="AR34" i="3" s="1"/>
  <c r="AR31" i="3"/>
  <c r="W66" i="23"/>
  <c r="AQ361" i="18"/>
  <c r="AP424" i="18"/>
  <c r="E48" i="4"/>
  <c r="F48" i="4"/>
  <c r="E50" i="4"/>
  <c r="AI70" i="3"/>
  <c r="AI72" i="3"/>
  <c r="AU91" i="3"/>
  <c r="AU93" i="3" s="1"/>
  <c r="K54" i="4"/>
  <c r="K54" i="23"/>
  <c r="I94" i="3"/>
  <c r="I97" i="3"/>
  <c r="AB72" i="3"/>
  <c r="AQ174" i="18"/>
  <c r="AQ118" i="18" s="1"/>
  <c r="AO31" i="3"/>
  <c r="AO35" i="3"/>
  <c r="AO41" i="3"/>
  <c r="AO33" i="3"/>
  <c r="AO34" i="3" s="1"/>
  <c r="AO144" i="3"/>
  <c r="AP33" i="3"/>
  <c r="AP34" i="3" s="1"/>
  <c r="AP31" i="3"/>
  <c r="I82" i="3"/>
  <c r="I84" i="3" s="1"/>
  <c r="D549" i="18"/>
  <c r="D542" i="18"/>
  <c r="D535" i="18"/>
  <c r="D556" i="18"/>
  <c r="AW30" i="3" l="1"/>
  <c r="AW41" i="3" s="1"/>
  <c r="V34" i="3"/>
  <c r="T41" i="3"/>
  <c r="V42" i="3" s="1"/>
  <c r="U33" i="3"/>
  <c r="T144" i="3"/>
  <c r="V148" i="3" s="1"/>
  <c r="AW80" i="3"/>
  <c r="T33" i="3"/>
  <c r="T91" i="3"/>
  <c r="T93" i="3" s="1"/>
  <c r="T94" i="3" s="1"/>
  <c r="M48" i="4"/>
  <c r="M49" i="4" s="1"/>
  <c r="Q38" i="25"/>
  <c r="AW81" i="3"/>
  <c r="M54" i="23" s="1"/>
  <c r="AW31" i="3"/>
  <c r="T35" i="3"/>
  <c r="V31" i="3"/>
  <c r="T145" i="3"/>
  <c r="U150" i="3" s="1"/>
  <c r="AW42" i="3"/>
  <c r="AW35" i="3"/>
  <c r="AW144" i="3"/>
  <c r="AW145" i="3" s="1"/>
  <c r="AW33" i="3"/>
  <c r="AW34" i="3" s="1"/>
  <c r="AX27" i="3"/>
  <c r="AX27" i="27" s="1"/>
  <c r="AX10" i="27"/>
  <c r="AY24" i="27"/>
  <c r="AY23" i="27"/>
  <c r="AY26" i="3"/>
  <c r="AY26" i="27" s="1"/>
  <c r="AY25" i="27"/>
  <c r="X27" i="3"/>
  <c r="X27" i="27" s="1"/>
  <c r="X10" i="27"/>
  <c r="D534" i="18"/>
  <c r="D536" i="18"/>
  <c r="D548" i="18"/>
  <c r="AH560" i="18"/>
  <c r="E4" i="18"/>
  <c r="AH3" i="18"/>
  <c r="AH530" i="18" s="1"/>
  <c r="W80" i="3"/>
  <c r="W81" i="3" s="1"/>
  <c r="W91" i="3" s="1"/>
  <c r="W48" i="3"/>
  <c r="W46" i="3"/>
  <c r="W54" i="3"/>
  <c r="W75" i="3"/>
  <c r="D557" i="18"/>
  <c r="D555" i="18"/>
  <c r="D543" i="18"/>
  <c r="D550" i="18"/>
  <c r="D541" i="18"/>
  <c r="X34" i="3"/>
  <c r="X31" i="3"/>
  <c r="X33" i="3"/>
  <c r="X35" i="3"/>
  <c r="AX12" i="3"/>
  <c r="AY35" i="3"/>
  <c r="X45" i="3"/>
  <c r="AY45" i="3" s="1"/>
  <c r="O31" i="23" s="1"/>
  <c r="K15" i="25"/>
  <c r="K16" i="25" s="1"/>
  <c r="AD46" i="3"/>
  <c r="AE46" i="3"/>
  <c r="J35" i="3"/>
  <c r="J33" i="3"/>
  <c r="K33" i="3"/>
  <c r="N8" i="4"/>
  <c r="N9" i="4" s="1"/>
  <c r="N10" i="4" s="1"/>
  <c r="AX10" i="3"/>
  <c r="AX11" i="27" s="1"/>
  <c r="N8" i="23"/>
  <c r="N23" i="23" s="1"/>
  <c r="B42" i="25"/>
  <c r="P42" i="25"/>
  <c r="O42" i="25"/>
  <c r="L34" i="3"/>
  <c r="H38" i="25"/>
  <c r="G38" i="25"/>
  <c r="F38" i="25"/>
  <c r="E38" i="25"/>
  <c r="L38" i="25"/>
  <c r="K38" i="25"/>
  <c r="AK144" i="3"/>
  <c r="AK145" i="3" s="1"/>
  <c r="X12" i="3"/>
  <c r="X12" i="27" s="1"/>
  <c r="X13" i="3"/>
  <c r="X13" i="27" s="1"/>
  <c r="AJ46" i="3"/>
  <c r="Q15" i="25"/>
  <c r="Q16" i="25" s="1"/>
  <c r="X10" i="3"/>
  <c r="X11" i="27" s="1"/>
  <c r="AY126" i="3"/>
  <c r="AY127" i="3" s="1"/>
  <c r="AY130" i="3"/>
  <c r="AY131" i="3" s="1"/>
  <c r="O22" i="23"/>
  <c r="O19" i="23"/>
  <c r="O20" i="23" s="1"/>
  <c r="O21" i="23"/>
  <c r="O45" i="23"/>
  <c r="P45" i="23" s="1"/>
  <c r="Q45" i="23" s="1"/>
  <c r="R45" i="23" s="1"/>
  <c r="S45" i="23" s="1"/>
  <c r="T45" i="23" s="1"/>
  <c r="AY9" i="3"/>
  <c r="AY10" i="27" s="1"/>
  <c r="O37" i="23"/>
  <c r="J82" i="3"/>
  <c r="AR327" i="18"/>
  <c r="AW85" i="3"/>
  <c r="AW149" i="3"/>
  <c r="AV148" i="3"/>
  <c r="O82" i="3"/>
  <c r="O84" i="3" s="1"/>
  <c r="O85" i="3" s="1"/>
  <c r="O145" i="3"/>
  <c r="O148" i="3"/>
  <c r="O97" i="3"/>
  <c r="O94" i="3"/>
  <c r="O95" i="3" s="1"/>
  <c r="AB70" i="3"/>
  <c r="AV42" i="3"/>
  <c r="Z45" i="3"/>
  <c r="AA46" i="3" s="1"/>
  <c r="Z88" i="3"/>
  <c r="Z57" i="3"/>
  <c r="Z69" i="3"/>
  <c r="L26" i="4"/>
  <c r="L27" i="4" s="1"/>
  <c r="AT35" i="3"/>
  <c r="AT144" i="3"/>
  <c r="AT41" i="3"/>
  <c r="AU42" i="3" s="1"/>
  <c r="AU33" i="3"/>
  <c r="AU34" i="3" s="1"/>
  <c r="AU31" i="3"/>
  <c r="J50" i="4"/>
  <c r="K48" i="4"/>
  <c r="K49" i="4" s="1"/>
  <c r="M26" i="4"/>
  <c r="M27" i="4" s="1"/>
  <c r="K32" i="4"/>
  <c r="K33" i="4" s="1"/>
  <c r="J25" i="4"/>
  <c r="J34" i="4"/>
  <c r="S95" i="3"/>
  <c r="S85" i="3"/>
  <c r="K32" i="23"/>
  <c r="K33" i="23" s="1"/>
  <c r="J25" i="23"/>
  <c r="J34" i="23"/>
  <c r="J50" i="23"/>
  <c r="K48" i="23"/>
  <c r="K49" i="23" s="1"/>
  <c r="AT81" i="3"/>
  <c r="AT82" i="3" s="1"/>
  <c r="AT84" i="3" s="1"/>
  <c r="AU85" i="3" s="1"/>
  <c r="L55" i="4"/>
  <c r="L64" i="4"/>
  <c r="AV94" i="3"/>
  <c r="AV97" i="3"/>
  <c r="L59" i="4"/>
  <c r="L62" i="4" s="1"/>
  <c r="L55" i="23"/>
  <c r="L64" i="23"/>
  <c r="M26" i="23"/>
  <c r="M27" i="23" s="1"/>
  <c r="L26" i="23"/>
  <c r="L27" i="23" s="1"/>
  <c r="AB47" i="23"/>
  <c r="AB47" i="4"/>
  <c r="D80" i="3"/>
  <c r="D81" i="3" s="1"/>
  <c r="D91" i="3" s="1"/>
  <c r="D93" i="3" s="1"/>
  <c r="D97" i="3" s="1"/>
  <c r="D30" i="3"/>
  <c r="K145" i="3"/>
  <c r="M148" i="3"/>
  <c r="K82" i="3"/>
  <c r="K84" i="3" s="1"/>
  <c r="M85" i="3" s="1"/>
  <c r="S148" i="3"/>
  <c r="Q145" i="3"/>
  <c r="Q148" i="3"/>
  <c r="K94" i="3"/>
  <c r="M95" i="3" s="1"/>
  <c r="K97" i="3"/>
  <c r="Q42" i="3"/>
  <c r="S42" i="3"/>
  <c r="BD69" i="3"/>
  <c r="AK70" i="3"/>
  <c r="AJ72" i="3"/>
  <c r="AJ70" i="3"/>
  <c r="D54" i="23"/>
  <c r="D54" i="4"/>
  <c r="AN91" i="3"/>
  <c r="AN93" i="3" s="1"/>
  <c r="AL354" i="18"/>
  <c r="AL355" i="18" s="1"/>
  <c r="AK357" i="18"/>
  <c r="K354" i="18"/>
  <c r="K355" i="18" s="1"/>
  <c r="AN82" i="3"/>
  <c r="AN84" i="3" s="1"/>
  <c r="AN85" i="3" s="1"/>
  <c r="AW83" i="3"/>
  <c r="AJ80" i="3"/>
  <c r="BC80" i="3" s="1"/>
  <c r="BC45" i="3"/>
  <c r="AJ48" i="3"/>
  <c r="AK46" i="3"/>
  <c r="AJ30" i="3"/>
  <c r="BD45" i="3"/>
  <c r="I357" i="18"/>
  <c r="J354" i="18"/>
  <c r="J355" i="18" s="1"/>
  <c r="J357" i="18" s="1"/>
  <c r="AM94" i="3"/>
  <c r="AM97" i="3"/>
  <c r="R48" i="3"/>
  <c r="O45" i="25" s="1"/>
  <c r="R46" i="3"/>
  <c r="R80" i="3"/>
  <c r="R30" i="3"/>
  <c r="T46" i="3"/>
  <c r="C55" i="4"/>
  <c r="C64" i="4"/>
  <c r="C86" i="2"/>
  <c r="Y85" i="2"/>
  <c r="C28" i="23"/>
  <c r="D26" i="23"/>
  <c r="AP91" i="3"/>
  <c r="AP93" i="3" s="1"/>
  <c r="F54" i="4"/>
  <c r="F54" i="23"/>
  <c r="C28" i="4"/>
  <c r="D26" i="4"/>
  <c r="C55" i="23"/>
  <c r="C64" i="23"/>
  <c r="C59" i="4"/>
  <c r="H55" i="23"/>
  <c r="H59" i="23"/>
  <c r="H62" i="23" s="1"/>
  <c r="H64" i="23"/>
  <c r="H55" i="4"/>
  <c r="H59" i="4"/>
  <c r="H62" i="4" s="1"/>
  <c r="H64" i="4"/>
  <c r="C59" i="23"/>
  <c r="S109" i="3"/>
  <c r="R109" i="3"/>
  <c r="AM145" i="3"/>
  <c r="AN149" i="3" s="1"/>
  <c r="AN148" i="3"/>
  <c r="AA30" i="3"/>
  <c r="AB31" i="3" s="1"/>
  <c r="AA48" i="3"/>
  <c r="AA80" i="3"/>
  <c r="R72" i="3"/>
  <c r="R70" i="3"/>
  <c r="T70" i="3"/>
  <c r="AD39" i="4"/>
  <c r="AD39" i="23"/>
  <c r="AC81" i="3"/>
  <c r="AC91" i="3" s="1"/>
  <c r="AC93" i="3" s="1"/>
  <c r="AQ5" i="18"/>
  <c r="AP517" i="18"/>
  <c r="AG31" i="3"/>
  <c r="AG33" i="3"/>
  <c r="AG34" i="3" s="1"/>
  <c r="AG35" i="3"/>
  <c r="AG144" i="3"/>
  <c r="AH81" i="3"/>
  <c r="AH91" i="3" s="1"/>
  <c r="AH93" i="3" s="1"/>
  <c r="AS41" i="3"/>
  <c r="AS33" i="3"/>
  <c r="AS34" i="3" s="1"/>
  <c r="AS31" i="3"/>
  <c r="AS35" i="3"/>
  <c r="AS144" i="3"/>
  <c r="AT33" i="3"/>
  <c r="AT34" i="3" s="1"/>
  <c r="AT31" i="3"/>
  <c r="AR362" i="18"/>
  <c r="AR439" i="18" s="1"/>
  <c r="AQ439" i="18"/>
  <c r="P172" i="18"/>
  <c r="AK82" i="3"/>
  <c r="AK84" i="3" s="1"/>
  <c r="R517" i="18"/>
  <c r="AN120" i="18" s="1"/>
  <c r="AE81" i="3"/>
  <c r="AE91" i="3" s="1"/>
  <c r="AE93" i="3" s="1"/>
  <c r="E72" i="3"/>
  <c r="E70" i="3"/>
  <c r="G70" i="3"/>
  <c r="AH33" i="3"/>
  <c r="AH34" i="3" s="1"/>
  <c r="AH31" i="3"/>
  <c r="AH35" i="3"/>
  <c r="AH144" i="3"/>
  <c r="E28" i="4"/>
  <c r="E26" i="4"/>
  <c r="F26" i="4"/>
  <c r="AR281" i="18"/>
  <c r="AR344" i="18"/>
  <c r="AR349" i="18" s="1"/>
  <c r="AO91" i="3"/>
  <c r="AO93" i="3" s="1"/>
  <c r="E54" i="4"/>
  <c r="E54" i="23"/>
  <c r="F57" i="3"/>
  <c r="F69" i="3"/>
  <c r="F45" i="3"/>
  <c r="D42" i="25" s="1"/>
  <c r="F88" i="3"/>
  <c r="F109" i="3" s="1"/>
  <c r="F55" i="3"/>
  <c r="H55" i="3"/>
  <c r="AE35" i="3"/>
  <c r="AE144" i="3"/>
  <c r="AE145" i="3" s="1"/>
  <c r="E109" i="3"/>
  <c r="L96" i="23"/>
  <c r="U99" i="23"/>
  <c r="M97" i="23"/>
  <c r="AK94" i="3"/>
  <c r="AK97" i="3"/>
  <c r="G26" i="23"/>
  <c r="G28" i="23"/>
  <c r="H26" i="23"/>
  <c r="F116" i="3"/>
  <c r="L96" i="4"/>
  <c r="U99" i="4"/>
  <c r="M97" i="4"/>
  <c r="AV149" i="3"/>
  <c r="AQ91" i="3"/>
  <c r="AQ93" i="3" s="1"/>
  <c r="G54" i="4"/>
  <c r="G54" i="23"/>
  <c r="N81" i="3"/>
  <c r="N91" i="3" s="1"/>
  <c r="N93" i="3" s="1"/>
  <c r="I85" i="3"/>
  <c r="X66" i="23"/>
  <c r="AO148" i="3"/>
  <c r="AO145" i="3"/>
  <c r="AP148" i="3"/>
  <c r="AC33" i="3"/>
  <c r="AC34" i="3" s="1"/>
  <c r="AC31" i="3"/>
  <c r="AC35" i="3"/>
  <c r="AC144" i="3"/>
  <c r="AC145" i="3" s="1"/>
  <c r="AS81" i="3"/>
  <c r="AS82" i="3" s="1"/>
  <c r="AS84" i="3" s="1"/>
  <c r="AR128" i="18"/>
  <c r="AR322" i="18"/>
  <c r="I50" i="23"/>
  <c r="I48" i="23"/>
  <c r="I49" i="23" s="1"/>
  <c r="J48" i="23"/>
  <c r="J49" i="23" s="1"/>
  <c r="G26" i="4"/>
  <c r="G28" i="4"/>
  <c r="H26" i="4"/>
  <c r="K55" i="23"/>
  <c r="K64" i="23"/>
  <c r="K59" i="23"/>
  <c r="AQ148" i="3"/>
  <c r="AQ145" i="3"/>
  <c r="AR148" i="3"/>
  <c r="AO42" i="3"/>
  <c r="AP42" i="3"/>
  <c r="K55" i="4"/>
  <c r="K64" i="4"/>
  <c r="K59" i="4"/>
  <c r="AQ42" i="3"/>
  <c r="AR42" i="3"/>
  <c r="I32" i="23"/>
  <c r="I33" i="23" s="1"/>
  <c r="J32" i="23"/>
  <c r="J33" i="23" s="1"/>
  <c r="I34" i="23"/>
  <c r="I25" i="23"/>
  <c r="E46" i="3"/>
  <c r="E48" i="3"/>
  <c r="B45" i="25" s="1"/>
  <c r="E80" i="3"/>
  <c r="E30" i="3"/>
  <c r="G46" i="3"/>
  <c r="AU94" i="3"/>
  <c r="AU97" i="3"/>
  <c r="J32" i="4"/>
  <c r="J33" i="4" s="1"/>
  <c r="I32" i="4"/>
  <c r="I33" i="4" s="1"/>
  <c r="I25" i="4"/>
  <c r="I34" i="4"/>
  <c r="AD48" i="3"/>
  <c r="AD30" i="3"/>
  <c r="AE33" i="3" s="1"/>
  <c r="AE34" i="3" s="1"/>
  <c r="AD80" i="3"/>
  <c r="I48" i="4"/>
  <c r="I49" i="4" s="1"/>
  <c r="I50" i="4"/>
  <c r="J48" i="4"/>
  <c r="J49" i="4" s="1"/>
  <c r="AI33" i="3"/>
  <c r="AI34" i="3" s="1"/>
  <c r="AI31" i="3"/>
  <c r="AI35" i="3"/>
  <c r="AI144" i="3"/>
  <c r="AR178" i="18"/>
  <c r="AR17" i="18"/>
  <c r="I95" i="3"/>
  <c r="E26" i="23"/>
  <c r="E28" i="23"/>
  <c r="F26" i="23"/>
  <c r="H33" i="3"/>
  <c r="H35" i="3"/>
  <c r="J34" i="3"/>
  <c r="I33" i="3"/>
  <c r="J31" i="3"/>
  <c r="Q172" i="18"/>
  <c r="AI81" i="3"/>
  <c r="AI91" i="3" s="1"/>
  <c r="AI93" i="3" s="1"/>
  <c r="C81" i="3"/>
  <c r="C91" i="3" s="1"/>
  <c r="C93" i="3" s="1"/>
  <c r="AB81" i="3"/>
  <c r="AB91" i="3" s="1"/>
  <c r="AB93" i="3" s="1"/>
  <c r="AQ179" i="18"/>
  <c r="AQ124" i="18" s="1"/>
  <c r="AQ18" i="18"/>
  <c r="AQ123" i="18"/>
  <c r="AQ315" i="18"/>
  <c r="N34" i="3"/>
  <c r="N41" i="3"/>
  <c r="N33" i="3"/>
  <c r="N35" i="3"/>
  <c r="N31" i="3"/>
  <c r="N144" i="3"/>
  <c r="P34" i="3"/>
  <c r="P31" i="3"/>
  <c r="O33" i="3"/>
  <c r="Q120" i="18"/>
  <c r="AG81" i="3"/>
  <c r="AG91" i="3" s="1"/>
  <c r="AG93" i="3" s="1"/>
  <c r="T45" i="4"/>
  <c r="AR361" i="18"/>
  <c r="AR424" i="18" s="1"/>
  <c r="AQ424" i="18"/>
  <c r="AQ326" i="18" s="1"/>
  <c r="AO82" i="3"/>
  <c r="AP328" i="18"/>
  <c r="AP445" i="18"/>
  <c r="AL31" i="3"/>
  <c r="AL35" i="3"/>
  <c r="AL33" i="3"/>
  <c r="AL34" i="3" s="1"/>
  <c r="AL144" i="3"/>
  <c r="AM31" i="3"/>
  <c r="AM33" i="3"/>
  <c r="AM34" i="3" s="1"/>
  <c r="AF81" i="3"/>
  <c r="AF91" i="3" s="1"/>
  <c r="AF93" i="3" s="1"/>
  <c r="M55" i="23"/>
  <c r="M64" i="23"/>
  <c r="M59" i="23"/>
  <c r="AB35" i="3"/>
  <c r="AB144" i="3"/>
  <c r="AB145" i="3" s="1"/>
  <c r="H81" i="3"/>
  <c r="H91" i="3" s="1"/>
  <c r="H93" i="3" s="1"/>
  <c r="AD72" i="3"/>
  <c r="AD70" i="3"/>
  <c r="AQ82" i="3"/>
  <c r="AQ84" i="3" s="1"/>
  <c r="AQ85" i="3" s="1"/>
  <c r="AP326" i="18"/>
  <c r="AL81" i="3"/>
  <c r="AL91" i="3" s="1"/>
  <c r="AL93" i="3" s="1"/>
  <c r="AF33" i="3"/>
  <c r="AF34" i="3" s="1"/>
  <c r="AF31" i="3"/>
  <c r="AF35" i="3"/>
  <c r="AF144" i="3"/>
  <c r="AE70" i="3"/>
  <c r="AH549" i="18"/>
  <c r="AH542" i="18"/>
  <c r="AH535" i="18"/>
  <c r="AH556" i="18"/>
  <c r="T97" i="3" l="1"/>
  <c r="AW94" i="3"/>
  <c r="AW91" i="3"/>
  <c r="AW93" i="3" s="1"/>
  <c r="AW97" i="3" s="1"/>
  <c r="M54" i="4"/>
  <c r="M59" i="4"/>
  <c r="T150" i="3"/>
  <c r="V149" i="3"/>
  <c r="AW148" i="3"/>
  <c r="F4" i="18"/>
  <c r="F3" i="18" s="1"/>
  <c r="F530" i="18" s="1"/>
  <c r="AX13" i="3"/>
  <c r="AX13" i="27" s="1"/>
  <c r="AX12" i="27"/>
  <c r="D262" i="18"/>
  <c r="D260" i="18"/>
  <c r="D384" i="18"/>
  <c r="C384" i="18"/>
  <c r="C382" i="18"/>
  <c r="C383" i="18"/>
  <c r="AH548" i="18"/>
  <c r="AH536" i="18"/>
  <c r="AH557" i="18"/>
  <c r="AH555" i="18"/>
  <c r="AH543" i="18"/>
  <c r="AH541" i="18"/>
  <c r="E560" i="18"/>
  <c r="E3" i="18"/>
  <c r="E530" i="18" s="1"/>
  <c r="D382" i="18"/>
  <c r="AH534" i="18"/>
  <c r="D383" i="18"/>
  <c r="AH550" i="18"/>
  <c r="C381" i="18"/>
  <c r="W82" i="3"/>
  <c r="W84" i="3" s="1"/>
  <c r="C262" i="18"/>
  <c r="D381" i="18"/>
  <c r="C260" i="18"/>
  <c r="D214" i="18"/>
  <c r="D216" i="18" s="1"/>
  <c r="D213" i="18"/>
  <c r="D207" i="18" s="1"/>
  <c r="W76" i="3"/>
  <c r="W77" i="3"/>
  <c r="W55" i="3"/>
  <c r="W57" i="3"/>
  <c r="W61" i="3"/>
  <c r="W88" i="3"/>
  <c r="W93" i="3" s="1"/>
  <c r="W94" i="3" s="1"/>
  <c r="W69" i="3"/>
  <c r="O91" i="23"/>
  <c r="O75" i="23"/>
  <c r="O75" i="4" s="1"/>
  <c r="O91" i="4"/>
  <c r="M79" i="4"/>
  <c r="M79" i="23"/>
  <c r="L79" i="23"/>
  <c r="N11" i="23"/>
  <c r="N9" i="23"/>
  <c r="N10" i="23" s="1"/>
  <c r="X75" i="3"/>
  <c r="X80" i="3"/>
  <c r="X48" i="3"/>
  <c r="X46" i="3"/>
  <c r="X54" i="3"/>
  <c r="O11" i="4"/>
  <c r="O8" i="4" s="1"/>
  <c r="P11" i="4" s="1"/>
  <c r="P8" i="4" s="1"/>
  <c r="N23" i="4"/>
  <c r="O23" i="4" s="1"/>
  <c r="P23" i="4" s="1"/>
  <c r="N11" i="4"/>
  <c r="P38" i="25"/>
  <c r="O38" i="25"/>
  <c r="C42" i="25"/>
  <c r="D35" i="3"/>
  <c r="B38" i="25"/>
  <c r="AY10" i="3"/>
  <c r="AY11" i="27" s="1"/>
  <c r="AY12" i="3"/>
  <c r="O8" i="23"/>
  <c r="P11" i="23" s="1"/>
  <c r="AY27" i="3"/>
  <c r="AY27" i="27" s="1"/>
  <c r="AW95" i="3"/>
  <c r="D33" i="3"/>
  <c r="K85" i="3"/>
  <c r="P150" i="3"/>
  <c r="O149" i="3"/>
  <c r="D94" i="3"/>
  <c r="K95" i="3"/>
  <c r="Q85" i="3"/>
  <c r="Q95" i="3"/>
  <c r="AO120" i="18"/>
  <c r="D82" i="3"/>
  <c r="D84" i="3" s="1"/>
  <c r="Z72" i="3"/>
  <c r="BB69" i="3"/>
  <c r="Z70" i="3"/>
  <c r="BF69" i="3"/>
  <c r="AA70" i="3"/>
  <c r="BF45" i="3"/>
  <c r="BB45" i="3"/>
  <c r="Z30" i="3"/>
  <c r="AA33" i="3" s="1"/>
  <c r="AA34" i="3" s="1"/>
  <c r="Z48" i="3"/>
  <c r="Z80" i="3"/>
  <c r="J28" i="23"/>
  <c r="K26" i="23"/>
  <c r="K27" i="23" s="1"/>
  <c r="J54" i="4"/>
  <c r="J54" i="23"/>
  <c r="AT91" i="3"/>
  <c r="AT93" i="3" s="1"/>
  <c r="J28" i="4"/>
  <c r="K26" i="4"/>
  <c r="K27" i="4" s="1"/>
  <c r="AT145" i="3"/>
  <c r="AU149" i="3" s="1"/>
  <c r="AU148" i="3"/>
  <c r="D64" i="23"/>
  <c r="D55" i="23"/>
  <c r="D59" i="23"/>
  <c r="D62" i="23" s="1"/>
  <c r="AB33" i="3"/>
  <c r="AB34" i="3" s="1"/>
  <c r="Q150" i="3"/>
  <c r="Q149" i="3"/>
  <c r="S149" i="3"/>
  <c r="AH82" i="3"/>
  <c r="AH84" i="3" s="1"/>
  <c r="AK31" i="3"/>
  <c r="AK33" i="3"/>
  <c r="AK34" i="3" s="1"/>
  <c r="BD30" i="3"/>
  <c r="AJ35" i="3"/>
  <c r="AJ33" i="3"/>
  <c r="AJ34" i="3" s="1"/>
  <c r="AJ31" i="3"/>
  <c r="BC30" i="3"/>
  <c r="AJ144" i="3"/>
  <c r="AJ148" i="3" s="1"/>
  <c r="K357" i="18"/>
  <c r="L354" i="18"/>
  <c r="L355" i="18" s="1"/>
  <c r="L357" i="18" s="1"/>
  <c r="AC47" i="4"/>
  <c r="AC47" i="23"/>
  <c r="AM354" i="18"/>
  <c r="AM355" i="18" s="1"/>
  <c r="M354" i="18"/>
  <c r="M355" i="18" s="1"/>
  <c r="AL357" i="18"/>
  <c r="AF82" i="3"/>
  <c r="AF84" i="3" s="1"/>
  <c r="AN94" i="3"/>
  <c r="AN95" i="3" s="1"/>
  <c r="AN97" i="3"/>
  <c r="L150" i="3"/>
  <c r="M149" i="3"/>
  <c r="BD80" i="3"/>
  <c r="AJ81" i="3"/>
  <c r="AJ91" i="3" s="1"/>
  <c r="AJ93" i="3" s="1"/>
  <c r="BD93" i="3" s="1"/>
  <c r="D55" i="4"/>
  <c r="D64" i="4"/>
  <c r="D59" i="4"/>
  <c r="D62" i="4" s="1"/>
  <c r="N82" i="3"/>
  <c r="R81" i="3"/>
  <c r="R91" i="3" s="1"/>
  <c r="R93" i="3" s="1"/>
  <c r="R97" i="3" s="1"/>
  <c r="R172" i="18"/>
  <c r="C62" i="23"/>
  <c r="AP172" i="18"/>
  <c r="AN172" i="18"/>
  <c r="F55" i="23"/>
  <c r="F64" i="23"/>
  <c r="F59" i="23"/>
  <c r="F62" i="23" s="1"/>
  <c r="AA144" i="3"/>
  <c r="AA145" i="3" s="1"/>
  <c r="AA35" i="3"/>
  <c r="R41" i="3"/>
  <c r="R144" i="3"/>
  <c r="R31" i="3"/>
  <c r="R35" i="3"/>
  <c r="R34" i="3"/>
  <c r="S33" i="3"/>
  <c r="T31" i="3"/>
  <c r="R33" i="3"/>
  <c r="T34" i="3"/>
  <c r="AL82" i="3"/>
  <c r="AL84" i="3" s="1"/>
  <c r="AM85" i="3" s="1"/>
  <c r="AA81" i="3"/>
  <c r="AA91" i="3" s="1"/>
  <c r="AA93" i="3" s="1"/>
  <c r="F55" i="4"/>
  <c r="F64" i="4"/>
  <c r="F59" i="4"/>
  <c r="F62" i="4" s="1"/>
  <c r="AC82" i="3"/>
  <c r="AC84" i="3" s="1"/>
  <c r="C62" i="4"/>
  <c r="AP97" i="3"/>
  <c r="AP94" i="3"/>
  <c r="AT85" i="3"/>
  <c r="AE94" i="3"/>
  <c r="AE97" i="3"/>
  <c r="AL94" i="3"/>
  <c r="AL97" i="3"/>
  <c r="AI82" i="3"/>
  <c r="AI84" i="3" s="1"/>
  <c r="N97" i="3"/>
  <c r="AE82" i="3"/>
  <c r="BE82" i="3" s="1"/>
  <c r="AS148" i="3"/>
  <c r="AS145" i="3"/>
  <c r="AT148" i="3"/>
  <c r="T96" i="23"/>
  <c r="T98" i="23" s="1"/>
  <c r="U98" i="23" s="1"/>
  <c r="U97" i="23"/>
  <c r="AG82" i="3"/>
  <c r="AG84" i="3" s="1"/>
  <c r="AE31" i="3"/>
  <c r="E31" i="3"/>
  <c r="E35" i="3"/>
  <c r="E34" i="3"/>
  <c r="E33" i="3"/>
  <c r="G31" i="3"/>
  <c r="G34" i="3"/>
  <c r="F72" i="3"/>
  <c r="F70" i="3"/>
  <c r="H70" i="3"/>
  <c r="AI94" i="3"/>
  <c r="AI97" i="3"/>
  <c r="AF94" i="3"/>
  <c r="AF97" i="3"/>
  <c r="I26" i="23"/>
  <c r="I27" i="23" s="1"/>
  <c r="I28" i="23"/>
  <c r="J26" i="23"/>
  <c r="J27" i="23" s="1"/>
  <c r="AS91" i="3"/>
  <c r="AS93" i="3" s="1"/>
  <c r="I54" i="4"/>
  <c r="I54" i="23"/>
  <c r="G55" i="23"/>
  <c r="G64" i="23"/>
  <c r="G59" i="23"/>
  <c r="G79" i="23" s="1"/>
  <c r="AH148" i="3"/>
  <c r="AH145" i="3"/>
  <c r="I28" i="4"/>
  <c r="I26" i="4"/>
  <c r="I27" i="4" s="1"/>
  <c r="J26" i="4"/>
  <c r="J27" i="4" s="1"/>
  <c r="N42" i="3"/>
  <c r="P42" i="3"/>
  <c r="AR18" i="18"/>
  <c r="AR179" i="18"/>
  <c r="AR123" i="18"/>
  <c r="AR315" i="18"/>
  <c r="AQ149" i="3"/>
  <c r="AR149" i="3"/>
  <c r="G55" i="4"/>
  <c r="G64" i="4"/>
  <c r="G59" i="4"/>
  <c r="G79" i="4" s="1"/>
  <c r="AI148" i="3"/>
  <c r="AI145" i="3"/>
  <c r="AS42" i="3"/>
  <c r="AT42" i="3"/>
  <c r="U45" i="23"/>
  <c r="H94" i="3"/>
  <c r="H97" i="3"/>
  <c r="AQ94" i="3"/>
  <c r="AQ97" i="3"/>
  <c r="AV95" i="3"/>
  <c r="K62" i="23"/>
  <c r="L60" i="23"/>
  <c r="G109" i="3"/>
  <c r="AO172" i="18"/>
  <c r="AP120" i="18"/>
  <c r="H82" i="3"/>
  <c r="H84" i="3" s="1"/>
  <c r="AL148" i="3"/>
  <c r="AL145" i="3"/>
  <c r="AM148" i="3"/>
  <c r="U45" i="4"/>
  <c r="F48" i="3"/>
  <c r="C45" i="25" s="1"/>
  <c r="F80" i="3"/>
  <c r="F46" i="3"/>
  <c r="F30" i="3"/>
  <c r="D38" i="25" s="1"/>
  <c r="H46" i="3"/>
  <c r="E81" i="3"/>
  <c r="E91" i="3" s="1"/>
  <c r="E93" i="3" s="1"/>
  <c r="T96" i="4"/>
  <c r="T98" i="4" s="1"/>
  <c r="U98" i="4" s="1"/>
  <c r="U97" i="4"/>
  <c r="H79" i="23"/>
  <c r="K79" i="23"/>
  <c r="L98" i="23"/>
  <c r="M98" i="23" s="1"/>
  <c r="R120" i="18"/>
  <c r="AH94" i="3"/>
  <c r="AH97" i="3"/>
  <c r="L79" i="4"/>
  <c r="H79" i="4"/>
  <c r="K79" i="4"/>
  <c r="L98" i="4"/>
  <c r="M98" i="4" s="1"/>
  <c r="AR5" i="18"/>
  <c r="AQ517" i="18"/>
  <c r="AQ120" i="18" s="1"/>
  <c r="AG94" i="3"/>
  <c r="AG97" i="3"/>
  <c r="M60" i="4"/>
  <c r="M62" i="4"/>
  <c r="AO149" i="3"/>
  <c r="AP149" i="3"/>
  <c r="E113" i="3"/>
  <c r="F114" i="3"/>
  <c r="E55" i="23"/>
  <c r="E64" i="23"/>
  <c r="E59" i="23"/>
  <c r="E79" i="23" s="1"/>
  <c r="AC94" i="3"/>
  <c r="AC97" i="3"/>
  <c r="E55" i="4"/>
  <c r="E64" i="4"/>
  <c r="E59" i="4"/>
  <c r="E79" i="4" s="1"/>
  <c r="Y66" i="23"/>
  <c r="Z66" i="23" s="1"/>
  <c r="BE93" i="3"/>
  <c r="AO94" i="3"/>
  <c r="AO97" i="3"/>
  <c r="AQ328" i="18"/>
  <c r="AQ445" i="18"/>
  <c r="AG145" i="3"/>
  <c r="AG148" i="3"/>
  <c r="AB94" i="3"/>
  <c r="AB97" i="3"/>
  <c r="AO84" i="3"/>
  <c r="AB82" i="3"/>
  <c r="AB84" i="3" s="1"/>
  <c r="AD81" i="3"/>
  <c r="AD91" i="3" s="1"/>
  <c r="AD93" i="3" s="1"/>
  <c r="M60" i="23"/>
  <c r="M62" i="23"/>
  <c r="AR326" i="18"/>
  <c r="C94" i="3"/>
  <c r="C97" i="3"/>
  <c r="AD33" i="3"/>
  <c r="AD34" i="3" s="1"/>
  <c r="AD31" i="3"/>
  <c r="AD35" i="3"/>
  <c r="AD144" i="3"/>
  <c r="AD145" i="3" s="1"/>
  <c r="K62" i="4"/>
  <c r="L60" i="4"/>
  <c r="AR328" i="18"/>
  <c r="AR445" i="18"/>
  <c r="AF148" i="3"/>
  <c r="AF145" i="3"/>
  <c r="AF149" i="3" s="1"/>
  <c r="N145" i="3"/>
  <c r="N148" i="3"/>
  <c r="P148" i="3"/>
  <c r="C82" i="3"/>
  <c r="C84" i="3" s="1"/>
  <c r="F549" i="18"/>
  <c r="F542" i="18"/>
  <c r="F535" i="18"/>
  <c r="E549" i="18"/>
  <c r="E542" i="18"/>
  <c r="E535" i="18"/>
  <c r="E556" i="18"/>
  <c r="F556" i="18"/>
  <c r="M64" i="4" l="1"/>
  <c r="M55" i="4"/>
  <c r="F560" i="18"/>
  <c r="AI4" i="18"/>
  <c r="AY13" i="3"/>
  <c r="AY13" i="27" s="1"/>
  <c r="AY12" i="27"/>
  <c r="E541" i="18"/>
  <c r="E557" i="18"/>
  <c r="E555" i="18"/>
  <c r="E543" i="18"/>
  <c r="E536" i="18"/>
  <c r="E534" i="18"/>
  <c r="E550" i="18"/>
  <c r="E548" i="18"/>
  <c r="D225" i="18"/>
  <c r="D208" i="18"/>
  <c r="D226" i="18"/>
  <c r="D215" i="18"/>
  <c r="D209" i="18" s="1"/>
  <c r="W62" i="3"/>
  <c r="W64" i="3"/>
  <c r="BL69" i="3"/>
  <c r="BL72" i="3" s="1"/>
  <c r="W72" i="3"/>
  <c r="W70" i="3"/>
  <c r="X61" i="3"/>
  <c r="AY54" i="3"/>
  <c r="X57" i="3"/>
  <c r="X88" i="3"/>
  <c r="X69" i="3"/>
  <c r="X55" i="3"/>
  <c r="O9" i="4"/>
  <c r="O10" i="4" s="1"/>
  <c r="O18" i="4"/>
  <c r="O19" i="4" s="1"/>
  <c r="O20" i="4" s="1"/>
  <c r="AY80" i="3"/>
  <c r="X81" i="3"/>
  <c r="X82" i="3" s="1"/>
  <c r="X77" i="3"/>
  <c r="X76" i="3"/>
  <c r="O34" i="23"/>
  <c r="AY48" i="3"/>
  <c r="C38" i="25"/>
  <c r="P8" i="23"/>
  <c r="Q11" i="23" s="1"/>
  <c r="O11" i="23"/>
  <c r="O9" i="23"/>
  <c r="O10" i="23" s="1"/>
  <c r="O23" i="23"/>
  <c r="P23" i="23" s="1"/>
  <c r="Q23" i="23" s="1"/>
  <c r="AA31" i="3"/>
  <c r="AL85" i="3"/>
  <c r="AH85" i="3"/>
  <c r="AI85" i="3"/>
  <c r="Z144" i="3"/>
  <c r="Z145" i="3" s="1"/>
  <c r="Z35" i="3"/>
  <c r="BB30" i="3"/>
  <c r="BF30" i="3"/>
  <c r="Z31" i="3"/>
  <c r="BF80" i="3"/>
  <c r="Z81" i="3"/>
  <c r="BB80" i="3"/>
  <c r="AT94" i="3"/>
  <c r="AU95" i="3" s="1"/>
  <c r="AT97" i="3"/>
  <c r="J59" i="23"/>
  <c r="J55" i="23"/>
  <c r="J64" i="23"/>
  <c r="J55" i="4"/>
  <c r="J59" i="4"/>
  <c r="J64" i="4"/>
  <c r="BC93" i="3"/>
  <c r="AB59" i="23" s="1"/>
  <c r="R82" i="3"/>
  <c r="AA82" i="3"/>
  <c r="AA84" i="3" s="1"/>
  <c r="AB85" i="3" s="1"/>
  <c r="F79" i="4"/>
  <c r="F114" i="4" s="1"/>
  <c r="D60" i="23"/>
  <c r="P9" i="4"/>
  <c r="P10" i="4" s="1"/>
  <c r="Q11" i="4"/>
  <c r="Q8" i="4" s="1"/>
  <c r="AJ94" i="3"/>
  <c r="BD94" i="3" s="1"/>
  <c r="AJ97" i="3"/>
  <c r="AG85" i="3"/>
  <c r="AJ82" i="3"/>
  <c r="BC82" i="3" s="1"/>
  <c r="AC39" i="4"/>
  <c r="AC39" i="23"/>
  <c r="P18" i="4"/>
  <c r="Q23" i="4"/>
  <c r="AK148" i="3"/>
  <c r="AJ145" i="3"/>
  <c r="AK149" i="3" s="1"/>
  <c r="AB39" i="23"/>
  <c r="AB39" i="4"/>
  <c r="AG95" i="3"/>
  <c r="D60" i="4"/>
  <c r="N354" i="18"/>
  <c r="N355" i="18" s="1"/>
  <c r="N357" i="18" s="1"/>
  <c r="M357" i="18"/>
  <c r="AN354" i="18"/>
  <c r="AM357" i="18"/>
  <c r="O354" i="18"/>
  <c r="O355" i="18" s="1"/>
  <c r="AQ95" i="3"/>
  <c r="AH149" i="3"/>
  <c r="R145" i="3"/>
  <c r="R148" i="3"/>
  <c r="T148" i="3"/>
  <c r="AG149" i="3"/>
  <c r="R42" i="3"/>
  <c r="T42" i="3"/>
  <c r="AQ172" i="18"/>
  <c r="F79" i="23"/>
  <c r="F112" i="23" s="1"/>
  <c r="AA94" i="3"/>
  <c r="AB95" i="3" s="1"/>
  <c r="AA97" i="3"/>
  <c r="AC95" i="3"/>
  <c r="AF95" i="3"/>
  <c r="F534" i="18"/>
  <c r="F536" i="18"/>
  <c r="F548" i="18"/>
  <c r="F543" i="18"/>
  <c r="F541" i="18"/>
  <c r="F550" i="18"/>
  <c r="F555" i="18"/>
  <c r="F557" i="18"/>
  <c r="AL149" i="3"/>
  <c r="AM149" i="3"/>
  <c r="G60" i="4"/>
  <c r="G62" i="4"/>
  <c r="AE59" i="4"/>
  <c r="H60" i="4"/>
  <c r="AI95" i="3"/>
  <c r="AD94" i="3"/>
  <c r="AD95" i="3" s="1"/>
  <c r="AD97" i="3"/>
  <c r="AS149" i="3"/>
  <c r="AT149" i="3"/>
  <c r="E94" i="3"/>
  <c r="E97" i="3"/>
  <c r="F97" i="3" s="1"/>
  <c r="G112" i="4"/>
  <c r="G113" i="4" s="1"/>
  <c r="G114" i="4"/>
  <c r="N150" i="3"/>
  <c r="N149" i="3"/>
  <c r="P149" i="3"/>
  <c r="O150" i="3"/>
  <c r="E60" i="23"/>
  <c r="E62" i="23"/>
  <c r="F60" i="23"/>
  <c r="H112" i="23"/>
  <c r="H114" i="23"/>
  <c r="E82" i="3"/>
  <c r="E84" i="3" s="1"/>
  <c r="AX30" i="3"/>
  <c r="G62" i="23"/>
  <c r="G60" i="23"/>
  <c r="AE59" i="23"/>
  <c r="H60" i="23"/>
  <c r="AE84" i="3"/>
  <c r="BE84" i="3" s="1"/>
  <c r="AD82" i="3"/>
  <c r="AD84" i="3" s="1"/>
  <c r="AD85" i="3" s="1"/>
  <c r="M112" i="4"/>
  <c r="M113" i="4" s="1"/>
  <c r="M114" i="4"/>
  <c r="E112" i="23"/>
  <c r="E114" i="23"/>
  <c r="I55" i="23"/>
  <c r="I64" i="23"/>
  <c r="I59" i="23"/>
  <c r="AO85" i="3"/>
  <c r="AP85" i="3"/>
  <c r="M112" i="23"/>
  <c r="M114" i="23"/>
  <c r="E115" i="3"/>
  <c r="F115" i="3" s="1"/>
  <c r="AR517" i="18"/>
  <c r="AR120" i="18" s="1"/>
  <c r="L112" i="4"/>
  <c r="L113" i="4" s="1"/>
  <c r="L114" i="4"/>
  <c r="F33" i="3"/>
  <c r="F31" i="3"/>
  <c r="F35" i="3"/>
  <c r="F34" i="3"/>
  <c r="G33" i="3"/>
  <c r="H31" i="3"/>
  <c r="H34" i="3"/>
  <c r="I55" i="4"/>
  <c r="I64" i="4"/>
  <c r="I59" i="4"/>
  <c r="I79" i="4" s="1"/>
  <c r="G112" i="23"/>
  <c r="G114" i="23"/>
  <c r="AS94" i="3"/>
  <c r="AS97" i="3"/>
  <c r="G4" i="18"/>
  <c r="AI3" i="18"/>
  <c r="AI530" i="18" s="1"/>
  <c r="AI560" i="18"/>
  <c r="E112" i="4"/>
  <c r="E113" i="4" s="1"/>
  <c r="E114" i="4"/>
  <c r="F81" i="3"/>
  <c r="F91" i="3" s="1"/>
  <c r="F93" i="3" s="1"/>
  <c r="F94" i="3" s="1"/>
  <c r="F95" i="3" s="1"/>
  <c r="V45" i="23"/>
  <c r="D292" i="18"/>
  <c r="D293" i="18" s="1"/>
  <c r="D210" i="18"/>
  <c r="L112" i="23"/>
  <c r="L114" i="23"/>
  <c r="AH95" i="3"/>
  <c r="AL95" i="3"/>
  <c r="AM95" i="3"/>
  <c r="BE94" i="3"/>
  <c r="AO95" i="3"/>
  <c r="AP95" i="3"/>
  <c r="AD59" i="4"/>
  <c r="AD59" i="23"/>
  <c r="V45" i="4"/>
  <c r="AI149" i="3"/>
  <c r="AC85" i="3"/>
  <c r="AR124" i="18"/>
  <c r="A179" i="18"/>
  <c r="A502" i="18" s="1"/>
  <c r="E62" i="4"/>
  <c r="E60" i="4"/>
  <c r="F60" i="4"/>
  <c r="K112" i="4"/>
  <c r="K113" i="4" s="1"/>
  <c r="K114" i="4"/>
  <c r="AC59" i="4"/>
  <c r="AC59" i="23"/>
  <c r="H112" i="4"/>
  <c r="H113" i="4" s="1"/>
  <c r="H114" i="4"/>
  <c r="K112" i="23"/>
  <c r="K114" i="23"/>
  <c r="AI549" i="18"/>
  <c r="AI542" i="18"/>
  <c r="AI535" i="18"/>
  <c r="AI556" i="18"/>
  <c r="X84" i="3" l="1"/>
  <c r="AY82" i="3"/>
  <c r="AY115" i="3" s="1"/>
  <c r="O21" i="4"/>
  <c r="AY69" i="3"/>
  <c r="AY72" i="3" s="1"/>
  <c r="X72" i="3"/>
  <c r="X70" i="3"/>
  <c r="O44" i="4"/>
  <c r="X91" i="3"/>
  <c r="X93" i="3" s="1"/>
  <c r="X94" i="3" s="1"/>
  <c r="AY81" i="3"/>
  <c r="O39" i="23"/>
  <c r="AY88" i="3"/>
  <c r="AY57" i="3"/>
  <c r="X62" i="3"/>
  <c r="AY61" i="3"/>
  <c r="AY64" i="3" s="1"/>
  <c r="X64" i="3"/>
  <c r="Q8" i="23"/>
  <c r="R11" i="23" s="1"/>
  <c r="P9" i="23"/>
  <c r="P10" i="23" s="1"/>
  <c r="P18" i="23"/>
  <c r="P19" i="23" s="1"/>
  <c r="P20" i="23" s="1"/>
  <c r="M117" i="23"/>
  <c r="E113" i="23"/>
  <c r="F117" i="23"/>
  <c r="F113" i="23"/>
  <c r="G117" i="23"/>
  <c r="L117" i="23"/>
  <c r="H113" i="23"/>
  <c r="G113" i="23"/>
  <c r="H117" i="23"/>
  <c r="AY33" i="3"/>
  <c r="AY34" i="3" s="1"/>
  <c r="AY31" i="3"/>
  <c r="K113" i="23"/>
  <c r="L111" i="23"/>
  <c r="L113" i="23"/>
  <c r="M111" i="23"/>
  <c r="M113" i="23"/>
  <c r="AB59" i="4"/>
  <c r="AE95" i="3"/>
  <c r="F112" i="4"/>
  <c r="F113" i="4" s="1"/>
  <c r="G116" i="4" s="1"/>
  <c r="F114" i="23"/>
  <c r="Z91" i="3"/>
  <c r="Z93" i="3" s="1"/>
  <c r="Z82" i="3"/>
  <c r="J62" i="4"/>
  <c r="K60" i="4"/>
  <c r="J79" i="4"/>
  <c r="J62" i="23"/>
  <c r="J79" i="23"/>
  <c r="K60" i="23"/>
  <c r="AJ149" i="3"/>
  <c r="AF8" i="4"/>
  <c r="Q9" i="4"/>
  <c r="Q10" i="4" s="1"/>
  <c r="R11" i="4"/>
  <c r="R8" i="4" s="1"/>
  <c r="P21" i="4"/>
  <c r="P44" i="4"/>
  <c r="P19" i="4"/>
  <c r="P20" i="4" s="1"/>
  <c r="AJ84" i="3"/>
  <c r="BC84" i="3" s="1"/>
  <c r="BD82" i="3"/>
  <c r="R23" i="23"/>
  <c r="AK95" i="3"/>
  <c r="AJ95" i="3"/>
  <c r="BC94" i="3"/>
  <c r="P354" i="18"/>
  <c r="O357" i="18"/>
  <c r="R23" i="4"/>
  <c r="Q18" i="4"/>
  <c r="AI557" i="18"/>
  <c r="H95" i="3"/>
  <c r="R149" i="3"/>
  <c r="S150" i="3"/>
  <c r="R150" i="3"/>
  <c r="T149" i="3"/>
  <c r="L116" i="4"/>
  <c r="H116" i="4"/>
  <c r="M116" i="4"/>
  <c r="AI555" i="18"/>
  <c r="AI550" i="18"/>
  <c r="AI534" i="18"/>
  <c r="AI543" i="18"/>
  <c r="AI541" i="18"/>
  <c r="AI536" i="18"/>
  <c r="AI548" i="18"/>
  <c r="F214" i="18"/>
  <c r="F213" i="18"/>
  <c r="E262" i="18"/>
  <c r="E381" i="18"/>
  <c r="E383" i="18"/>
  <c r="F381" i="18"/>
  <c r="F383" i="18"/>
  <c r="E260" i="18"/>
  <c r="F260" i="18"/>
  <c r="E384" i="18"/>
  <c r="E382" i="18"/>
  <c r="F382" i="18"/>
  <c r="F384" i="18"/>
  <c r="F262" i="18"/>
  <c r="E85" i="3"/>
  <c r="G85" i="3"/>
  <c r="E95" i="3"/>
  <c r="G95" i="3"/>
  <c r="G3" i="18"/>
  <c r="G530" i="18" s="1"/>
  <c r="H4" i="18"/>
  <c r="G560" i="18"/>
  <c r="AT95" i="3"/>
  <c r="AE85" i="3"/>
  <c r="AF85" i="3"/>
  <c r="AR172" i="18"/>
  <c r="W45" i="23"/>
  <c r="I60" i="4"/>
  <c r="I62" i="4"/>
  <c r="J60" i="4"/>
  <c r="W45" i="4"/>
  <c r="F82" i="3"/>
  <c r="F84" i="3" s="1"/>
  <c r="I60" i="23"/>
  <c r="I62" i="23"/>
  <c r="J60" i="23"/>
  <c r="I79" i="23"/>
  <c r="AX35" i="3"/>
  <c r="AX31" i="3"/>
  <c r="AX33" i="3"/>
  <c r="AX34" i="3" s="1"/>
  <c r="AX144" i="3"/>
  <c r="AY148" i="3" s="1"/>
  <c r="G549" i="18"/>
  <c r="G542" i="18"/>
  <c r="G535" i="18"/>
  <c r="G556" i="18"/>
  <c r="O42" i="23" l="1"/>
  <c r="O47" i="23"/>
  <c r="AY91" i="3"/>
  <c r="AY93" i="3" s="1"/>
  <c r="O54" i="23"/>
  <c r="O55" i="23" s="1"/>
  <c r="AY84" i="3"/>
  <c r="AY83" i="3" s="1"/>
  <c r="AF8" i="23"/>
  <c r="P21" i="23"/>
  <c r="P44" i="23"/>
  <c r="Q9" i="23"/>
  <c r="Q10" i="23" s="1"/>
  <c r="Q18" i="23"/>
  <c r="Q44" i="23" s="1"/>
  <c r="AF44" i="23" s="1"/>
  <c r="R8" i="23"/>
  <c r="S11" i="23" s="1"/>
  <c r="G118" i="23"/>
  <c r="F118" i="23"/>
  <c r="H118" i="23"/>
  <c r="M118" i="23"/>
  <c r="L118" i="23"/>
  <c r="F116" i="4"/>
  <c r="Z84" i="3"/>
  <c r="BF82" i="3"/>
  <c r="BB82" i="3"/>
  <c r="Z94" i="3"/>
  <c r="AA95" i="3" s="1"/>
  <c r="Z97" i="3"/>
  <c r="J112" i="23"/>
  <c r="J114" i="23"/>
  <c r="J112" i="4"/>
  <c r="J113" i="4" s="1"/>
  <c r="K116" i="4" s="1"/>
  <c r="J114" i="4"/>
  <c r="Q44" i="4"/>
  <c r="AF44" i="4" s="1"/>
  <c r="Q21" i="4"/>
  <c r="Q19" i="4"/>
  <c r="Q20" i="4" s="1"/>
  <c r="S23" i="4"/>
  <c r="R18" i="4"/>
  <c r="AJ85" i="3"/>
  <c r="AK85" i="3"/>
  <c r="BD84" i="3"/>
  <c r="S11" i="4"/>
  <c r="S8" i="4" s="1"/>
  <c r="R9" i="4"/>
  <c r="R10" i="4" s="1"/>
  <c r="S23" i="23"/>
  <c r="G555" i="18"/>
  <c r="G557" i="18"/>
  <c r="F85" i="3"/>
  <c r="H85" i="3"/>
  <c r="AX54" i="3"/>
  <c r="AX45" i="3" s="1"/>
  <c r="X45" i="4"/>
  <c r="AX148" i="3"/>
  <c r="AX145" i="3"/>
  <c r="X45" i="23"/>
  <c r="I112" i="23"/>
  <c r="I114" i="23"/>
  <c r="F215" i="18"/>
  <c r="F207" i="18"/>
  <c r="F216" i="18"/>
  <c r="F225" i="18"/>
  <c r="F226" i="18"/>
  <c r="F208" i="18"/>
  <c r="G543" i="18"/>
  <c r="G534" i="18"/>
  <c r="G536" i="18"/>
  <c r="G548" i="18"/>
  <c r="G541" i="18"/>
  <c r="G550" i="18"/>
  <c r="H3" i="18"/>
  <c r="H530" i="18" s="1"/>
  <c r="AJ4" i="18"/>
  <c r="H560" i="18"/>
  <c r="I112" i="4"/>
  <c r="I113" i="4" s="1"/>
  <c r="I114" i="4"/>
  <c r="H549" i="18"/>
  <c r="H542" i="18"/>
  <c r="H535" i="18"/>
  <c r="H556" i="18"/>
  <c r="AY94" i="3" l="1"/>
  <c r="O50" i="23"/>
  <c r="O59" i="23"/>
  <c r="Q21" i="23"/>
  <c r="Q19" i="23"/>
  <c r="Q20" i="23" s="1"/>
  <c r="R18" i="23"/>
  <c r="R19" i="23" s="1"/>
  <c r="R20" i="23" s="1"/>
  <c r="R9" i="23"/>
  <c r="R10" i="23" s="1"/>
  <c r="S8" i="23"/>
  <c r="T11" i="23" s="1"/>
  <c r="J113" i="23"/>
  <c r="K118" i="23" s="1"/>
  <c r="K117" i="23"/>
  <c r="I113" i="23"/>
  <c r="I118" i="23" s="1"/>
  <c r="J117" i="23"/>
  <c r="I117" i="23"/>
  <c r="AY46" i="3"/>
  <c r="AY55" i="3"/>
  <c r="AX149" i="3"/>
  <c r="AY149" i="3"/>
  <c r="BF84" i="3"/>
  <c r="AA85" i="3"/>
  <c r="BB84" i="3"/>
  <c r="T23" i="23"/>
  <c r="R21" i="4"/>
  <c r="R19" i="4"/>
  <c r="R20" i="4" s="1"/>
  <c r="R44" i="4"/>
  <c r="T23" i="4"/>
  <c r="S18" i="4"/>
  <c r="T11" i="4"/>
  <c r="T8" i="4" s="1"/>
  <c r="S9" i="4"/>
  <c r="S10" i="4" s="1"/>
  <c r="J116" i="4"/>
  <c r="I116" i="4"/>
  <c r="H555" i="18"/>
  <c r="H534" i="18"/>
  <c r="H543" i="18"/>
  <c r="H536" i="18"/>
  <c r="H548" i="18"/>
  <c r="H541" i="18"/>
  <c r="H550" i="18"/>
  <c r="F292" i="18"/>
  <c r="F293" i="18" s="1"/>
  <c r="J285" i="8"/>
  <c r="F210" i="18"/>
  <c r="Y45" i="4"/>
  <c r="Z45" i="4" s="1"/>
  <c r="J283" i="8"/>
  <c r="F209" i="18"/>
  <c r="AX55" i="3"/>
  <c r="AX88" i="3"/>
  <c r="AX69" i="3"/>
  <c r="AY70" i="3" s="1"/>
  <c r="N39" i="4"/>
  <c r="AX57" i="3"/>
  <c r="N39" i="23"/>
  <c r="AX61" i="3"/>
  <c r="AY62" i="3" s="1"/>
  <c r="H557" i="18"/>
  <c r="Y45" i="23"/>
  <c r="Z45" i="23" s="1"/>
  <c r="I4" i="18"/>
  <c r="AJ3" i="18"/>
  <c r="AJ530" i="18" s="1"/>
  <c r="AJ560" i="18"/>
  <c r="AJ549" i="18"/>
  <c r="AJ542" i="18"/>
  <c r="AJ535" i="18"/>
  <c r="AJ556" i="18"/>
  <c r="Z42" i="4" l="1"/>
  <c r="Z37" i="4"/>
  <c r="Z42" i="23"/>
  <c r="P42" i="23" s="1"/>
  <c r="Q42" i="23" s="1"/>
  <c r="R42" i="23" s="1"/>
  <c r="S42" i="23" s="1"/>
  <c r="T42" i="23" s="1"/>
  <c r="U42" i="23" s="1"/>
  <c r="V42" i="23" s="1"/>
  <c r="W42" i="23" s="1"/>
  <c r="X42" i="23" s="1"/>
  <c r="Y42" i="23" s="1"/>
  <c r="Z37" i="23"/>
  <c r="O40" i="23"/>
  <c r="O41" i="23" s="1"/>
  <c r="S18" i="23"/>
  <c r="S19" i="23" s="1"/>
  <c r="S20" i="23" s="1"/>
  <c r="R44" i="23"/>
  <c r="R21" i="23"/>
  <c r="S9" i="23"/>
  <c r="S10" i="23" s="1"/>
  <c r="T8" i="23"/>
  <c r="U11" i="23" s="1"/>
  <c r="J118" i="23"/>
  <c r="AJ557" i="18"/>
  <c r="T9" i="4"/>
  <c r="T10" i="4" s="1"/>
  <c r="U11" i="4"/>
  <c r="U8" i="4" s="1"/>
  <c r="S19" i="4"/>
  <c r="S20" i="4" s="1"/>
  <c r="S21" i="4"/>
  <c r="S44" i="4"/>
  <c r="U23" i="23"/>
  <c r="U23" i="4"/>
  <c r="T18" i="4"/>
  <c r="AJ555" i="18"/>
  <c r="AX72" i="3"/>
  <c r="AX70" i="3"/>
  <c r="J284" i="8"/>
  <c r="J83" i="3"/>
  <c r="N47" i="23"/>
  <c r="O48" i="23" s="1"/>
  <c r="O49" i="23" s="1"/>
  <c r="N42" i="23"/>
  <c r="N40" i="23"/>
  <c r="N41" i="23" s="1"/>
  <c r="AX64" i="3"/>
  <c r="AX62" i="3"/>
  <c r="N42" i="4"/>
  <c r="N47" i="4"/>
  <c r="N40" i="4"/>
  <c r="N41" i="4" s="1"/>
  <c r="N11" i="21"/>
  <c r="AX48" i="3"/>
  <c r="N13" i="21" s="1"/>
  <c r="AX46" i="3"/>
  <c r="AX75" i="3"/>
  <c r="N31" i="4"/>
  <c r="N31" i="23"/>
  <c r="O32" i="23" s="1"/>
  <c r="O33" i="23" s="1"/>
  <c r="I3" i="18"/>
  <c r="I530" i="18" s="1"/>
  <c r="J4" i="18"/>
  <c r="I560" i="18"/>
  <c r="AJ541" i="18"/>
  <c r="AJ550" i="18"/>
  <c r="AJ534" i="18"/>
  <c r="AJ543" i="18"/>
  <c r="AJ536" i="18"/>
  <c r="AJ548" i="18"/>
  <c r="H214" i="18"/>
  <c r="H213" i="18"/>
  <c r="G262" i="18"/>
  <c r="H381" i="18"/>
  <c r="H383" i="18"/>
  <c r="H384" i="18"/>
  <c r="G383" i="18"/>
  <c r="G381" i="18"/>
  <c r="G260" i="18"/>
  <c r="H262" i="18"/>
  <c r="H382" i="18"/>
  <c r="H260" i="18"/>
  <c r="G382" i="18"/>
  <c r="G384" i="18"/>
  <c r="I549" i="18"/>
  <c r="I542" i="18"/>
  <c r="I535" i="18"/>
  <c r="I556" i="18"/>
  <c r="O37" i="4" l="1"/>
  <c r="P37" i="4" s="1"/>
  <c r="Q37" i="4" s="1"/>
  <c r="R37" i="4" s="1"/>
  <c r="S37" i="4" s="1"/>
  <c r="T37" i="4" s="1"/>
  <c r="U37" i="4" s="1"/>
  <c r="V37" i="4" s="1"/>
  <c r="W37" i="4" s="1"/>
  <c r="X37" i="4" s="1"/>
  <c r="Y37" i="4" s="1"/>
  <c r="O42" i="4"/>
  <c r="P42" i="4" s="1"/>
  <c r="Q42" i="4" s="1"/>
  <c r="R42" i="4" s="1"/>
  <c r="S42" i="4" s="1"/>
  <c r="T42" i="4" s="1"/>
  <c r="U42" i="4" s="1"/>
  <c r="V42" i="4" s="1"/>
  <c r="W42" i="4" s="1"/>
  <c r="X42" i="4" s="1"/>
  <c r="Y42" i="4" s="1"/>
  <c r="P37" i="23"/>
  <c r="Q37" i="23" s="1"/>
  <c r="R37" i="23" s="1"/>
  <c r="S37" i="23" s="1"/>
  <c r="T37" i="23" s="1"/>
  <c r="U37" i="23" s="1"/>
  <c r="V37" i="23" s="1"/>
  <c r="W37" i="23" s="1"/>
  <c r="X37" i="23" s="1"/>
  <c r="Y37" i="23" s="1"/>
  <c r="S21" i="23"/>
  <c r="S44" i="23"/>
  <c r="T9" i="23"/>
  <c r="T10" i="23" s="1"/>
  <c r="T18" i="23"/>
  <c r="T19" i="23" s="1"/>
  <c r="T20" i="23" s="1"/>
  <c r="U8" i="23"/>
  <c r="V11" i="23" s="1"/>
  <c r="T19" i="4"/>
  <c r="T20" i="4" s="1"/>
  <c r="T44" i="4"/>
  <c r="T21" i="4"/>
  <c r="U18" i="4"/>
  <c r="V23" i="4"/>
  <c r="V23" i="23"/>
  <c r="U9" i="4"/>
  <c r="U10" i="4" s="1"/>
  <c r="V11" i="4"/>
  <c r="V8" i="4" s="1"/>
  <c r="I555" i="18"/>
  <c r="I557" i="18"/>
  <c r="H215" i="18"/>
  <c r="H207" i="18"/>
  <c r="I534" i="18"/>
  <c r="I550" i="18"/>
  <c r="I543" i="18"/>
  <c r="I536" i="18"/>
  <c r="I548" i="18"/>
  <c r="I541" i="18"/>
  <c r="J3" i="18"/>
  <c r="J530" i="18" s="1"/>
  <c r="AK4" i="18"/>
  <c r="J560" i="18"/>
  <c r="AR83" i="3"/>
  <c r="J94" i="3"/>
  <c r="J95" i="3" s="1"/>
  <c r="J84" i="3"/>
  <c r="J85" i="3" s="1"/>
  <c r="H216" i="18"/>
  <c r="H225" i="18"/>
  <c r="H226" i="18"/>
  <c r="H208" i="18"/>
  <c r="N50" i="4"/>
  <c r="N48" i="4"/>
  <c r="N49" i="4" s="1"/>
  <c r="P55" i="23"/>
  <c r="N32" i="23"/>
  <c r="N33" i="23" s="1"/>
  <c r="N34" i="23"/>
  <c r="N25" i="23"/>
  <c r="N34" i="4"/>
  <c r="N32" i="4"/>
  <c r="N33" i="4" s="1"/>
  <c r="N25" i="4"/>
  <c r="AX77" i="3"/>
  <c r="AX76" i="3"/>
  <c r="N12" i="21"/>
  <c r="N48" i="23"/>
  <c r="N49" i="23" s="1"/>
  <c r="N50" i="23"/>
  <c r="J549" i="18"/>
  <c r="J542" i="18"/>
  <c r="J535" i="18"/>
  <c r="J556" i="18"/>
  <c r="O36" i="4" l="1"/>
  <c r="V8" i="23"/>
  <c r="W11" i="23" s="1"/>
  <c r="T44" i="23"/>
  <c r="T21" i="23"/>
  <c r="U18" i="23"/>
  <c r="U19" i="23" s="1"/>
  <c r="U20" i="23" s="1"/>
  <c r="U9" i="23"/>
  <c r="U10" i="23" s="1"/>
  <c r="V9" i="4"/>
  <c r="V10" i="4" s="1"/>
  <c r="W11" i="4"/>
  <c r="W8" i="4" s="1"/>
  <c r="V18" i="4"/>
  <c r="W23" i="4"/>
  <c r="U44" i="4"/>
  <c r="U21" i="4"/>
  <c r="U19" i="4"/>
  <c r="U20" i="4" s="1"/>
  <c r="W23" i="23"/>
  <c r="J555" i="18"/>
  <c r="H292" i="18"/>
  <c r="H293" i="18" s="1"/>
  <c r="L285" i="8"/>
  <c r="H210" i="18"/>
  <c r="L288" i="8" s="1"/>
  <c r="J543" i="18"/>
  <c r="J534" i="18"/>
  <c r="J536" i="18"/>
  <c r="J548" i="18"/>
  <c r="J550" i="18"/>
  <c r="J541" i="18"/>
  <c r="Q55" i="23"/>
  <c r="AK3" i="18"/>
  <c r="J418" i="18" s="1"/>
  <c r="K4" i="18"/>
  <c r="AK560" i="18"/>
  <c r="L283" i="8"/>
  <c r="H209" i="18"/>
  <c r="L287" i="8" s="1"/>
  <c r="N28" i="4"/>
  <c r="N26" i="4"/>
  <c r="N27" i="4" s="1"/>
  <c r="AR84" i="3"/>
  <c r="AR94" i="3"/>
  <c r="N28" i="23"/>
  <c r="N26" i="23"/>
  <c r="N27" i="23" s="1"/>
  <c r="J557" i="18"/>
  <c r="V9" i="23" l="1"/>
  <c r="V10" i="23" s="1"/>
  <c r="W8" i="23"/>
  <c r="X11" i="23" s="1"/>
  <c r="V18" i="23"/>
  <c r="V19" i="23" s="1"/>
  <c r="V20" i="23" s="1"/>
  <c r="U44" i="23"/>
  <c r="U21" i="23"/>
  <c r="J397" i="18"/>
  <c r="AK530" i="18"/>
  <c r="W18" i="4"/>
  <c r="X23" i="4"/>
  <c r="W18" i="23"/>
  <c r="X23" i="23"/>
  <c r="V19" i="4"/>
  <c r="V20" i="4" s="1"/>
  <c r="V21" i="4"/>
  <c r="V44" i="4"/>
  <c r="X11" i="4"/>
  <c r="X8" i="4" s="1"/>
  <c r="W9" i="4"/>
  <c r="W10" i="4" s="1"/>
  <c r="P36" i="4"/>
  <c r="P39" i="23"/>
  <c r="O25" i="23"/>
  <c r="P36" i="23"/>
  <c r="AR85" i="3"/>
  <c r="AS85" i="3"/>
  <c r="AR95" i="3"/>
  <c r="AS95" i="3"/>
  <c r="K3" i="18"/>
  <c r="K530" i="18" s="1"/>
  <c r="L4" i="18"/>
  <c r="K560" i="18"/>
  <c r="J213" i="18"/>
  <c r="I262" i="18"/>
  <c r="J214" i="18"/>
  <c r="I384" i="18"/>
  <c r="I381" i="18"/>
  <c r="I383" i="18"/>
  <c r="J384" i="18"/>
  <c r="I396" i="18"/>
  <c r="J383" i="18"/>
  <c r="J260" i="18"/>
  <c r="J411" i="18"/>
  <c r="I260" i="18"/>
  <c r="J262" i="18"/>
  <c r="I382" i="18"/>
  <c r="J396" i="18"/>
  <c r="J382" i="18"/>
  <c r="J381" i="18"/>
  <c r="I411" i="18"/>
  <c r="I397" i="18"/>
  <c r="I418" i="18"/>
  <c r="J419" i="18" s="1"/>
  <c r="R55" i="23"/>
  <c r="L284" i="8"/>
  <c r="L83" i="3"/>
  <c r="AK549" i="18"/>
  <c r="AK542" i="18"/>
  <c r="AK535" i="18"/>
  <c r="K549" i="18"/>
  <c r="K542" i="18"/>
  <c r="K535" i="18"/>
  <c r="AK556" i="18"/>
  <c r="K556" i="18"/>
  <c r="X8" i="23" l="1"/>
  <c r="Y11" i="23" s="1"/>
  <c r="V21" i="23"/>
  <c r="W9" i="23"/>
  <c r="W10" i="23" s="1"/>
  <c r="V44" i="23"/>
  <c r="AK534" i="18"/>
  <c r="AK541" i="18"/>
  <c r="AK550" i="18"/>
  <c r="AK536" i="18"/>
  <c r="AK548" i="18"/>
  <c r="AK543" i="18"/>
  <c r="AK557" i="18"/>
  <c r="AK555" i="18"/>
  <c r="X9" i="4"/>
  <c r="X10" i="4" s="1"/>
  <c r="Y11" i="4"/>
  <c r="Y8" i="4" s="1"/>
  <c r="X9" i="23"/>
  <c r="X10" i="23" s="1"/>
  <c r="Y23" i="23"/>
  <c r="Z23" i="23" s="1"/>
  <c r="X18" i="23"/>
  <c r="Y23" i="4"/>
  <c r="Z23" i="4" s="1"/>
  <c r="X18" i="4"/>
  <c r="W19" i="23"/>
  <c r="W20" i="23" s="1"/>
  <c r="W21" i="23"/>
  <c r="W44" i="23"/>
  <c r="W19" i="4"/>
  <c r="W20" i="4" s="1"/>
  <c r="W21" i="4"/>
  <c r="W44" i="4"/>
  <c r="K550" i="18"/>
  <c r="K543" i="18"/>
  <c r="K534" i="18"/>
  <c r="K541" i="18"/>
  <c r="K536" i="18"/>
  <c r="K548" i="18"/>
  <c r="K555" i="18"/>
  <c r="K557" i="18"/>
  <c r="Q36" i="23"/>
  <c r="AF36" i="23" s="1"/>
  <c r="J413" i="18"/>
  <c r="J414" i="18" s="1"/>
  <c r="J415" i="18" s="1"/>
  <c r="J416" i="18" s="1"/>
  <c r="O28" i="23"/>
  <c r="O26" i="23"/>
  <c r="O27" i="23" s="1"/>
  <c r="L84" i="3"/>
  <c r="L85" i="3" s="1"/>
  <c r="L94" i="3"/>
  <c r="L95" i="3" s="1"/>
  <c r="S55" i="23"/>
  <c r="L3" i="18"/>
  <c r="AL4" i="18"/>
  <c r="L560" i="18"/>
  <c r="J216" i="18"/>
  <c r="J225" i="18"/>
  <c r="J226" i="18"/>
  <c r="J208" i="18"/>
  <c r="I413" i="18"/>
  <c r="J215" i="18"/>
  <c r="J207" i="18"/>
  <c r="Q39" i="23"/>
  <c r="P40" i="23"/>
  <c r="P41" i="23" s="1"/>
  <c r="P31" i="23"/>
  <c r="P47" i="23"/>
  <c r="P67" i="23"/>
  <c r="P54" i="23"/>
  <c r="Q36" i="4"/>
  <c r="Y8" i="23" l="1"/>
  <c r="Z11" i="23" s="1"/>
  <c r="Y9" i="4"/>
  <c r="Y10" i="4" s="1"/>
  <c r="Z11" i="4"/>
  <c r="Z8" i="4" s="1"/>
  <c r="Y18" i="4"/>
  <c r="X44" i="23"/>
  <c r="X19" i="23"/>
  <c r="X20" i="23" s="1"/>
  <c r="X21" i="23"/>
  <c r="X21" i="4"/>
  <c r="X19" i="4"/>
  <c r="X20" i="4" s="1"/>
  <c r="X44" i="4"/>
  <c r="J292" i="18"/>
  <c r="J293" i="18" s="1"/>
  <c r="N285" i="8"/>
  <c r="J210" i="18"/>
  <c r="N288" i="8" s="1"/>
  <c r="T55" i="23"/>
  <c r="P48" i="23"/>
  <c r="P49" i="23" s="1"/>
  <c r="P59" i="23"/>
  <c r="P60" i="23" s="1"/>
  <c r="P50" i="23"/>
  <c r="P32" i="23"/>
  <c r="P33" i="23" s="1"/>
  <c r="P34" i="23"/>
  <c r="P25" i="23"/>
  <c r="R36" i="4"/>
  <c r="AF36" i="4"/>
  <c r="N283" i="8"/>
  <c r="J209" i="18"/>
  <c r="N287" i="8" s="1"/>
  <c r="R36" i="23"/>
  <c r="Q40" i="23"/>
  <c r="Q41" i="23" s="1"/>
  <c r="AF39" i="23"/>
  <c r="Q47" i="23"/>
  <c r="Q31" i="23"/>
  <c r="Q67" i="23"/>
  <c r="Q54" i="23"/>
  <c r="M4" i="18"/>
  <c r="AL3" i="18"/>
  <c r="L418" i="18" s="1"/>
  <c r="AL560" i="18"/>
  <c r="R39" i="23"/>
  <c r="L530" i="18"/>
  <c r="L549" i="18"/>
  <c r="L542" i="18"/>
  <c r="L535" i="18"/>
  <c r="L556" i="18"/>
  <c r="Z8" i="23" l="1"/>
  <c r="Z9" i="23" s="1"/>
  <c r="Z10" i="23" s="1"/>
  <c r="Y9" i="23"/>
  <c r="Y10" i="23" s="1"/>
  <c r="Y18" i="23"/>
  <c r="Y36" i="23" s="1"/>
  <c r="Z9" i="4"/>
  <c r="Z10" i="4" s="1"/>
  <c r="Z18" i="4"/>
  <c r="Y39" i="23"/>
  <c r="Y31" i="23" s="1"/>
  <c r="AL530" i="18"/>
  <c r="L397" i="18"/>
  <c r="Y21" i="4"/>
  <c r="Y19" i="4"/>
  <c r="Y20" i="4" s="1"/>
  <c r="Y44" i="4"/>
  <c r="Y36" i="4"/>
  <c r="L550" i="18"/>
  <c r="L543" i="18"/>
  <c r="L534" i="18"/>
  <c r="L541" i="18"/>
  <c r="L536" i="18"/>
  <c r="L548" i="18"/>
  <c r="L557" i="18"/>
  <c r="L555" i="18"/>
  <c r="L420" i="18"/>
  <c r="S39" i="23"/>
  <c r="R40" i="23"/>
  <c r="R41" i="23" s="1"/>
  <c r="R31" i="23"/>
  <c r="R47" i="23"/>
  <c r="R67" i="23"/>
  <c r="R54" i="23"/>
  <c r="S36" i="23"/>
  <c r="N284" i="8"/>
  <c r="N83" i="3"/>
  <c r="S36" i="4"/>
  <c r="L214" i="18"/>
  <c r="L213" i="18"/>
  <c r="K381" i="18"/>
  <c r="K383" i="18"/>
  <c r="L384" i="18"/>
  <c r="L381" i="18"/>
  <c r="L383" i="18"/>
  <c r="K411" i="18"/>
  <c r="K260" i="18"/>
  <c r="K262" i="18"/>
  <c r="L411" i="18"/>
  <c r="L396" i="18"/>
  <c r="L382" i="18"/>
  <c r="K396" i="18"/>
  <c r="L260" i="18"/>
  <c r="K382" i="18"/>
  <c r="K384" i="18"/>
  <c r="L262" i="18"/>
  <c r="K397" i="18"/>
  <c r="K418" i="18"/>
  <c r="L419" i="18" s="1"/>
  <c r="M3" i="18"/>
  <c r="M530" i="18" s="1"/>
  <c r="N4" i="18"/>
  <c r="M560" i="18"/>
  <c r="Q48" i="23"/>
  <c r="Q49" i="23" s="1"/>
  <c r="AF47" i="23"/>
  <c r="Q59" i="23"/>
  <c r="Q50" i="23"/>
  <c r="P28" i="23"/>
  <c r="P26" i="23"/>
  <c r="P27" i="23" s="1"/>
  <c r="Q34" i="23"/>
  <c r="Q32" i="23"/>
  <c r="Q33" i="23" s="1"/>
  <c r="Q25" i="23"/>
  <c r="U55" i="23"/>
  <c r="AL549" i="18"/>
  <c r="AL542" i="18"/>
  <c r="AL535" i="18"/>
  <c r="M549" i="18"/>
  <c r="M542" i="18"/>
  <c r="M535" i="18"/>
  <c r="M556" i="18"/>
  <c r="AL556" i="18"/>
  <c r="Y19" i="23" l="1"/>
  <c r="Y20" i="23" s="1"/>
  <c r="Y44" i="23"/>
  <c r="Z18" i="23"/>
  <c r="Z36" i="23" s="1"/>
  <c r="Y21" i="23"/>
  <c r="Z44" i="4"/>
  <c r="Z21" i="4"/>
  <c r="Z19" i="4"/>
  <c r="Z20" i="4" s="1"/>
  <c r="Z39" i="4"/>
  <c r="Z36" i="4"/>
  <c r="Z39" i="23"/>
  <c r="Y67" i="23"/>
  <c r="AL548" i="18"/>
  <c r="AL536" i="18"/>
  <c r="AL541" i="18"/>
  <c r="AL543" i="18"/>
  <c r="AL550" i="18"/>
  <c r="AL557" i="18"/>
  <c r="AL534" i="18"/>
  <c r="Y47" i="23"/>
  <c r="Y50" i="23" s="1"/>
  <c r="AL555" i="18"/>
  <c r="Y34" i="23"/>
  <c r="Y25" i="23"/>
  <c r="Y28" i="23" s="1"/>
  <c r="M557" i="18"/>
  <c r="M555" i="18"/>
  <c r="K413" i="18"/>
  <c r="K414" i="18" s="1"/>
  <c r="K415" i="18" s="1"/>
  <c r="K416" i="18" s="1"/>
  <c r="M541" i="18"/>
  <c r="M550" i="18"/>
  <c r="M543" i="18"/>
  <c r="M534" i="18"/>
  <c r="M536" i="18"/>
  <c r="M548" i="18"/>
  <c r="N3" i="18"/>
  <c r="N530" i="18" s="1"/>
  <c r="AM4" i="18"/>
  <c r="N560" i="18"/>
  <c r="T36" i="23"/>
  <c r="R48" i="23"/>
  <c r="R49" i="23" s="1"/>
  <c r="R59" i="23"/>
  <c r="R60" i="23" s="1"/>
  <c r="R50" i="23"/>
  <c r="Q60" i="23"/>
  <c r="AF59" i="23"/>
  <c r="V55" i="23"/>
  <c r="K420" i="18"/>
  <c r="K419" i="18"/>
  <c r="Q28" i="23"/>
  <c r="Q26" i="23"/>
  <c r="Q27" i="23" s="1"/>
  <c r="L216" i="18"/>
  <c r="L225" i="18"/>
  <c r="L226" i="18"/>
  <c r="L208" i="18"/>
  <c r="T36" i="4"/>
  <c r="N84" i="3"/>
  <c r="N85" i="3" s="1"/>
  <c r="N94" i="3"/>
  <c r="N95" i="3" s="1"/>
  <c r="L215" i="18"/>
  <c r="L207" i="18"/>
  <c r="R34" i="23"/>
  <c r="R32" i="23"/>
  <c r="R33" i="23" s="1"/>
  <c r="R25" i="23"/>
  <c r="T39" i="23"/>
  <c r="L413" i="18"/>
  <c r="L414" i="18" s="1"/>
  <c r="L415" i="18" s="1"/>
  <c r="L416" i="18" s="1"/>
  <c r="S40" i="23"/>
  <c r="S41" i="23" s="1"/>
  <c r="S47" i="23"/>
  <c r="S31" i="23"/>
  <c r="S67" i="23"/>
  <c r="S54" i="23"/>
  <c r="N549" i="18"/>
  <c r="N542" i="18"/>
  <c r="N535" i="18"/>
  <c r="N556" i="18"/>
  <c r="Z44" i="23" l="1"/>
  <c r="Z21" i="23"/>
  <c r="Z19" i="23"/>
  <c r="Z20" i="23" s="1"/>
  <c r="Z31" i="4"/>
  <c r="Z47" i="4"/>
  <c r="Z40" i="23"/>
  <c r="Z41" i="23" s="1"/>
  <c r="Z47" i="23"/>
  <c r="Z67" i="23"/>
  <c r="Z31" i="23"/>
  <c r="Z25" i="23" s="1"/>
  <c r="Z28" i="23" s="1"/>
  <c r="N550" i="18"/>
  <c r="N541" i="18"/>
  <c r="N543" i="18"/>
  <c r="N534" i="18"/>
  <c r="N536" i="18"/>
  <c r="N548" i="18"/>
  <c r="N555" i="18"/>
  <c r="N557" i="18"/>
  <c r="U36" i="4"/>
  <c r="U39" i="23"/>
  <c r="T40" i="23"/>
  <c r="T41" i="23" s="1"/>
  <c r="T31" i="23"/>
  <c r="T47" i="23"/>
  <c r="T67" i="23"/>
  <c r="T54" i="23"/>
  <c r="U36" i="23"/>
  <c r="R28" i="23"/>
  <c r="R26" i="23"/>
  <c r="R27" i="23" s="1"/>
  <c r="W55" i="23"/>
  <c r="S34" i="23"/>
  <c r="S32" i="23"/>
  <c r="S33" i="23" s="1"/>
  <c r="S25" i="23"/>
  <c r="S48" i="23"/>
  <c r="S49" i="23" s="1"/>
  <c r="S50" i="23"/>
  <c r="S59" i="23"/>
  <c r="S60" i="23" s="1"/>
  <c r="O4" i="18"/>
  <c r="AM3" i="18"/>
  <c r="N397" i="18" s="1"/>
  <c r="AM560" i="18"/>
  <c r="P283" i="8"/>
  <c r="L209" i="18"/>
  <c r="P287" i="8" s="1"/>
  <c r="L292" i="18"/>
  <c r="L293" i="18" s="1"/>
  <c r="P285" i="8"/>
  <c r="L210" i="18"/>
  <c r="P288" i="8" s="1"/>
  <c r="Z50" i="4" l="1"/>
  <c r="Z34" i="4"/>
  <c r="Z25" i="4"/>
  <c r="Z26" i="23"/>
  <c r="Z27" i="23" s="1"/>
  <c r="Z34" i="23"/>
  <c r="Z32" i="23"/>
  <c r="Z33" i="23" s="1"/>
  <c r="Z48" i="23"/>
  <c r="Z49" i="23" s="1"/>
  <c r="Z50" i="23"/>
  <c r="AM530" i="18"/>
  <c r="O3" i="18"/>
  <c r="O530" i="18" s="1"/>
  <c r="P4" i="18"/>
  <c r="O560" i="18"/>
  <c r="T34" i="23"/>
  <c r="T32" i="23"/>
  <c r="T33" i="23" s="1"/>
  <c r="T25" i="23"/>
  <c r="N418" i="18"/>
  <c r="X55" i="23"/>
  <c r="V36" i="4"/>
  <c r="V39" i="23"/>
  <c r="P284" i="8"/>
  <c r="P83" i="3"/>
  <c r="U40" i="23"/>
  <c r="U41" i="23" s="1"/>
  <c r="U47" i="23"/>
  <c r="U31" i="23"/>
  <c r="U67" i="23"/>
  <c r="U54" i="23"/>
  <c r="V36" i="23"/>
  <c r="N213" i="18"/>
  <c r="N214" i="18"/>
  <c r="N382" i="18"/>
  <c r="N260" i="18"/>
  <c r="M396" i="18"/>
  <c r="N262" i="18"/>
  <c r="N396" i="18"/>
  <c r="M260" i="18"/>
  <c r="M382" i="18"/>
  <c r="M384" i="18"/>
  <c r="N384" i="18"/>
  <c r="M262" i="18"/>
  <c r="N411" i="18"/>
  <c r="M381" i="18"/>
  <c r="M383" i="18"/>
  <c r="N381" i="18"/>
  <c r="M411" i="18"/>
  <c r="N383" i="18"/>
  <c r="M418" i="18"/>
  <c r="M397" i="18"/>
  <c r="S28" i="23"/>
  <c r="S26" i="23"/>
  <c r="S27" i="23" s="1"/>
  <c r="T48" i="23"/>
  <c r="T49" i="23" s="1"/>
  <c r="T59" i="23"/>
  <c r="T60" i="23" s="1"/>
  <c r="T50" i="23"/>
  <c r="AM549" i="18"/>
  <c r="AM542" i="18"/>
  <c r="AM535" i="18"/>
  <c r="O549" i="18"/>
  <c r="O542" i="18"/>
  <c r="O535" i="18"/>
  <c r="O556" i="18"/>
  <c r="AM556" i="18"/>
  <c r="Z28" i="4" l="1"/>
  <c r="AM534" i="18"/>
  <c r="AM541" i="18"/>
  <c r="AM550" i="18"/>
  <c r="AM557" i="18"/>
  <c r="AM555" i="18"/>
  <c r="AM543" i="18"/>
  <c r="AM536" i="18"/>
  <c r="AM548" i="18"/>
  <c r="O555" i="18"/>
  <c r="O557" i="18"/>
  <c r="N216" i="18"/>
  <c r="N225" i="18"/>
  <c r="N226" i="18"/>
  <c r="N208" i="18"/>
  <c r="U59" i="23"/>
  <c r="U60" i="23" s="1"/>
  <c r="U50" i="23"/>
  <c r="U48" i="23"/>
  <c r="U49" i="23" s="1"/>
  <c r="N420" i="18"/>
  <c r="N419" i="18"/>
  <c r="U34" i="23"/>
  <c r="U32" i="23"/>
  <c r="U33" i="23" s="1"/>
  <c r="U25" i="23"/>
  <c r="T28" i="23"/>
  <c r="T26" i="23"/>
  <c r="T27" i="23" s="1"/>
  <c r="N215" i="18"/>
  <c r="N207" i="18"/>
  <c r="W36" i="4"/>
  <c r="X36" i="4"/>
  <c r="M420" i="18"/>
  <c r="M419" i="18"/>
  <c r="M413" i="18"/>
  <c r="M414" i="18" s="1"/>
  <c r="M415" i="18" s="1"/>
  <c r="M416" i="18" s="1"/>
  <c r="N413" i="18"/>
  <c r="N414" i="18" s="1"/>
  <c r="N415" i="18" s="1"/>
  <c r="N416" i="18" s="1"/>
  <c r="P94" i="3"/>
  <c r="P95" i="3" s="1"/>
  <c r="P84" i="3"/>
  <c r="P85" i="3" s="1"/>
  <c r="Y55" i="23"/>
  <c r="W36" i="23"/>
  <c r="X36" i="23"/>
  <c r="W39" i="23"/>
  <c r="X39" i="23"/>
  <c r="V47" i="23"/>
  <c r="V31" i="23"/>
  <c r="V40" i="23"/>
  <c r="V41" i="23" s="1"/>
  <c r="V67" i="23"/>
  <c r="V54" i="23"/>
  <c r="O534" i="18"/>
  <c r="O541" i="18"/>
  <c r="O550" i="18"/>
  <c r="O543" i="18"/>
  <c r="O536" i="18"/>
  <c r="O548" i="18"/>
  <c r="P3" i="18"/>
  <c r="P530" i="18" s="1"/>
  <c r="AN4" i="18"/>
  <c r="P560" i="18"/>
  <c r="P549" i="18"/>
  <c r="P542" i="18"/>
  <c r="P535" i="18"/>
  <c r="P556" i="18"/>
  <c r="Y54" i="23" l="1"/>
  <c r="Y59" i="23" s="1"/>
  <c r="Z55" i="23"/>
  <c r="Z54" i="23" s="1"/>
  <c r="Z59" i="23" s="1"/>
  <c r="Y90" i="23" s="1"/>
  <c r="P557" i="18"/>
  <c r="X54" i="23"/>
  <c r="P555" i="18"/>
  <c r="Q4" i="18"/>
  <c r="AN3" i="18"/>
  <c r="P407" i="18" s="1"/>
  <c r="AN560" i="18"/>
  <c r="U26" i="23"/>
  <c r="U27" i="23" s="1"/>
  <c r="U28" i="23"/>
  <c r="P541" i="18"/>
  <c r="P548" i="18"/>
  <c r="P550" i="18"/>
  <c r="P534" i="18"/>
  <c r="P543" i="18"/>
  <c r="P536" i="18"/>
  <c r="V34" i="23"/>
  <c r="V32" i="23"/>
  <c r="V33" i="23" s="1"/>
  <c r="V25" i="23"/>
  <c r="V48" i="23"/>
  <c r="V49" i="23" s="1"/>
  <c r="V59" i="23"/>
  <c r="V60" i="23" s="1"/>
  <c r="V50" i="23"/>
  <c r="N292" i="18"/>
  <c r="N293" i="18" s="1"/>
  <c r="R285" i="8"/>
  <c r="N210" i="18"/>
  <c r="R288" i="8" s="1"/>
  <c r="R283" i="8"/>
  <c r="N209" i="18"/>
  <c r="R287" i="8" s="1"/>
  <c r="X31" i="23"/>
  <c r="X40" i="23"/>
  <c r="X41" i="23" s="1"/>
  <c r="X47" i="23"/>
  <c r="X67" i="23"/>
  <c r="Y40" i="23"/>
  <c r="Y41" i="23" s="1"/>
  <c r="W31" i="23"/>
  <c r="W40" i="23"/>
  <c r="W41" i="23" s="1"/>
  <c r="W47" i="23"/>
  <c r="W67" i="23"/>
  <c r="W54" i="23"/>
  <c r="Z60" i="23" l="1"/>
  <c r="P261" i="18"/>
  <c r="P277" i="18" s="1"/>
  <c r="P259" i="18"/>
  <c r="AN259" i="18" s="1"/>
  <c r="AN260" i="18" s="1"/>
  <c r="P391" i="18"/>
  <c r="P317" i="18" s="1"/>
  <c r="P370" i="18"/>
  <c r="P316" i="18" s="1"/>
  <c r="P347" i="18"/>
  <c r="AN347" i="18" s="1"/>
  <c r="P272" i="18"/>
  <c r="AN407" i="18"/>
  <c r="AN411" i="18" s="1"/>
  <c r="W50" i="23"/>
  <c r="W48" i="23"/>
  <c r="W49" i="23" s="1"/>
  <c r="W59" i="23"/>
  <c r="W60" i="23" s="1"/>
  <c r="R284" i="8"/>
  <c r="R83" i="3"/>
  <c r="AN530" i="18"/>
  <c r="X50" i="23"/>
  <c r="X48" i="23"/>
  <c r="X49" i="23" s="1"/>
  <c r="X59" i="23"/>
  <c r="Y48" i="23"/>
  <c r="Y49" i="23" s="1"/>
  <c r="X32" i="23"/>
  <c r="X33" i="23" s="1"/>
  <c r="X34" i="23"/>
  <c r="X25" i="23"/>
  <c r="Y32" i="23"/>
  <c r="Y33" i="23" s="1"/>
  <c r="Q3" i="18"/>
  <c r="Q530" i="18" s="1"/>
  <c r="R4" i="18"/>
  <c r="Q560" i="18"/>
  <c r="V26" i="23"/>
  <c r="V27" i="23" s="1"/>
  <c r="V28" i="23"/>
  <c r="O411" i="18"/>
  <c r="O396" i="18"/>
  <c r="O262" i="18"/>
  <c r="O384" i="18"/>
  <c r="O260" i="18"/>
  <c r="O382" i="18"/>
  <c r="AN382" i="18" s="1"/>
  <c r="O381" i="18"/>
  <c r="AN381" i="18" s="1"/>
  <c r="O383" i="18"/>
  <c r="O418" i="18"/>
  <c r="O397" i="18"/>
  <c r="P376" i="18"/>
  <c r="W34" i="23"/>
  <c r="W32" i="23"/>
  <c r="W33" i="23" s="1"/>
  <c r="W25" i="23"/>
  <c r="Q549" i="18"/>
  <c r="Q542" i="18"/>
  <c r="Q535" i="18"/>
  <c r="AN549" i="18"/>
  <c r="AN542" i="18"/>
  <c r="AN535" i="18"/>
  <c r="AN556" i="18"/>
  <c r="Q556" i="18"/>
  <c r="P263" i="18" l="1"/>
  <c r="AN263" i="18" s="1"/>
  <c r="AN264" i="18" s="1"/>
  <c r="AN261" i="18"/>
  <c r="P271" i="18"/>
  <c r="P281" i="18" s="1"/>
  <c r="Q557" i="18"/>
  <c r="Q555" i="18"/>
  <c r="P397" i="18"/>
  <c r="AN391" i="18"/>
  <c r="AN396" i="18" s="1"/>
  <c r="P431" i="18"/>
  <c r="P373" i="18" s="1"/>
  <c r="P372" i="18" s="1"/>
  <c r="P383" i="18"/>
  <c r="AN383" i="18" s="1"/>
  <c r="AN370" i="18"/>
  <c r="W26" i="23"/>
  <c r="W27" i="23" s="1"/>
  <c r="W28" i="23"/>
  <c r="P284" i="18"/>
  <c r="P332" i="18"/>
  <c r="AN277" i="18"/>
  <c r="P279" i="18"/>
  <c r="R3" i="18"/>
  <c r="R530" i="18" s="1"/>
  <c r="AO4" i="18"/>
  <c r="R560" i="18"/>
  <c r="P318" i="18"/>
  <c r="AN376" i="18"/>
  <c r="P384" i="18"/>
  <c r="AN384" i="18" s="1"/>
  <c r="P433" i="18"/>
  <c r="X60" i="23"/>
  <c r="Y60" i="23"/>
  <c r="O413" i="18"/>
  <c r="O414" i="18" s="1"/>
  <c r="O415" i="18" s="1"/>
  <c r="O416" i="18" s="1"/>
  <c r="R94" i="3"/>
  <c r="R84" i="3"/>
  <c r="X26" i="23"/>
  <c r="X27" i="23" s="1"/>
  <c r="X28" i="23"/>
  <c r="Y26" i="23"/>
  <c r="Y27" i="23" s="1"/>
  <c r="AN548" i="18"/>
  <c r="AN536" i="18"/>
  <c r="AN541" i="18"/>
  <c r="AN550" i="18"/>
  <c r="AN534" i="18"/>
  <c r="AN543" i="18"/>
  <c r="AN555" i="18"/>
  <c r="AN557" i="18"/>
  <c r="P418" i="18"/>
  <c r="O419" i="18"/>
  <c r="O420" i="18"/>
  <c r="P112" i="18"/>
  <c r="AN317" i="18"/>
  <c r="AN112" i="18" s="1"/>
  <c r="P386" i="18"/>
  <c r="Q548" i="18"/>
  <c r="Q541" i="18"/>
  <c r="Q536" i="18"/>
  <c r="Q550" i="18"/>
  <c r="Q534" i="18"/>
  <c r="Q543" i="18"/>
  <c r="P182" i="18"/>
  <c r="P282" i="18"/>
  <c r="AN272" i="18"/>
  <c r="AN282" i="18" s="1"/>
  <c r="P111" i="18"/>
  <c r="AN316" i="18"/>
  <c r="R549" i="18"/>
  <c r="R542" i="18"/>
  <c r="R535" i="18"/>
  <c r="R556" i="18"/>
  <c r="P264" i="18" l="1"/>
  <c r="P273" i="18"/>
  <c r="P275" i="18" s="1"/>
  <c r="R555" i="18"/>
  <c r="R557" i="18"/>
  <c r="P344" i="18"/>
  <c r="P349" i="18" s="1"/>
  <c r="AN271" i="18"/>
  <c r="AN273" i="18" s="1"/>
  <c r="AN275" i="18" s="1"/>
  <c r="AN397" i="18"/>
  <c r="AN431" i="18"/>
  <c r="AN373" i="18" s="1"/>
  <c r="AN386" i="18"/>
  <c r="P113" i="18"/>
  <c r="AN318" i="18"/>
  <c r="AN114" i="18" s="1"/>
  <c r="P114" i="18"/>
  <c r="R548" i="18"/>
  <c r="R541" i="18"/>
  <c r="R536" i="18"/>
  <c r="R550" i="18"/>
  <c r="R534" i="18"/>
  <c r="R543" i="18"/>
  <c r="AN111" i="18"/>
  <c r="AN113" i="18" s="1"/>
  <c r="R95" i="3"/>
  <c r="T95" i="3"/>
  <c r="AO3" i="18"/>
  <c r="Q259" i="18" s="1"/>
  <c r="AP4" i="18"/>
  <c r="AO560" i="18"/>
  <c r="AN344" i="18"/>
  <c r="AN349" i="18" s="1"/>
  <c r="P283" i="18"/>
  <c r="P285" i="18" s="1"/>
  <c r="P287" i="18" s="1"/>
  <c r="AN279" i="18"/>
  <c r="AN284" i="18"/>
  <c r="AN182" i="18"/>
  <c r="P127" i="18"/>
  <c r="P184" i="18"/>
  <c r="P337" i="18"/>
  <c r="AN332" i="18"/>
  <c r="AN337" i="18" s="1"/>
  <c r="R85" i="3"/>
  <c r="T85" i="3"/>
  <c r="P409" i="18"/>
  <c r="Q418" i="18"/>
  <c r="P420" i="18"/>
  <c r="AN433" i="18"/>
  <c r="P379" i="18"/>
  <c r="P378" i="18" s="1"/>
  <c r="AN281" i="18" l="1"/>
  <c r="AN283" i="18" s="1"/>
  <c r="AN285" i="18" s="1"/>
  <c r="AN481" i="18"/>
  <c r="AN115" i="18"/>
  <c r="AO530" i="18"/>
  <c r="R259" i="18"/>
  <c r="R271" i="18" s="1"/>
  <c r="P115" i="18"/>
  <c r="P188" i="18"/>
  <c r="AN287" i="18"/>
  <c r="AN482" i="18"/>
  <c r="AN379" i="18"/>
  <c r="P185" i="18"/>
  <c r="P129" i="18"/>
  <c r="R418" i="18"/>
  <c r="Q409" i="18"/>
  <c r="Q420" i="18"/>
  <c r="AN127" i="18"/>
  <c r="AN184" i="18"/>
  <c r="P408" i="18"/>
  <c r="AN409" i="18"/>
  <c r="AP3" i="18"/>
  <c r="AP530" i="18" s="1"/>
  <c r="AQ4" i="18"/>
  <c r="AP555" i="18"/>
  <c r="AP557" i="18"/>
  <c r="AP560" i="18"/>
  <c r="Q271" i="18"/>
  <c r="Q369" i="18"/>
  <c r="AN372" i="18"/>
  <c r="AO369" i="18"/>
  <c r="AO549" i="18"/>
  <c r="AO542" i="18"/>
  <c r="AO535" i="18"/>
  <c r="AP549" i="18"/>
  <c r="AP542" i="18"/>
  <c r="AP535" i="18"/>
  <c r="AO556" i="18"/>
  <c r="AO555" i="18" l="1"/>
  <c r="AO557" i="18"/>
  <c r="AO548" i="18"/>
  <c r="AO543" i="18"/>
  <c r="AO259" i="18"/>
  <c r="AO260" i="18" s="1"/>
  <c r="AO534" i="18"/>
  <c r="AO550" i="18"/>
  <c r="AO536" i="18"/>
  <c r="AO541" i="18"/>
  <c r="R344" i="18"/>
  <c r="R349" i="18" s="1"/>
  <c r="R281" i="18"/>
  <c r="Q281" i="18"/>
  <c r="Q344" i="18"/>
  <c r="AO271" i="18"/>
  <c r="AN129" i="18"/>
  <c r="Q375" i="18"/>
  <c r="AN378" i="18"/>
  <c r="AO375" i="18"/>
  <c r="AP536" i="18"/>
  <c r="AP548" i="18"/>
  <c r="AP541" i="18"/>
  <c r="AP550" i="18"/>
  <c r="AP534" i="18"/>
  <c r="AP543" i="18"/>
  <c r="R409" i="18"/>
  <c r="R420" i="18"/>
  <c r="AQ3" i="18"/>
  <c r="AQ530" i="18" s="1"/>
  <c r="AR4" i="18"/>
  <c r="AQ555" i="18"/>
  <c r="AQ557" i="18"/>
  <c r="AQ560" i="18"/>
  <c r="P130" i="18"/>
  <c r="P266" i="18"/>
  <c r="AN185" i="18"/>
  <c r="Q370" i="18"/>
  <c r="Q383" i="18" s="1"/>
  <c r="P451" i="18"/>
  <c r="AN451" i="18" s="1"/>
  <c r="AN188" i="18"/>
  <c r="AN189" i="18" s="1"/>
  <c r="P189" i="18"/>
  <c r="P401" i="18"/>
  <c r="AN408" i="18"/>
  <c r="AN418" i="18"/>
  <c r="AN420" i="18" s="1"/>
  <c r="AQ549" i="18"/>
  <c r="AQ542" i="18"/>
  <c r="AQ535" i="18"/>
  <c r="Q316" i="18" l="1"/>
  <c r="Q431" i="18"/>
  <c r="AN130" i="18"/>
  <c r="AN266" i="18"/>
  <c r="Q376" i="18"/>
  <c r="Q386" i="18" s="1"/>
  <c r="AO409" i="18"/>
  <c r="P346" i="18"/>
  <c r="AN346" i="18" s="1"/>
  <c r="AN401" i="18"/>
  <c r="AN413" i="18" s="1"/>
  <c r="AN414" i="18" s="1"/>
  <c r="AN415" i="18" s="1"/>
  <c r="AN416" i="18" s="1"/>
  <c r="P413" i="18"/>
  <c r="P414" i="18" s="1"/>
  <c r="P415" i="18" s="1"/>
  <c r="P416" i="18" s="1"/>
  <c r="P400" i="18" s="1"/>
  <c r="AR3" i="18"/>
  <c r="AR530" i="18" s="1"/>
  <c r="AR555" i="18"/>
  <c r="AR560" i="18"/>
  <c r="AR557" i="18"/>
  <c r="AO281" i="18"/>
  <c r="AO344" i="18"/>
  <c r="AO349" i="18" s="1"/>
  <c r="Q349" i="18"/>
  <c r="AQ536" i="18"/>
  <c r="AQ548" i="18"/>
  <c r="AQ541" i="18"/>
  <c r="AQ550" i="18"/>
  <c r="AQ534" i="18"/>
  <c r="AQ543" i="18"/>
  <c r="P191" i="18"/>
  <c r="P192" i="18"/>
  <c r="AN192" i="18" s="1"/>
  <c r="AN205" i="18" s="1"/>
  <c r="AR549" i="18"/>
  <c r="AR542" i="18"/>
  <c r="AR535" i="18"/>
  <c r="P193" i="18" l="1"/>
  <c r="P459" i="18" s="1"/>
  <c r="Q384" i="18"/>
  <c r="Q318" i="18"/>
  <c r="Q433" i="18"/>
  <c r="AO418" i="18"/>
  <c r="AO482" i="18"/>
  <c r="AR536" i="18"/>
  <c r="AR548" i="18"/>
  <c r="AR543" i="18"/>
  <c r="AR541" i="18"/>
  <c r="AR550" i="18"/>
  <c r="AR534" i="18"/>
  <c r="P449" i="18"/>
  <c r="P392" i="18"/>
  <c r="AN400" i="18"/>
  <c r="Q111" i="18"/>
  <c r="Q373" i="18"/>
  <c r="P324" i="18"/>
  <c r="P434" i="18" s="1"/>
  <c r="AN434" i="18" s="1"/>
  <c r="AN191" i="18"/>
  <c r="P197" i="18" l="1"/>
  <c r="P199" i="18" s="1"/>
  <c r="AN449" i="18"/>
  <c r="P256" i="18"/>
  <c r="P404" i="18"/>
  <c r="P452" i="18"/>
  <c r="P453" i="18" s="1"/>
  <c r="AN324" i="18"/>
  <c r="AN325" i="18" s="1"/>
  <c r="P325" i="18"/>
  <c r="R369" i="18"/>
  <c r="Q372" i="18"/>
  <c r="AN459" i="18"/>
  <c r="P460" i="18"/>
  <c r="Q114" i="18"/>
  <c r="AN392" i="18"/>
  <c r="P432" i="18"/>
  <c r="AN204" i="18"/>
  <c r="AN193" i="18"/>
  <c r="AP418" i="18"/>
  <c r="AO420" i="18"/>
  <c r="Q379" i="18"/>
  <c r="P207" i="18" l="1"/>
  <c r="R370" i="18"/>
  <c r="R383" i="18" s="1"/>
  <c r="AO383" i="18" s="1"/>
  <c r="AN197" i="18"/>
  <c r="AN477" i="18"/>
  <c r="P202" i="18"/>
  <c r="P208" i="18"/>
  <c r="AQ418" i="18"/>
  <c r="AP409" i="18"/>
  <c r="P405" i="18"/>
  <c r="P403" i="18"/>
  <c r="AN432" i="18"/>
  <c r="P394" i="18"/>
  <c r="P393" i="18" s="1"/>
  <c r="P435" i="18"/>
  <c r="AN256" i="18"/>
  <c r="AN404" i="18"/>
  <c r="AN452" i="18"/>
  <c r="AN453" i="18" s="1"/>
  <c r="P462" i="18"/>
  <c r="AN460" i="18"/>
  <c r="P329" i="18"/>
  <c r="P222" i="18"/>
  <c r="AN479" i="18"/>
  <c r="R375" i="18"/>
  <c r="Q378" i="18"/>
  <c r="AN329" i="18"/>
  <c r="AN222" i="18"/>
  <c r="AN462" i="18" l="1"/>
  <c r="AN207" i="18"/>
  <c r="AN199" i="18"/>
  <c r="Q399" i="18"/>
  <c r="Q407" i="18" s="1"/>
  <c r="AN403" i="18"/>
  <c r="AN405" i="18"/>
  <c r="AO399" i="18"/>
  <c r="R316" i="18"/>
  <c r="AO370" i="18"/>
  <c r="R431" i="18"/>
  <c r="P210" i="18"/>
  <c r="P209" i="18"/>
  <c r="AN242" i="18"/>
  <c r="AN243" i="18" s="1"/>
  <c r="AN244" i="18" s="1"/>
  <c r="AN245" i="18" s="1"/>
  <c r="AN225" i="18"/>
  <c r="AN394" i="18"/>
  <c r="AN435" i="18"/>
  <c r="AN224" i="18"/>
  <c r="AN352" i="18"/>
  <c r="AN355" i="18" s="1"/>
  <c r="R376" i="18"/>
  <c r="R384" i="18" s="1"/>
  <c r="AO384" i="18" s="1"/>
  <c r="P225" i="18"/>
  <c r="P242" i="18"/>
  <c r="P243" i="18" s="1"/>
  <c r="P244" i="18" s="1"/>
  <c r="P245" i="18" s="1"/>
  <c r="AQ409" i="18"/>
  <c r="AR418" i="18"/>
  <c r="AR409" i="18" s="1"/>
  <c r="P224" i="18"/>
  <c r="AN480" i="18"/>
  <c r="P352" i="18"/>
  <c r="P355" i="18" s="1"/>
  <c r="R386" i="18" l="1"/>
  <c r="P426" i="18"/>
  <c r="P357" i="18" s="1"/>
  <c r="Q390" i="18"/>
  <c r="AO390" i="18"/>
  <c r="AN393" i="18"/>
  <c r="P226" i="18"/>
  <c r="P223" i="18"/>
  <c r="P246" i="18"/>
  <c r="P247" i="18" s="1"/>
  <c r="P248" i="18" s="1"/>
  <c r="P249" i="18" s="1"/>
  <c r="AO431" i="18"/>
  <c r="R373" i="18"/>
  <c r="R372" i="18" s="1"/>
  <c r="AN223" i="18"/>
  <c r="AN246" i="18"/>
  <c r="AN226" i="18"/>
  <c r="AN297" i="18" s="1"/>
  <c r="Q272" i="18"/>
  <c r="Q347" i="18"/>
  <c r="Q408" i="18"/>
  <c r="AN202" i="18"/>
  <c r="AN208" i="18"/>
  <c r="R318" i="18"/>
  <c r="AO376" i="18"/>
  <c r="AO386" i="18" s="1"/>
  <c r="R433" i="18"/>
  <c r="R111" i="18"/>
  <c r="AO316" i="18"/>
  <c r="Q354" i="18"/>
  <c r="AO354" i="18"/>
  <c r="Q282" i="18" l="1"/>
  <c r="Q283" i="18" s="1"/>
  <c r="Q273" i="18"/>
  <c r="Q275" i="18" s="1"/>
  <c r="AO373" i="18"/>
  <c r="AN247" i="18"/>
  <c r="AN248" i="18" s="1"/>
  <c r="AN249" i="18" s="1"/>
  <c r="AN298" i="18"/>
  <c r="AN426" i="18"/>
  <c r="P252" i="18"/>
  <c r="P428" i="18"/>
  <c r="P436" i="18" s="1"/>
  <c r="P464" i="18" s="1"/>
  <c r="AO111" i="18"/>
  <c r="AO433" i="18"/>
  <c r="R379" i="18"/>
  <c r="R378" i="18" s="1"/>
  <c r="R114" i="18"/>
  <c r="AO318" i="18"/>
  <c r="AO114" i="18" s="1"/>
  <c r="AN210" i="18"/>
  <c r="AN295" i="18" s="1"/>
  <c r="AN209" i="18"/>
  <c r="AN478" i="18"/>
  <c r="Q401" i="18"/>
  <c r="Q391" i="18"/>
  <c r="Q397" i="18" s="1"/>
  <c r="AN252" i="18" l="1"/>
  <c r="AN428" i="18"/>
  <c r="AN436" i="18" s="1"/>
  <c r="AN464" i="18" s="1"/>
  <c r="AN357" i="18"/>
  <c r="AO379" i="18"/>
  <c r="Q413" i="18"/>
  <c r="Q414" i="18" s="1"/>
  <c r="Q415" i="18" s="1"/>
  <c r="Q416" i="18" s="1"/>
  <c r="Q400" i="18" s="1"/>
  <c r="AN262" i="18"/>
  <c r="P257" i="18"/>
  <c r="P293" i="18" s="1"/>
  <c r="Q317" i="18"/>
  <c r="Q182" i="18"/>
  <c r="Q346" i="18"/>
  <c r="AP369" i="18"/>
  <c r="AO372" i="18"/>
  <c r="AP370" i="18" l="1"/>
  <c r="AP383" i="18" s="1"/>
  <c r="AP375" i="18"/>
  <c r="AO378" i="18"/>
  <c r="Q261" i="18"/>
  <c r="AN257" i="18"/>
  <c r="Q127" i="18"/>
  <c r="Q184" i="18"/>
  <c r="Q112" i="18"/>
  <c r="Q113" i="18" s="1"/>
  <c r="Q115" i="18" s="1"/>
  <c r="Q392" i="18"/>
  <c r="Q449" i="18"/>
  <c r="AP376" i="18" l="1"/>
  <c r="AP384" i="18" s="1"/>
  <c r="AP316" i="18"/>
  <c r="AP431" i="18"/>
  <c r="Q404" i="18"/>
  <c r="Q256" i="18"/>
  <c r="Q432" i="18"/>
  <c r="Q129" i="18"/>
  <c r="Q185" i="18"/>
  <c r="AN268" i="18"/>
  <c r="AN267" i="18"/>
  <c r="AN293" i="18"/>
  <c r="Q277" i="18"/>
  <c r="Q263" i="18"/>
  <c r="AP386" i="18" l="1"/>
  <c r="Q130" i="18"/>
  <c r="Q266" i="18"/>
  <c r="Q394" i="18"/>
  <c r="R399" i="18"/>
  <c r="R407" i="18" s="1"/>
  <c r="Q403" i="18"/>
  <c r="Q405" i="18"/>
  <c r="AP373" i="18"/>
  <c r="Q284" i="18"/>
  <c r="Q285" i="18" s="1"/>
  <c r="Q287" i="18" s="1"/>
  <c r="Q332" i="18"/>
  <c r="Q279" i="18"/>
  <c r="Q264" i="18"/>
  <c r="AP111" i="18"/>
  <c r="AN296" i="18"/>
  <c r="AN299" i="18"/>
  <c r="AP318" i="18"/>
  <c r="AP114" i="18" s="1"/>
  <c r="AP433" i="18"/>
  <c r="AO332" i="18" l="1"/>
  <c r="AO337" i="18" s="1"/>
  <c r="Q337" i="18"/>
  <c r="R390" i="18"/>
  <c r="Q393" i="18"/>
  <c r="Q188" i="18"/>
  <c r="AQ369" i="18"/>
  <c r="AP372" i="18"/>
  <c r="AP379" i="18"/>
  <c r="R347" i="18"/>
  <c r="AO347" i="18" s="1"/>
  <c r="R272" i="18"/>
  <c r="R408" i="18"/>
  <c r="AO407" i="18"/>
  <c r="AO411" i="18" s="1"/>
  <c r="AQ370" i="18" l="1"/>
  <c r="AQ383" i="18" s="1"/>
  <c r="R401" i="18"/>
  <c r="AO408" i="18"/>
  <c r="R282" i="18"/>
  <c r="R283" i="18" s="1"/>
  <c r="R273" i="18"/>
  <c r="R275" i="18" s="1"/>
  <c r="AO272" i="18"/>
  <c r="Q189" i="18"/>
  <c r="Q451" i="18"/>
  <c r="R391" i="18"/>
  <c r="R397" i="18" s="1"/>
  <c r="AO481" i="18"/>
  <c r="AQ375" i="18"/>
  <c r="AP378" i="18"/>
  <c r="R413" i="18" l="1"/>
  <c r="R414" i="18" s="1"/>
  <c r="R415" i="18" s="1"/>
  <c r="R416" i="18" s="1"/>
  <c r="R400" i="18" s="1"/>
  <c r="AO282" i="18"/>
  <c r="AO283" i="18" s="1"/>
  <c r="AO273" i="18"/>
  <c r="AO275" i="18" s="1"/>
  <c r="Q452" i="18"/>
  <c r="Q453" i="18" s="1"/>
  <c r="R346" i="18"/>
  <c r="AO346" i="18" s="1"/>
  <c r="AO401" i="18"/>
  <c r="R317" i="18"/>
  <c r="R182" i="18"/>
  <c r="AO391" i="18"/>
  <c r="Q191" i="18"/>
  <c r="Q192" i="18"/>
  <c r="AQ376" i="18"/>
  <c r="AQ384" i="18" s="1"/>
  <c r="AQ316" i="18"/>
  <c r="AQ431" i="18"/>
  <c r="Q193" i="18" l="1"/>
  <c r="Q197" i="18" s="1"/>
  <c r="AQ386" i="18"/>
  <c r="R392" i="18"/>
  <c r="AO400" i="18"/>
  <c r="R449" i="18"/>
  <c r="Q324" i="18"/>
  <c r="Q434" i="18" s="1"/>
  <c r="AO396" i="18"/>
  <c r="AO397" i="18"/>
  <c r="R127" i="18"/>
  <c r="R184" i="18"/>
  <c r="AO182" i="18"/>
  <c r="R112" i="18"/>
  <c r="R113" i="18" s="1"/>
  <c r="R115" i="18" s="1"/>
  <c r="AO317" i="18"/>
  <c r="AQ373" i="18"/>
  <c r="AQ111" i="18"/>
  <c r="AQ318" i="18"/>
  <c r="AQ114" i="18" s="1"/>
  <c r="AQ433" i="18"/>
  <c r="Q459" i="18" l="1"/>
  <c r="Q460" i="18" s="1"/>
  <c r="Q462" i="18" s="1"/>
  <c r="AO127" i="18"/>
  <c r="AO184" i="18"/>
  <c r="AO413" i="18"/>
  <c r="AO414" i="18" s="1"/>
  <c r="AO415" i="18" s="1"/>
  <c r="AO416" i="18" s="1"/>
  <c r="AQ379" i="18"/>
  <c r="Q435" i="18"/>
  <c r="AR369" i="18"/>
  <c r="AQ372" i="18"/>
  <c r="R185" i="18"/>
  <c r="R129" i="18"/>
  <c r="Q199" i="18"/>
  <c r="Q207" i="18"/>
  <c r="Q325" i="18"/>
  <c r="AO449" i="18"/>
  <c r="R404" i="18"/>
  <c r="R256" i="18"/>
  <c r="AO112" i="18"/>
  <c r="AO113" i="18" s="1"/>
  <c r="AO115" i="18" s="1"/>
  <c r="AO392" i="18"/>
  <c r="R432" i="18"/>
  <c r="R130" i="18" l="1"/>
  <c r="AO185" i="18"/>
  <c r="AO432" i="18"/>
  <c r="R394" i="18"/>
  <c r="R393" i="18" s="1"/>
  <c r="AR375" i="18"/>
  <c r="AQ378" i="18"/>
  <c r="R403" i="18"/>
  <c r="R405" i="18"/>
  <c r="Q208" i="18"/>
  <c r="Q202" i="18"/>
  <c r="AO129" i="18"/>
  <c r="AR370" i="18"/>
  <c r="AO404" i="18"/>
  <c r="AO256" i="18"/>
  <c r="Q329" i="18"/>
  <c r="Q222" i="18"/>
  <c r="Q210" i="18" l="1"/>
  <c r="Q209" i="18"/>
  <c r="Q224" i="18"/>
  <c r="Q352" i="18"/>
  <c r="Q355" i="18" s="1"/>
  <c r="Q242" i="18"/>
  <c r="Q243" i="18" s="1"/>
  <c r="Q244" i="18" s="1"/>
  <c r="Q245" i="18" s="1"/>
  <c r="Q225" i="18"/>
  <c r="AR316" i="18"/>
  <c r="AR431" i="18"/>
  <c r="AR376" i="18"/>
  <c r="AR386" i="18" s="1"/>
  <c r="AO394" i="18"/>
  <c r="AP399" i="18"/>
  <c r="AP407" i="18" s="1"/>
  <c r="AO403" i="18"/>
  <c r="AO405" i="18"/>
  <c r="AO130" i="18"/>
  <c r="AR383" i="18"/>
  <c r="AR384" i="18" l="1"/>
  <c r="AP390" i="18"/>
  <c r="AO393" i="18"/>
  <c r="R354" i="18"/>
  <c r="Q426" i="18"/>
  <c r="Q357" i="18" s="1"/>
  <c r="AR318" i="18"/>
  <c r="AR114" i="18" s="1"/>
  <c r="AR433" i="18"/>
  <c r="AR379" i="18" s="1"/>
  <c r="AR378" i="18" s="1"/>
  <c r="AR373" i="18"/>
  <c r="AR372" i="18" s="1"/>
  <c r="AR111" i="18"/>
  <c r="Q226" i="18"/>
  <c r="Q223" i="18"/>
  <c r="Q246" i="18"/>
  <c r="Q247" i="18" s="1"/>
  <c r="Q248" i="18" s="1"/>
  <c r="Q249" i="18" s="1"/>
  <c r="AP272" i="18"/>
  <c r="AP347" i="18"/>
  <c r="AP408" i="18"/>
  <c r="AP401" i="18" s="1"/>
  <c r="AP346" i="18" s="1"/>
  <c r="Q252" i="18" l="1"/>
  <c r="Q428" i="18"/>
  <c r="Q436" i="18" s="1"/>
  <c r="Q464" i="18" s="1"/>
  <c r="AP282" i="18"/>
  <c r="AP283" i="18" s="1"/>
  <c r="AP273" i="18"/>
  <c r="AP275" i="18" s="1"/>
  <c r="AP391" i="18"/>
  <c r="AP317" i="18" l="1"/>
  <c r="AP182" i="18"/>
  <c r="AP397" i="18"/>
  <c r="R261" i="18"/>
  <c r="Q257" i="18"/>
  <c r="Q293" i="18" s="1"/>
  <c r="R277" i="18" l="1"/>
  <c r="R263" i="18"/>
  <c r="AO261" i="18"/>
  <c r="AO262" i="18" s="1"/>
  <c r="AP413" i="18"/>
  <c r="AP414" i="18" s="1"/>
  <c r="AP415" i="18" s="1"/>
  <c r="AP416" i="18" s="1"/>
  <c r="AP400" i="18" s="1"/>
  <c r="AP127" i="18"/>
  <c r="AP184" i="18"/>
  <c r="AP112" i="18"/>
  <c r="AP113" i="18" s="1"/>
  <c r="AP115" i="18" s="1"/>
  <c r="AP392" i="18" l="1"/>
  <c r="AP432" i="18" s="1"/>
  <c r="AP449" i="18"/>
  <c r="AP185" i="18"/>
  <c r="AP129" i="18"/>
  <c r="R264" i="18"/>
  <c r="AO263" i="18"/>
  <c r="R266" i="18"/>
  <c r="R332" i="18"/>
  <c r="R337" i="18" s="1"/>
  <c r="R279" i="18"/>
  <c r="R284" i="18"/>
  <c r="R285" i="18" s="1"/>
  <c r="R287" i="18" s="1"/>
  <c r="AO277" i="18"/>
  <c r="R188" i="18" l="1"/>
  <c r="AO287" i="18"/>
  <c r="AO279" i="18"/>
  <c r="AO284" i="18"/>
  <c r="AO285" i="18" s="1"/>
  <c r="AO264" i="18"/>
  <c r="AO266" i="18"/>
  <c r="AP130" i="18"/>
  <c r="AP404" i="18"/>
  <c r="AP256" i="18"/>
  <c r="AP394" i="18"/>
  <c r="AQ390" i="18" l="1"/>
  <c r="AP393" i="18"/>
  <c r="AQ399" i="18"/>
  <c r="AQ407" i="18" s="1"/>
  <c r="AP403" i="18"/>
  <c r="AP405" i="18"/>
  <c r="R189" i="18"/>
  <c r="AO188" i="18"/>
  <c r="AO189" i="18" s="1"/>
  <c r="R451" i="18"/>
  <c r="AO451" i="18" l="1"/>
  <c r="R452" i="18"/>
  <c r="R453" i="18" s="1"/>
  <c r="R191" i="18"/>
  <c r="R192" i="18"/>
  <c r="AO192" i="18" s="1"/>
  <c r="AO205" i="18" s="1"/>
  <c r="AQ272" i="18"/>
  <c r="AQ347" i="18"/>
  <c r="AQ408" i="18"/>
  <c r="AQ401" i="18" s="1"/>
  <c r="AQ346" i="18" s="1"/>
  <c r="AQ391" i="18"/>
  <c r="R193" i="18" l="1"/>
  <c r="R197" i="18" s="1"/>
  <c r="AQ317" i="18"/>
  <c r="AQ182" i="18"/>
  <c r="AQ397" i="18"/>
  <c r="AQ282" i="18"/>
  <c r="AQ283" i="18" s="1"/>
  <c r="AQ273" i="18"/>
  <c r="AQ275" i="18" s="1"/>
  <c r="R324" i="18"/>
  <c r="R434" i="18" s="1"/>
  <c r="AO191" i="18"/>
  <c r="AO452" i="18"/>
  <c r="AO453" i="18" s="1"/>
  <c r="R459" i="18" l="1"/>
  <c r="AO459" i="18" s="1"/>
  <c r="AO204" i="18"/>
  <c r="AO193" i="18"/>
  <c r="AO434" i="18"/>
  <c r="R435" i="18"/>
  <c r="R325" i="18"/>
  <c r="AO324" i="18"/>
  <c r="AO325" i="18" s="1"/>
  <c r="R207" i="18"/>
  <c r="R199" i="18"/>
  <c r="AQ413" i="18"/>
  <c r="AQ414" i="18" s="1"/>
  <c r="AQ415" i="18" s="1"/>
  <c r="AQ416" i="18" s="1"/>
  <c r="AQ400" i="18" s="1"/>
  <c r="AQ127" i="18"/>
  <c r="AQ184" i="18"/>
  <c r="AQ112" i="18"/>
  <c r="AQ113" i="18" s="1"/>
  <c r="AQ115" i="18" s="1"/>
  <c r="R460" i="18" l="1"/>
  <c r="R462" i="18" s="1"/>
  <c r="AQ392" i="18"/>
  <c r="AQ432" i="18" s="1"/>
  <c r="AQ449" i="18"/>
  <c r="AQ185" i="18"/>
  <c r="AQ129" i="18"/>
  <c r="AO329" i="18"/>
  <c r="AO222" i="18"/>
  <c r="R208" i="18"/>
  <c r="R202" i="18"/>
  <c r="R329" i="18"/>
  <c r="R222" i="18"/>
  <c r="AO479" i="18"/>
  <c r="AO435" i="18"/>
  <c r="AO460" i="18"/>
  <c r="AO462" i="18" s="1"/>
  <c r="AO197" i="18"/>
  <c r="AO477" i="18"/>
  <c r="AO199" i="18" l="1"/>
  <c r="AO207" i="18"/>
  <c r="R224" i="18"/>
  <c r="AO480" i="18"/>
  <c r="R352" i="18"/>
  <c r="R355" i="18" s="1"/>
  <c r="R209" i="18"/>
  <c r="R210" i="18"/>
  <c r="AO225" i="18"/>
  <c r="AO242" i="18"/>
  <c r="AO243" i="18" s="1"/>
  <c r="AO244" i="18" s="1"/>
  <c r="AO245" i="18" s="1"/>
  <c r="AQ404" i="18"/>
  <c r="AQ256" i="18"/>
  <c r="R242" i="18"/>
  <c r="R243" i="18" s="1"/>
  <c r="R244" i="18" s="1"/>
  <c r="R245" i="18" s="1"/>
  <c r="R225" i="18"/>
  <c r="AO224" i="18"/>
  <c r="AO352" i="18"/>
  <c r="AO355" i="18" s="1"/>
  <c r="AQ130" i="18"/>
  <c r="AQ394" i="18"/>
  <c r="AR399" i="18" l="1"/>
  <c r="AR407" i="18" s="1"/>
  <c r="AQ403" i="18"/>
  <c r="AQ405" i="18"/>
  <c r="R246" i="18"/>
  <c r="R247" i="18" s="1"/>
  <c r="R248" i="18" s="1"/>
  <c r="R249" i="18" s="1"/>
  <c r="R223" i="18"/>
  <c r="R226" i="18"/>
  <c r="AR390" i="18"/>
  <c r="AQ393" i="18"/>
  <c r="R426" i="18"/>
  <c r="AP354" i="18"/>
  <c r="AO246" i="18"/>
  <c r="AO223" i="18"/>
  <c r="AO226" i="18"/>
  <c r="AO297" i="18" s="1"/>
  <c r="AO208" i="18"/>
  <c r="AO202" i="18"/>
  <c r="AO247" i="18" l="1"/>
  <c r="AO248" i="18" s="1"/>
  <c r="AO249" i="18" s="1"/>
  <c r="AO298" i="18"/>
  <c r="AO426" i="18"/>
  <c r="R252" i="18"/>
  <c r="R257" i="18" s="1"/>
  <c r="R293" i="18" s="1"/>
  <c r="R428" i="18"/>
  <c r="R436" i="18" s="1"/>
  <c r="R464" i="18" s="1"/>
  <c r="AO210" i="18"/>
  <c r="AO295" i="18" s="1"/>
  <c r="AO209" i="18"/>
  <c r="AO478" i="18"/>
  <c r="R357" i="18"/>
  <c r="AR391" i="18"/>
  <c r="AR397" i="18" s="1"/>
  <c r="AR272" i="18"/>
  <c r="AR347" i="18"/>
  <c r="AR408" i="18"/>
  <c r="AR401" i="18" s="1"/>
  <c r="AR346" i="18" s="1"/>
  <c r="AR413" i="18" l="1"/>
  <c r="AR414" i="18" s="1"/>
  <c r="AR415" i="18" s="1"/>
  <c r="AR416" i="18" s="1"/>
  <c r="AR400" i="18" s="1"/>
  <c r="AO252" i="18"/>
  <c r="AO428" i="18"/>
  <c r="AO436" i="18" s="1"/>
  <c r="AO464" i="18" s="1"/>
  <c r="AO357" i="18"/>
  <c r="AR282" i="18"/>
  <c r="AR283" i="18" s="1"/>
  <c r="AR273" i="18"/>
  <c r="AR275" i="18" s="1"/>
  <c r="AR317" i="18"/>
  <c r="AR182" i="18"/>
  <c r="AR392" i="18" l="1"/>
  <c r="AR432" i="18" s="1"/>
  <c r="AR449" i="18"/>
  <c r="AR127" i="18"/>
  <c r="AR184" i="18"/>
  <c r="AR112" i="18"/>
  <c r="AR113" i="18" s="1"/>
  <c r="AR115" i="18" s="1"/>
  <c r="AP261" i="18"/>
  <c r="AO257" i="18"/>
  <c r="AO293" i="18" l="1"/>
  <c r="AO268" i="18"/>
  <c r="AO267" i="18"/>
  <c r="AP277" i="18"/>
  <c r="AP263" i="18"/>
  <c r="AR185" i="18"/>
  <c r="AR129" i="18"/>
  <c r="A185" i="18"/>
  <c r="AR256" i="18"/>
  <c r="AR404" i="18"/>
  <c r="AR394" i="18"/>
  <c r="AR393" i="18" s="1"/>
  <c r="AR403" i="18" l="1"/>
  <c r="AR405" i="18"/>
  <c r="AP264" i="18"/>
  <c r="AP266" i="18"/>
  <c r="A186" i="18"/>
  <c r="A501" i="18"/>
  <c r="AR130" i="18"/>
  <c r="AP332" i="18"/>
  <c r="AP337" i="18" s="1"/>
  <c r="AP284" i="18"/>
  <c r="AP285" i="18" s="1"/>
  <c r="AP287" i="18" s="1"/>
  <c r="AP188" i="18" s="1"/>
  <c r="AP279" i="18"/>
  <c r="AO296" i="18"/>
  <c r="AO299" i="18"/>
  <c r="A522" i="18" l="1"/>
  <c r="AR186" i="18" s="1"/>
  <c r="AR131" i="18" s="1"/>
  <c r="AP189" i="18"/>
  <c r="AP451" i="18"/>
  <c r="AQ186" i="18" l="1"/>
  <c r="AQ131" i="18" s="1"/>
  <c r="AP186" i="18"/>
  <c r="AP131" i="18" s="1"/>
  <c r="P186" i="18"/>
  <c r="P131" i="18" s="1"/>
  <c r="AO186" i="18"/>
  <c r="AO131" i="18" s="1"/>
  <c r="AN186" i="18"/>
  <c r="AN131" i="18" s="1"/>
  <c r="R186" i="18"/>
  <c r="R131" i="18" s="1"/>
  <c r="Q186" i="18"/>
  <c r="Q131" i="18" s="1"/>
  <c r="AP191" i="18"/>
  <c r="AP192" i="18"/>
  <c r="Q180" i="18"/>
  <c r="Q125" i="18" s="1"/>
  <c r="P211" i="18"/>
  <c r="Q211" i="18"/>
  <c r="P227" i="18"/>
  <c r="Q227" i="18"/>
  <c r="P180" i="18"/>
  <c r="P125" i="18" s="1"/>
  <c r="AO180" i="18"/>
  <c r="AO125" i="18" s="1"/>
  <c r="P229" i="18"/>
  <c r="AN180" i="18"/>
  <c r="AN125" i="18" s="1"/>
  <c r="R180" i="18"/>
  <c r="R125" i="18" s="1"/>
  <c r="AP227" i="18"/>
  <c r="R229" i="18"/>
  <c r="Q229" i="18"/>
  <c r="AP229" i="18"/>
  <c r="R227" i="18"/>
  <c r="AP211" i="18"/>
  <c r="R211" i="18"/>
  <c r="AN229" i="18"/>
  <c r="AO227" i="18"/>
  <c r="AN227" i="18"/>
  <c r="AN211" i="18"/>
  <c r="AQ229" i="18"/>
  <c r="AO229" i="18"/>
  <c r="AP180" i="18"/>
  <c r="AP125" i="18" s="1"/>
  <c r="AO211" i="18"/>
  <c r="AQ180" i="18"/>
  <c r="AQ125" i="18" s="1"/>
  <c r="AQ227" i="18"/>
  <c r="AQ211" i="18"/>
  <c r="AR227" i="18"/>
  <c r="AR211" i="18"/>
  <c r="AR180" i="18"/>
  <c r="AR125" i="18" s="1"/>
  <c r="AR229" i="18"/>
  <c r="AP452" i="18"/>
  <c r="AP453" i="18" s="1"/>
  <c r="AP193" i="18" l="1"/>
  <c r="AP197" i="18" s="1"/>
  <c r="AP324" i="18"/>
  <c r="AP325" i="18" s="1"/>
  <c r="AP459" i="18" l="1"/>
  <c r="AP460" i="18" s="1"/>
  <c r="AP462" i="18" s="1"/>
  <c r="AP434" i="18"/>
  <c r="AP435" i="18" s="1"/>
  <c r="AP329" i="18"/>
  <c r="AP222" i="18"/>
  <c r="AP199" i="18"/>
  <c r="AP207" i="18"/>
  <c r="AP208" i="18" l="1"/>
  <c r="AP202" i="18"/>
  <c r="AP225" i="18"/>
  <c r="AP242" i="18"/>
  <c r="AP243" i="18" s="1"/>
  <c r="AP244" i="18" s="1"/>
  <c r="AP245" i="18" s="1"/>
  <c r="AP224" i="18"/>
  <c r="AP352" i="18"/>
  <c r="AP355" i="18" s="1"/>
  <c r="AP426" i="18" l="1"/>
  <c r="AP357" i="18" s="1"/>
  <c r="AQ354" i="18"/>
  <c r="AP226" i="18"/>
  <c r="AP297" i="18" s="1"/>
  <c r="AP223" i="18"/>
  <c r="AP246" i="18"/>
  <c r="AP209" i="18"/>
  <c r="AP210" i="18"/>
  <c r="AP295" i="18" s="1"/>
  <c r="AP247" i="18" l="1"/>
  <c r="AP248" i="18" s="1"/>
  <c r="AP249" i="18" s="1"/>
  <c r="AP298" i="18"/>
  <c r="AP252" i="18"/>
  <c r="AP428" i="18"/>
  <c r="AP436" i="18" s="1"/>
  <c r="AP464" i="18" s="1"/>
  <c r="AQ261" i="18" l="1"/>
  <c r="AP257" i="18"/>
  <c r="AP293" i="18" l="1"/>
  <c r="AP268" i="18"/>
  <c r="AP267" i="18"/>
  <c r="AQ277" i="18"/>
  <c r="AQ263" i="18"/>
  <c r="AQ264" i="18" l="1"/>
  <c r="AQ266" i="18"/>
  <c r="AQ332" i="18"/>
  <c r="AQ337" i="18" s="1"/>
  <c r="AQ284" i="18"/>
  <c r="AQ285" i="18" s="1"/>
  <c r="AQ287" i="18" s="1"/>
  <c r="AQ188" i="18" s="1"/>
  <c r="AQ279" i="18"/>
  <c r="AP296" i="18"/>
  <c r="AP299" i="18"/>
  <c r="AQ189" i="18" l="1"/>
  <c r="AQ451" i="18"/>
  <c r="AQ452" i="18" l="1"/>
  <c r="AQ453" i="18" s="1"/>
  <c r="AQ191" i="18"/>
  <c r="AQ192" i="18"/>
  <c r="AQ193" i="18" l="1"/>
  <c r="AQ197" i="18" s="1"/>
  <c r="AQ324" i="18"/>
  <c r="AQ325" i="18" s="1"/>
  <c r="AQ459" i="18" l="1"/>
  <c r="AQ460" i="18" s="1"/>
  <c r="AQ462" i="18" s="1"/>
  <c r="AQ434" i="18"/>
  <c r="AQ435" i="18" s="1"/>
  <c r="AQ329" i="18"/>
  <c r="AQ222" i="18"/>
  <c r="AQ199" i="18"/>
  <c r="AQ207" i="18"/>
  <c r="AQ202" i="18" l="1"/>
  <c r="AQ208" i="18"/>
  <c r="AQ225" i="18"/>
  <c r="AQ242" i="18"/>
  <c r="AQ243" i="18" s="1"/>
  <c r="AQ244" i="18" s="1"/>
  <c r="AQ245" i="18" s="1"/>
  <c r="AQ224" i="18"/>
  <c r="AQ352" i="18"/>
  <c r="AQ355" i="18" s="1"/>
  <c r="AQ226" i="18" l="1"/>
  <c r="AQ297" i="18" s="1"/>
  <c r="AQ223" i="18"/>
  <c r="AQ246" i="18"/>
  <c r="AQ426" i="18"/>
  <c r="AQ357" i="18" s="1"/>
  <c r="AR354" i="18"/>
  <c r="AQ210" i="18"/>
  <c r="AQ295" i="18" s="1"/>
  <c r="AQ209" i="18"/>
  <c r="AQ252" i="18" l="1"/>
  <c r="AQ428" i="18"/>
  <c r="AQ436" i="18" s="1"/>
  <c r="AQ464" i="18" s="1"/>
  <c r="AQ247" i="18"/>
  <c r="AQ248" i="18" s="1"/>
  <c r="AQ249" i="18" s="1"/>
  <c r="AQ298" i="18"/>
  <c r="AR261" i="18" l="1"/>
  <c r="AQ257" i="18"/>
  <c r="AQ293" i="18" l="1"/>
  <c r="AQ268" i="18"/>
  <c r="AQ267" i="18"/>
  <c r="AR277" i="18"/>
  <c r="AR263" i="18"/>
  <c r="AR264" i="18" l="1"/>
  <c r="AR266" i="18"/>
  <c r="AR284" i="18"/>
  <c r="AR285" i="18" s="1"/>
  <c r="AR287" i="18" s="1"/>
  <c r="AR188" i="18" s="1"/>
  <c r="AR279" i="18"/>
  <c r="AR332" i="18"/>
  <c r="AR337" i="18" s="1"/>
  <c r="AQ296" i="18"/>
  <c r="AQ299" i="18"/>
  <c r="AR189" i="18" l="1"/>
  <c r="AR451" i="18"/>
  <c r="AR452" i="18" s="1"/>
  <c r="AR453" i="18" s="1"/>
  <c r="AR191" i="18" l="1"/>
  <c r="AR192" i="18"/>
  <c r="AR324" i="18" l="1"/>
  <c r="AR325" i="18" s="1"/>
  <c r="AR193" i="18"/>
  <c r="AR434" i="18" l="1"/>
  <c r="AR435" i="18" s="1"/>
  <c r="AR197" i="18"/>
  <c r="AR459" i="18"/>
  <c r="AR460" i="18" s="1"/>
  <c r="AR462" i="18" s="1"/>
  <c r="AR329" i="18"/>
  <c r="AR222" i="18"/>
  <c r="AR225" i="18" l="1"/>
  <c r="AR242" i="18"/>
  <c r="AR243" i="18" s="1"/>
  <c r="AR244" i="18" s="1"/>
  <c r="AR245" i="18" s="1"/>
  <c r="AR224" i="18"/>
  <c r="AR352" i="18"/>
  <c r="AR355" i="18" s="1"/>
  <c r="AR199" i="18"/>
  <c r="AR207" i="18"/>
  <c r="AR208" i="18" l="1"/>
  <c r="AR202" i="18"/>
  <c r="AR426" i="18"/>
  <c r="AR357" i="18" s="1"/>
  <c r="AR226" i="18"/>
  <c r="AR297" i="18" s="1"/>
  <c r="AR246" i="18"/>
  <c r="AR223" i="18"/>
  <c r="AR247" i="18" l="1"/>
  <c r="AR248" i="18" s="1"/>
  <c r="AR249" i="18" s="1"/>
  <c r="AR298" i="18"/>
  <c r="AR252" i="18"/>
  <c r="AR257" i="18" s="1"/>
  <c r="AR428" i="18"/>
  <c r="AR436" i="18" s="1"/>
  <c r="AR464" i="18" s="1"/>
  <c r="AR210" i="18"/>
  <c r="AR295" i="18" s="1"/>
  <c r="AR209" i="18"/>
  <c r="AR293" i="18" l="1"/>
  <c r="AR267" i="18"/>
  <c r="AR268" i="18"/>
  <c r="AR296" i="18" l="1"/>
  <c r="AR299" i="18"/>
  <c r="U223" i="8" l="1"/>
  <c r="V223" i="8" s="1"/>
  <c r="V79" i="3" s="1"/>
  <c r="V90" i="3" l="1"/>
  <c r="V80" i="3"/>
  <c r="U224" i="8"/>
  <c r="U79" i="3"/>
  <c r="V81" i="3" l="1"/>
  <c r="V91" i="3" s="1"/>
  <c r="V93" i="3" s="1"/>
  <c r="U226" i="8"/>
  <c r="V226" i="8" s="1"/>
  <c r="V224" i="8"/>
  <c r="U90" i="3"/>
  <c r="U80" i="3"/>
  <c r="AX79" i="3"/>
  <c r="V82" i="3" l="1"/>
  <c r="V84" i="3" s="1"/>
  <c r="V85" i="3" s="1"/>
  <c r="X85" i="3"/>
  <c r="V97" i="3"/>
  <c r="V94" i="3"/>
  <c r="AX90" i="3"/>
  <c r="N52" i="23"/>
  <c r="N52" i="4"/>
  <c r="U81" i="3"/>
  <c r="U82" i="3" s="1"/>
  <c r="AX80" i="3"/>
  <c r="V95" i="3" l="1"/>
  <c r="X95" i="3"/>
  <c r="U84" i="3"/>
  <c r="AX82" i="3"/>
  <c r="U91" i="3"/>
  <c r="U93" i="3" s="1"/>
  <c r="AX81" i="3"/>
  <c r="U94" i="3" l="1"/>
  <c r="U97" i="3"/>
  <c r="U85" i="3"/>
  <c r="W85" i="3"/>
  <c r="AX84" i="3"/>
  <c r="AX83" i="3" s="1"/>
  <c r="AX91" i="3"/>
  <c r="AX93" i="3" s="1"/>
  <c r="N54" i="4"/>
  <c r="N54" i="23"/>
  <c r="AX115" i="3"/>
  <c r="AX94" i="3" l="1"/>
  <c r="AX95" i="3" s="1"/>
  <c r="N55" i="23"/>
  <c r="N59" i="23"/>
  <c r="N79" i="23" s="1"/>
  <c r="AX85" i="3"/>
  <c r="AY85" i="3"/>
  <c r="N55" i="4"/>
  <c r="O55" i="4" s="1"/>
  <c r="N59" i="4"/>
  <c r="N79" i="4" s="1"/>
  <c r="U95" i="3"/>
  <c r="W95" i="3"/>
  <c r="N114" i="23" l="1"/>
  <c r="N112" i="23"/>
  <c r="N60" i="4"/>
  <c r="AY95" i="3"/>
  <c r="AX101" i="3"/>
  <c r="AX98" i="3" s="1"/>
  <c r="AX113" i="3"/>
  <c r="N60" i="23"/>
  <c r="O60" i="23"/>
  <c r="X97" i="3"/>
  <c r="X98" i="3" s="1"/>
  <c r="X101" i="3" s="1"/>
  <c r="W98" i="3"/>
  <c r="P55" i="4"/>
  <c r="Q55" i="4" l="1"/>
  <c r="W101" i="3"/>
  <c r="AY101" i="3" s="1"/>
  <c r="AY98" i="3" s="1"/>
  <c r="AY113" i="3"/>
  <c r="W108" i="3"/>
  <c r="AX108" i="3"/>
  <c r="N66" i="23" s="1"/>
  <c r="AX97" i="3"/>
  <c r="N63" i="4"/>
  <c r="N63" i="23"/>
  <c r="O63" i="23" l="1"/>
  <c r="AY97" i="3"/>
  <c r="N62" i="23"/>
  <c r="N64" i="23"/>
  <c r="N64" i="4"/>
  <c r="N62" i="4"/>
  <c r="N66" i="4"/>
  <c r="AX109" i="3"/>
  <c r="AX114" i="3"/>
  <c r="AX117" i="3"/>
  <c r="AX116" i="3"/>
  <c r="W109" i="3"/>
  <c r="X108" i="3"/>
  <c r="R55" i="4"/>
  <c r="N67" i="23" l="1"/>
  <c r="X109" i="3"/>
  <c r="AY108" i="3"/>
  <c r="O66" i="23" s="1"/>
  <c r="O67" i="23" s="1"/>
  <c r="S55" i="4"/>
  <c r="N67" i="4"/>
  <c r="P62" i="4"/>
  <c r="O64" i="23"/>
  <c r="O62" i="23"/>
  <c r="P62" i="23" s="1"/>
  <c r="O69" i="23" l="1"/>
  <c r="O70" i="23" s="1"/>
  <c r="Q62" i="23"/>
  <c r="P63" i="23"/>
  <c r="Q62" i="4"/>
  <c r="N112" i="4"/>
  <c r="N113" i="4" s="1"/>
  <c r="N114" i="4"/>
  <c r="T55" i="4"/>
  <c r="AY117" i="3"/>
  <c r="AY109" i="3"/>
  <c r="AY114" i="3"/>
  <c r="AY116" i="3"/>
  <c r="O72" i="23" l="1"/>
  <c r="O84" i="23" s="1"/>
  <c r="U55" i="4"/>
  <c r="N113" i="23"/>
  <c r="N117" i="23"/>
  <c r="N111" i="23"/>
  <c r="R62" i="4"/>
  <c r="N116" i="4"/>
  <c r="O84" i="4"/>
  <c r="O76" i="23"/>
  <c r="O73" i="23"/>
  <c r="O81" i="23"/>
  <c r="P64" i="23"/>
  <c r="P69" i="23"/>
  <c r="P91" i="23" s="1"/>
  <c r="R62" i="23"/>
  <c r="Q63" i="23"/>
  <c r="O78" i="23" l="1"/>
  <c r="O79" i="23"/>
  <c r="O112" i="23" s="1"/>
  <c r="O82" i="23"/>
  <c r="O114" i="23"/>
  <c r="S62" i="23"/>
  <c r="R63" i="23"/>
  <c r="P72" i="23"/>
  <c r="P70" i="23"/>
  <c r="S62" i="4"/>
  <c r="Q69" i="23"/>
  <c r="Q91" i="23" s="1"/>
  <c r="AF63" i="23"/>
  <c r="Q64" i="23"/>
  <c r="N118" i="23"/>
  <c r="V55" i="4"/>
  <c r="P82" i="23" l="1"/>
  <c r="P79" i="23"/>
  <c r="W55" i="4"/>
  <c r="O113" i="23"/>
  <c r="O111" i="23"/>
  <c r="O117" i="23"/>
  <c r="Q72" i="23"/>
  <c r="Q70" i="23"/>
  <c r="T62" i="4"/>
  <c r="P78" i="23"/>
  <c r="P73" i="23"/>
  <c r="P81" i="23"/>
  <c r="P76" i="23"/>
  <c r="T62" i="23"/>
  <c r="S63" i="23"/>
  <c r="R64" i="23"/>
  <c r="R69" i="23"/>
  <c r="R91" i="23" s="1"/>
  <c r="P114" i="23" l="1"/>
  <c r="P112" i="23"/>
  <c r="P111" i="23" s="1"/>
  <c r="Q79" i="23"/>
  <c r="Q82" i="23"/>
  <c r="U62" i="4"/>
  <c r="R70" i="23"/>
  <c r="R72" i="23"/>
  <c r="S69" i="23"/>
  <c r="S91" i="23" s="1"/>
  <c r="S64" i="23"/>
  <c r="U62" i="23"/>
  <c r="T63" i="23"/>
  <c r="Q73" i="23"/>
  <c r="Q78" i="23"/>
  <c r="Q81" i="23"/>
  <c r="Q76" i="23"/>
  <c r="O118" i="23"/>
  <c r="X55" i="4"/>
  <c r="Q112" i="23" l="1"/>
  <c r="Q117" i="23" s="1"/>
  <c r="Q114" i="23"/>
  <c r="R82" i="23"/>
  <c r="R79" i="23"/>
  <c r="V62" i="23"/>
  <c r="U63" i="23"/>
  <c r="Y55" i="4"/>
  <c r="Z55" i="4" s="1"/>
  <c r="S70" i="23"/>
  <c r="S72" i="23"/>
  <c r="T64" i="23"/>
  <c r="T69" i="23"/>
  <c r="T91" i="23" s="1"/>
  <c r="P113" i="23"/>
  <c r="P117" i="23"/>
  <c r="R76" i="23"/>
  <c r="R73" i="23"/>
  <c r="R78" i="23"/>
  <c r="R81" i="23"/>
  <c r="V62" i="4"/>
  <c r="R114" i="23" l="1"/>
  <c r="R112" i="23"/>
  <c r="S82" i="23"/>
  <c r="S79" i="23"/>
  <c r="P118" i="23"/>
  <c r="T72" i="23"/>
  <c r="T70" i="23"/>
  <c r="S78" i="23"/>
  <c r="S73" i="23"/>
  <c r="S76" i="23"/>
  <c r="S81" i="23"/>
  <c r="U64" i="23"/>
  <c r="U69" i="23"/>
  <c r="U91" i="23" s="1"/>
  <c r="W62" i="23"/>
  <c r="V63" i="23"/>
  <c r="W62" i="4"/>
  <c r="Q113" i="23"/>
  <c r="S114" i="23" l="1"/>
  <c r="S112" i="23"/>
  <c r="S117" i="23" s="1"/>
  <c r="T82" i="23"/>
  <c r="T79" i="23"/>
  <c r="X62" i="4"/>
  <c r="V69" i="23"/>
  <c r="V91" i="23" s="1"/>
  <c r="V64" i="23"/>
  <c r="U72" i="23"/>
  <c r="U70" i="23"/>
  <c r="T73" i="23"/>
  <c r="T81" i="23"/>
  <c r="T78" i="23"/>
  <c r="T76" i="23"/>
  <c r="Q118" i="23"/>
  <c r="R113" i="23"/>
  <c r="R118" i="23" s="1"/>
  <c r="X62" i="23"/>
  <c r="W63" i="23"/>
  <c r="R117" i="23"/>
  <c r="T114" i="23" l="1"/>
  <c r="T112" i="23"/>
  <c r="T113" i="23" s="1"/>
  <c r="U79" i="23"/>
  <c r="U82" i="23"/>
  <c r="W69" i="23"/>
  <c r="W91" i="23" s="1"/>
  <c r="W64" i="23"/>
  <c r="X63" i="23"/>
  <c r="Y62" i="23"/>
  <c r="S113" i="23"/>
  <c r="S118" i="23" s="1"/>
  <c r="V72" i="23"/>
  <c r="V70" i="23"/>
  <c r="Y62" i="4"/>
  <c r="U81" i="23"/>
  <c r="U78" i="23"/>
  <c r="U73" i="23"/>
  <c r="U76" i="23"/>
  <c r="Y63" i="23" l="1"/>
  <c r="Y64" i="23" s="1"/>
  <c r="Z62" i="23"/>
  <c r="Z63" i="23" s="1"/>
  <c r="Z62" i="4"/>
  <c r="V82" i="23"/>
  <c r="V79" i="23"/>
  <c r="T117" i="23"/>
  <c r="V73" i="23"/>
  <c r="V78" i="23"/>
  <c r="V81" i="23"/>
  <c r="V76" i="23"/>
  <c r="X64" i="23"/>
  <c r="X69" i="23"/>
  <c r="X91" i="23" s="1"/>
  <c r="T118" i="23"/>
  <c r="W70" i="23"/>
  <c r="W72" i="23"/>
  <c r="Y69" i="23" l="1"/>
  <c r="Z69" i="23"/>
  <c r="Z70" i="23" s="1"/>
  <c r="Z64" i="23"/>
  <c r="Y70" i="23"/>
  <c r="Y91" i="23"/>
  <c r="O92" i="23" s="1"/>
  <c r="O103" i="23" s="1"/>
  <c r="W82" i="23"/>
  <c r="W79" i="23"/>
  <c r="X72" i="23"/>
  <c r="W78" i="23"/>
  <c r="W73" i="23"/>
  <c r="W81" i="23"/>
  <c r="W76" i="23"/>
  <c r="X70" i="23"/>
  <c r="X82" i="23" l="1"/>
  <c r="X79" i="23"/>
  <c r="Y72" i="23"/>
  <c r="Z72" i="23" s="1"/>
  <c r="X73" i="23"/>
  <c r="X78" i="23"/>
  <c r="X76" i="23"/>
  <c r="X81" i="23"/>
  <c r="Z79" i="23" l="1"/>
  <c r="Z81" i="23"/>
  <c r="Z76" i="23"/>
  <c r="Z73" i="23"/>
  <c r="Z82" i="23"/>
  <c r="Z78" i="23"/>
  <c r="Y82" i="23"/>
  <c r="Y79" i="23"/>
  <c r="Y73" i="23"/>
  <c r="Y76" i="23"/>
  <c r="Y81" i="23"/>
  <c r="Y78" i="23"/>
  <c r="O116" i="4" l="1"/>
  <c r="Q66" i="4" l="1"/>
  <c r="R66" i="4" l="1"/>
  <c r="Q52" i="4"/>
  <c r="R52" i="4" l="1"/>
  <c r="S66" i="4"/>
  <c r="T66" i="4" l="1"/>
  <c r="S52" i="4"/>
  <c r="T52" i="4" l="1"/>
  <c r="U66" i="4"/>
  <c r="U52" i="4" l="1"/>
  <c r="V66" i="4"/>
  <c r="V52" i="4" l="1"/>
  <c r="W66" i="4"/>
  <c r="X66" i="4" l="1"/>
  <c r="W52" i="4"/>
  <c r="X52" i="4" l="1"/>
  <c r="Y66" i="4"/>
  <c r="Y52" i="4" l="1"/>
  <c r="Z66" i="4"/>
  <c r="Z67" i="4" l="1"/>
  <c r="Z52" i="4"/>
  <c r="Z54" i="4" l="1"/>
  <c r="Z59" i="4" s="1"/>
  <c r="Y90" i="4" s="1"/>
  <c r="Z63" i="4" l="1"/>
  <c r="N103" i="4"/>
  <c r="Z64" i="4" l="1"/>
  <c r="Z69" i="4"/>
  <c r="Z70" i="4" l="1"/>
  <c r="O39" i="4"/>
  <c r="O31" i="4" s="1"/>
  <c r="P39" i="4"/>
  <c r="Q39" i="4"/>
  <c r="O47" i="4" l="1"/>
  <c r="O50" i="4" s="1"/>
  <c r="O54" i="4"/>
  <c r="O59" i="4" s="1"/>
  <c r="O48" i="4"/>
  <c r="O49" i="4" s="1"/>
  <c r="Q54" i="4"/>
  <c r="Q40" i="4"/>
  <c r="Q41" i="4" s="1"/>
  <c r="Q31" i="4"/>
  <c r="AF39" i="4"/>
  <c r="Q47" i="4"/>
  <c r="Q67" i="4"/>
  <c r="P31" i="4"/>
  <c r="P54" i="4"/>
  <c r="P67" i="4"/>
  <c r="P47" i="4"/>
  <c r="P40" i="4"/>
  <c r="P41" i="4" s="1"/>
  <c r="O32" i="4"/>
  <c r="O33" i="4" s="1"/>
  <c r="O34" i="4"/>
  <c r="O25" i="4"/>
  <c r="S39" i="4"/>
  <c r="O40" i="4"/>
  <c r="O41" i="4" s="1"/>
  <c r="R39" i="4"/>
  <c r="O106" i="4" l="1"/>
  <c r="O107" i="4" s="1"/>
  <c r="O60" i="4"/>
  <c r="O63" i="4"/>
  <c r="O66" i="4" s="1"/>
  <c r="O69" i="4" s="1"/>
  <c r="P32" i="4"/>
  <c r="P33" i="4" s="1"/>
  <c r="P25" i="4"/>
  <c r="P34" i="4"/>
  <c r="S54" i="4"/>
  <c r="S31" i="4"/>
  <c r="S67" i="4"/>
  <c r="S47" i="4"/>
  <c r="S40" i="4"/>
  <c r="S41" i="4" s="1"/>
  <c r="O26" i="4"/>
  <c r="O27" i="4" s="1"/>
  <c r="O28" i="4"/>
  <c r="Q48" i="4"/>
  <c r="Q49" i="4" s="1"/>
  <c r="Q59" i="4"/>
  <c r="Q50" i="4"/>
  <c r="AF47" i="4"/>
  <c r="R67" i="4"/>
  <c r="R40" i="4"/>
  <c r="R41" i="4" s="1"/>
  <c r="R54" i="4"/>
  <c r="R31" i="4"/>
  <c r="R47" i="4"/>
  <c r="Q34" i="4"/>
  <c r="Q32" i="4"/>
  <c r="Q33" i="4" s="1"/>
  <c r="Q25" i="4"/>
  <c r="P50" i="4"/>
  <c r="P48" i="4"/>
  <c r="P49" i="4" s="1"/>
  <c r="P59" i="4"/>
  <c r="T39" i="4"/>
  <c r="O64" i="4" l="1"/>
  <c r="O72" i="4"/>
  <c r="O70" i="4"/>
  <c r="O81" i="4"/>
  <c r="O76" i="4"/>
  <c r="O67" i="4"/>
  <c r="O78" i="4"/>
  <c r="T40" i="4"/>
  <c r="T41" i="4" s="1"/>
  <c r="T31" i="4"/>
  <c r="T67" i="4"/>
  <c r="T54" i="4"/>
  <c r="T47" i="4"/>
  <c r="Q28" i="4"/>
  <c r="Q26" i="4"/>
  <c r="Q27" i="4" s="1"/>
  <c r="P60" i="4"/>
  <c r="P63" i="4"/>
  <c r="S32" i="4"/>
  <c r="S33" i="4" s="1"/>
  <c r="S34" i="4"/>
  <c r="S25" i="4"/>
  <c r="P28" i="4"/>
  <c r="P26" i="4"/>
  <c r="P27" i="4" s="1"/>
  <c r="S48" i="4"/>
  <c r="S49" i="4" s="1"/>
  <c r="S50" i="4"/>
  <c r="S59" i="4"/>
  <c r="U39" i="4"/>
  <c r="AF59" i="4"/>
  <c r="Q63" i="4"/>
  <c r="Q60" i="4"/>
  <c r="R59" i="4"/>
  <c r="R48" i="4"/>
  <c r="R49" i="4" s="1"/>
  <c r="R50" i="4"/>
  <c r="R34" i="4"/>
  <c r="R32" i="4"/>
  <c r="R33" i="4" s="1"/>
  <c r="R25" i="4"/>
  <c r="S63" i="4" l="1"/>
  <c r="S60" i="4"/>
  <c r="V39" i="4"/>
  <c r="P69" i="4"/>
  <c r="P64" i="4"/>
  <c r="O114" i="4"/>
  <c r="O112" i="4"/>
  <c r="O113" i="4" s="1"/>
  <c r="S28" i="4"/>
  <c r="S26" i="4"/>
  <c r="S27" i="4" s="1"/>
  <c r="T34" i="4"/>
  <c r="T25" i="4"/>
  <c r="T32" i="4"/>
  <c r="T33" i="4" s="1"/>
  <c r="R60" i="4"/>
  <c r="R63" i="4"/>
  <c r="Q64" i="4"/>
  <c r="AF63" i="4"/>
  <c r="Q69" i="4"/>
  <c r="T59" i="4"/>
  <c r="T48" i="4"/>
  <c r="T49" i="4" s="1"/>
  <c r="T50" i="4"/>
  <c r="R26" i="4"/>
  <c r="R27" i="4" s="1"/>
  <c r="R28" i="4"/>
  <c r="U47" i="4"/>
  <c r="U31" i="4"/>
  <c r="U40" i="4"/>
  <c r="U41" i="4" s="1"/>
  <c r="U67" i="4"/>
  <c r="U54" i="4"/>
  <c r="O79" i="4"/>
  <c r="O82" i="4"/>
  <c r="O73" i="4"/>
  <c r="R69" i="4" l="1"/>
  <c r="R64" i="4"/>
  <c r="V40" i="4"/>
  <c r="V41" i="4" s="1"/>
  <c r="V47" i="4"/>
  <c r="V67" i="4"/>
  <c r="V31" i="4"/>
  <c r="V54" i="4"/>
  <c r="T26" i="4"/>
  <c r="T27" i="4" s="1"/>
  <c r="T28" i="4"/>
  <c r="T60" i="4"/>
  <c r="T63" i="4"/>
  <c r="Q91" i="4"/>
  <c r="Q70" i="4"/>
  <c r="U48" i="4"/>
  <c r="U49" i="4" s="1"/>
  <c r="U50" i="4"/>
  <c r="U59" i="4"/>
  <c r="P72" i="4"/>
  <c r="Q72" i="4" s="1"/>
  <c r="P91" i="4"/>
  <c r="P70" i="4"/>
  <c r="W39" i="4"/>
  <c r="U32" i="4"/>
  <c r="U33" i="4" s="1"/>
  <c r="U34" i="4"/>
  <c r="U25" i="4"/>
  <c r="S64" i="4"/>
  <c r="S69" i="4"/>
  <c r="X39" i="4" l="1"/>
  <c r="Y39" i="4"/>
  <c r="W31" i="4"/>
  <c r="W67" i="4"/>
  <c r="W54" i="4"/>
  <c r="W40" i="4"/>
  <c r="W41" i="4" s="1"/>
  <c r="W47" i="4"/>
  <c r="V32" i="4"/>
  <c r="V33" i="4" s="1"/>
  <c r="V25" i="4"/>
  <c r="V34" i="4"/>
  <c r="V59" i="4"/>
  <c r="V48" i="4"/>
  <c r="V49" i="4" s="1"/>
  <c r="V50" i="4"/>
  <c r="T69" i="4"/>
  <c r="T64" i="4"/>
  <c r="P81" i="4"/>
  <c r="P76" i="4"/>
  <c r="P78" i="4"/>
  <c r="P79" i="4"/>
  <c r="P73" i="4"/>
  <c r="P82" i="4"/>
  <c r="U28" i="4"/>
  <c r="U26" i="4"/>
  <c r="U27" i="4" s="1"/>
  <c r="U63" i="4"/>
  <c r="U60" i="4"/>
  <c r="R72" i="4"/>
  <c r="S72" i="4" s="1"/>
  <c r="R91" i="4"/>
  <c r="R70" i="4"/>
  <c r="Q73" i="4"/>
  <c r="Q79" i="4"/>
  <c r="Q76" i="4"/>
  <c r="Q78" i="4"/>
  <c r="Q81" i="4"/>
  <c r="Q82" i="4"/>
  <c r="S70" i="4"/>
  <c r="S91" i="4"/>
  <c r="T72" i="4" l="1"/>
  <c r="T70" i="4"/>
  <c r="T91" i="4"/>
  <c r="R82" i="4"/>
  <c r="R79" i="4"/>
  <c r="R81" i="4"/>
  <c r="R76" i="4"/>
  <c r="R78" i="4"/>
  <c r="R73" i="4"/>
  <c r="P112" i="4"/>
  <c r="P113" i="4" s="1"/>
  <c r="P114" i="4"/>
  <c r="W32" i="4"/>
  <c r="W33" i="4" s="1"/>
  <c r="W25" i="4"/>
  <c r="W34" i="4"/>
  <c r="V60" i="4"/>
  <c r="V63" i="4"/>
  <c r="V26" i="4"/>
  <c r="V27" i="4" s="1"/>
  <c r="V28" i="4"/>
  <c r="Z40" i="4"/>
  <c r="Z41" i="4" s="1"/>
  <c r="Y47" i="4"/>
  <c r="Y31" i="4"/>
  <c r="Y54" i="4"/>
  <c r="Y67" i="4"/>
  <c r="Y40" i="4"/>
  <c r="Y41" i="4" s="1"/>
  <c r="W50" i="4"/>
  <c r="W48" i="4"/>
  <c r="W49" i="4" s="1"/>
  <c r="W59" i="4"/>
  <c r="S79" i="4"/>
  <c r="S81" i="4"/>
  <c r="S73" i="4"/>
  <c r="S78" i="4"/>
  <c r="S82" i="4"/>
  <c r="S76" i="4"/>
  <c r="Q112" i="4"/>
  <c r="Q113" i="4" s="1"/>
  <c r="Q114" i="4"/>
  <c r="U69" i="4"/>
  <c r="U64" i="4"/>
  <c r="X67" i="4"/>
  <c r="X47" i="4"/>
  <c r="X54" i="4"/>
  <c r="X40" i="4"/>
  <c r="X41" i="4" s="1"/>
  <c r="X31" i="4"/>
  <c r="V64" i="4" l="1"/>
  <c r="V69" i="4"/>
  <c r="X48" i="4"/>
  <c r="X49" i="4" s="1"/>
  <c r="X50" i="4"/>
  <c r="X59" i="4"/>
  <c r="S114" i="4"/>
  <c r="S112" i="4"/>
  <c r="S113" i="4" s="1"/>
  <c r="Y25" i="4"/>
  <c r="Z32" i="4"/>
  <c r="Z33" i="4" s="1"/>
  <c r="Y34" i="4"/>
  <c r="Y32" i="4"/>
  <c r="Y33" i="4" s="1"/>
  <c r="Y59" i="4"/>
  <c r="Y50" i="4"/>
  <c r="Y48" i="4"/>
  <c r="Y49" i="4" s="1"/>
  <c r="Z48" i="4"/>
  <c r="Z49" i="4" s="1"/>
  <c r="W63" i="4"/>
  <c r="W60" i="4"/>
  <c r="X32" i="4"/>
  <c r="X33" i="4" s="1"/>
  <c r="X34" i="4"/>
  <c r="X25" i="4"/>
  <c r="Q116" i="4"/>
  <c r="P116" i="4"/>
  <c r="R114" i="4"/>
  <c r="R112" i="4"/>
  <c r="R113" i="4" s="1"/>
  <c r="R116" i="4" s="1"/>
  <c r="W26" i="4"/>
  <c r="W27" i="4" s="1"/>
  <c r="W28" i="4"/>
  <c r="U70" i="4"/>
  <c r="U91" i="4"/>
  <c r="U72" i="4"/>
  <c r="T78" i="4"/>
  <c r="T73" i="4"/>
  <c r="T82" i="4"/>
  <c r="T76" i="4"/>
  <c r="T79" i="4"/>
  <c r="T81" i="4"/>
  <c r="X63" i="4" l="1"/>
  <c r="X60" i="4"/>
  <c r="T114" i="4"/>
  <c r="T112" i="4"/>
  <c r="T113" i="4" s="1"/>
  <c r="T116" i="4" s="1"/>
  <c r="U73" i="4"/>
  <c r="U81" i="4"/>
  <c r="U76" i="4"/>
  <c r="U78" i="4"/>
  <c r="U79" i="4"/>
  <c r="U82" i="4"/>
  <c r="Y60" i="4"/>
  <c r="Y63" i="4"/>
  <c r="Z60" i="4"/>
  <c r="V72" i="4"/>
  <c r="V70" i="4"/>
  <c r="V91" i="4"/>
  <c r="X28" i="4"/>
  <c r="X26" i="4"/>
  <c r="X27" i="4" s="1"/>
  <c r="S116" i="4"/>
  <c r="W69" i="4"/>
  <c r="W64" i="4"/>
  <c r="Y28" i="4"/>
  <c r="Y26" i="4"/>
  <c r="Y27" i="4" s="1"/>
  <c r="Z26" i="4"/>
  <c r="Z27" i="4" s="1"/>
  <c r="V81" i="4" l="1"/>
  <c r="V73" i="4"/>
  <c r="V82" i="4"/>
  <c r="V76" i="4"/>
  <c r="V79" i="4"/>
  <c r="V78" i="4"/>
  <c r="Y64" i="4"/>
  <c r="Y69" i="4"/>
  <c r="W91" i="4"/>
  <c r="W70" i="4"/>
  <c r="W72" i="4"/>
  <c r="X64" i="4"/>
  <c r="X69" i="4"/>
  <c r="Y91" i="4" l="1"/>
  <c r="Y70" i="4"/>
  <c r="X72" i="4"/>
  <c r="X91" i="4"/>
  <c r="X70" i="4"/>
  <c r="W76" i="4"/>
  <c r="W81" i="4"/>
  <c r="W79" i="4"/>
  <c r="W78" i="4"/>
  <c r="W73" i="4"/>
  <c r="W82" i="4"/>
  <c r="O92" i="4" l="1"/>
  <c r="X82" i="4"/>
  <c r="X76" i="4"/>
  <c r="X81" i="4"/>
  <c r="X78" i="4"/>
  <c r="X79" i="4"/>
  <c r="X73" i="4"/>
  <c r="Y72" i="4"/>
  <c r="Y81" i="4" l="1"/>
  <c r="Y76" i="4"/>
  <c r="Y79" i="4"/>
  <c r="Y78" i="4"/>
  <c r="Y73" i="4"/>
  <c r="Y82" i="4"/>
  <c r="Z72" i="4"/>
  <c r="Z79" i="4" l="1"/>
  <c r="Z81" i="4"/>
  <c r="Z73" i="4"/>
  <c r="Z76" i="4"/>
  <c r="Z82" i="4"/>
  <c r="Z7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tc={DC317375-83F1-4607-9C57-AE95AA6662DF}</author>
  </authors>
  <commentList>
    <comment ref="S145" authorId="0" shapeId="0" xr:uid="{DC317375-83F1-4607-9C57-AE95AA6662DF}">
      <text>
        <t xml:space="preserve">[Threaded comment]
Your version of Excel allows you to read this threaded comment; however, any edits to it will get removed if the file is opened in a newer version of Excel. Learn more: https://go.microsoft.com/fwlink/?linkid=870924
Comment:
    Call: The average award across the non-sales roles was in the region of 7% once promotions and benchmarking adjustments are included, but we also uplifted starting salaries in the sales department by 20%. And that latter measure has a ripple effect across most of the sales organizations such that the overall effect is a blended average increase across the whole company period-on-period for existing staff of around 11%.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DanB</author>
    <author>Canalyst (TS)</author>
  </authors>
  <commentList>
    <comment ref="A166" authorId="0" shapeId="0" xr:uid="{CC4B180C-C705-424B-BF2F-87D854A0ADC9}">
      <text>
        <r>
          <rPr>
            <b/>
            <sz val="9"/>
            <color indexed="81"/>
            <rFont val="Tahoma"/>
            <family val="2"/>
          </rPr>
          <t>DanB:</t>
        </r>
        <r>
          <rPr>
            <sz val="9"/>
            <color indexed="81"/>
            <rFont val="Tahoma"/>
            <family val="2"/>
          </rPr>
          <t xml:space="preserve">
Defined  a sales account, with a unique post code, that has traded with
the Company in the relevant financial period</t>
        </r>
      </text>
    </comment>
    <comment ref="AM166" authorId="0" shapeId="0" xr:uid="{00000000-0006-0000-0400-000001000000}">
      <text>
        <r>
          <rPr>
            <b/>
            <sz val="9"/>
            <color indexed="81"/>
            <rFont val="Tahoma"/>
            <family val="2"/>
          </rPr>
          <t>DanB:</t>
        </r>
        <r>
          <rPr>
            <sz val="9"/>
            <color indexed="81"/>
            <rFont val="Tahoma"/>
            <family val="2"/>
          </rPr>
          <t xml:space="preserve">
Defined  a sales account, with a unique post code, that has traded with
the Company in the relevant financial period</t>
        </r>
      </text>
    </comment>
    <comment ref="AN166" authorId="0" shapeId="0" xr:uid="{00000000-0006-0000-0400-000002000000}">
      <text>
        <r>
          <rPr>
            <b/>
            <sz val="9"/>
            <color indexed="81"/>
            <rFont val="Tahoma"/>
            <family val="2"/>
          </rPr>
          <t>DanB:</t>
        </r>
        <r>
          <rPr>
            <sz val="9"/>
            <color indexed="81"/>
            <rFont val="Tahoma"/>
            <family val="2"/>
          </rPr>
          <t xml:space="preserve">
Defined  a sales account, with a unique post code, that has traded with
the Company in the relevant financial period</t>
        </r>
      </text>
    </comment>
    <comment ref="AO166" authorId="0" shapeId="0" xr:uid="{00000000-0006-0000-0400-000003000000}">
      <text>
        <r>
          <rPr>
            <b/>
            <sz val="9"/>
            <color indexed="81"/>
            <rFont val="Tahoma"/>
            <family val="2"/>
          </rPr>
          <t>DanB:</t>
        </r>
        <r>
          <rPr>
            <sz val="9"/>
            <color indexed="81"/>
            <rFont val="Tahoma"/>
            <family val="2"/>
          </rPr>
          <t xml:space="preserve">
Defined  a sales account, with a unique post code, that has traded with
the Company in the relevant financial period</t>
        </r>
      </text>
    </comment>
    <comment ref="AP166" authorId="0" shapeId="0" xr:uid="{00000000-0006-0000-0400-000004000000}">
      <text>
        <r>
          <rPr>
            <b/>
            <sz val="9"/>
            <color indexed="81"/>
            <rFont val="Tahoma"/>
            <family val="2"/>
          </rPr>
          <t>DanB:</t>
        </r>
        <r>
          <rPr>
            <sz val="9"/>
            <color indexed="81"/>
            <rFont val="Tahoma"/>
            <family val="2"/>
          </rPr>
          <t xml:space="preserve">
Defined  a sales account, with a unique post code, that has traded with
the Company in the relevant financial period</t>
        </r>
      </text>
    </comment>
    <comment ref="AQ166" authorId="0" shapeId="0" xr:uid="{00000000-0006-0000-0400-000005000000}">
      <text>
        <r>
          <rPr>
            <b/>
            <sz val="9"/>
            <color indexed="81"/>
            <rFont val="Tahoma"/>
            <family val="2"/>
          </rPr>
          <t>DanB:</t>
        </r>
        <r>
          <rPr>
            <sz val="9"/>
            <color indexed="81"/>
            <rFont val="Tahoma"/>
            <family val="2"/>
          </rPr>
          <t xml:space="preserve">
Defined  a sales account, with a unique post code, that has traded with
the Company in the relevant financial period</t>
        </r>
      </text>
    </comment>
    <comment ref="AR166" authorId="0" shapeId="0" xr:uid="{00000000-0006-0000-0400-000006000000}">
      <text>
        <r>
          <rPr>
            <b/>
            <sz val="9"/>
            <color indexed="81"/>
            <rFont val="Tahoma"/>
            <family val="2"/>
          </rPr>
          <t>DanB:</t>
        </r>
        <r>
          <rPr>
            <sz val="9"/>
            <color indexed="81"/>
            <rFont val="Tahoma"/>
            <family val="2"/>
          </rPr>
          <t xml:space="preserve">
Defined  a sales account, with a unique post code, that has traded with
the Company in the relevant financial period</t>
        </r>
      </text>
    </comment>
    <comment ref="AS166" authorId="0" shapeId="0" xr:uid="{00000000-0006-0000-0400-000007000000}">
      <text>
        <r>
          <rPr>
            <b/>
            <sz val="9"/>
            <color indexed="81"/>
            <rFont val="Tahoma"/>
            <family val="2"/>
          </rPr>
          <t>DanB:</t>
        </r>
        <r>
          <rPr>
            <sz val="9"/>
            <color indexed="81"/>
            <rFont val="Tahoma"/>
            <family val="2"/>
          </rPr>
          <t xml:space="preserve">
Defined  a sales account, with a unique post code, that has traded with
the Company in the relevant financial period</t>
        </r>
      </text>
    </comment>
    <comment ref="AT166" authorId="0" shapeId="0" xr:uid="{00000000-0006-0000-0400-000008000000}">
      <text>
        <r>
          <rPr>
            <b/>
            <sz val="9"/>
            <color indexed="81"/>
            <rFont val="Tahoma"/>
            <family val="2"/>
          </rPr>
          <t>DanB:</t>
        </r>
        <r>
          <rPr>
            <sz val="9"/>
            <color indexed="81"/>
            <rFont val="Tahoma"/>
            <family val="2"/>
          </rPr>
          <t xml:space="preserve">
Defined  a sales account, with a unique post code, that has traded with
the Company in the relevant financial period</t>
        </r>
      </text>
    </comment>
    <comment ref="A169" authorId="1" shapeId="0" xr:uid="{1DBE8785-4109-43EE-B806-54D2B64E99B0}">
      <text>
        <r>
          <rPr>
            <b/>
            <sz val="9"/>
            <rFont val="Tahoma"/>
            <family val="2"/>
          </rPr>
          <t>Canalyst (TS):</t>
        </r>
        <r>
          <rPr>
            <sz val="9"/>
            <rFont val="Tahoma"/>
            <family val="2"/>
          </rPr>
          <t xml:space="preserve">
Defined as the number of customers who
have transacted with Softcat in both of the
preceding twelve-month periods</t>
        </r>
      </text>
    </comment>
    <comment ref="AT193" authorId="0" shapeId="0" xr:uid="{00000000-0006-0000-0400-000009000000}">
      <text>
        <r>
          <rPr>
            <b/>
            <sz val="9"/>
            <color indexed="81"/>
            <rFont val="Tahoma"/>
            <family val="2"/>
          </rPr>
          <t>DanB:</t>
        </r>
        <r>
          <rPr>
            <sz val="9"/>
            <color indexed="81"/>
            <rFont val="Tahoma"/>
            <family val="2"/>
          </rPr>
          <t xml:space="preserve">
Leeds opened February 2015</t>
        </r>
      </text>
    </comment>
    <comment ref="AS194" authorId="0" shapeId="0" xr:uid="{00000000-0006-0000-0400-00000A000000}">
      <text>
        <r>
          <rPr>
            <b/>
            <sz val="9"/>
            <color indexed="81"/>
            <rFont val="Tahoma"/>
            <family val="2"/>
          </rPr>
          <t>DanB:</t>
        </r>
        <r>
          <rPr>
            <sz val="9"/>
            <color indexed="81"/>
            <rFont val="Tahoma"/>
            <family val="2"/>
          </rPr>
          <t xml:space="preserve">
Bristol opened January 2014</t>
        </r>
      </text>
    </comment>
    <comment ref="AO195" authorId="0" shapeId="0" xr:uid="{00000000-0006-0000-0400-00000B000000}">
      <text>
        <r>
          <rPr>
            <b/>
            <sz val="9"/>
            <color indexed="81"/>
            <rFont val="Tahoma"/>
            <family val="2"/>
          </rPr>
          <t>DanB:</t>
        </r>
        <r>
          <rPr>
            <sz val="9"/>
            <color indexed="81"/>
            <rFont val="Tahoma"/>
            <family val="2"/>
          </rPr>
          <t xml:space="preserve">
London opened September 2010</t>
        </r>
      </text>
    </comment>
    <comment ref="AM196" authorId="0" shapeId="0" xr:uid="{00000000-0006-0000-0400-00000C000000}">
      <text>
        <r>
          <rPr>
            <b/>
            <sz val="9"/>
            <color indexed="81"/>
            <rFont val="Tahoma"/>
            <family val="2"/>
          </rPr>
          <t>DanB:</t>
        </r>
        <r>
          <rPr>
            <sz val="9"/>
            <color indexed="81"/>
            <rFont val="Tahoma"/>
            <family val="2"/>
          </rPr>
          <t xml:space="preserve">
Manchester opened October 2008</t>
        </r>
      </text>
    </comment>
    <comment ref="AM200" authorId="0" shapeId="0" xr:uid="{00000000-0006-0000-0400-00000D000000}">
      <text>
        <r>
          <rPr>
            <b/>
            <sz val="9"/>
            <color indexed="81"/>
            <rFont val="Tahoma"/>
            <family val="2"/>
          </rPr>
          <t>DanB:</t>
        </r>
        <r>
          <rPr>
            <sz val="9"/>
            <color indexed="81"/>
            <rFont val="Tahoma"/>
            <family val="2"/>
          </rPr>
          <t xml:space="preserve">
Defined  a sales account, with a unique post code, that has traded with
the Company in the relevant financial period</t>
        </r>
      </text>
    </comment>
    <comment ref="AN200" authorId="0" shapeId="0" xr:uid="{00000000-0006-0000-0400-00000E000000}">
      <text>
        <r>
          <rPr>
            <b/>
            <sz val="9"/>
            <color indexed="81"/>
            <rFont val="Tahoma"/>
            <family val="2"/>
          </rPr>
          <t>DanB:</t>
        </r>
        <r>
          <rPr>
            <sz val="9"/>
            <color indexed="81"/>
            <rFont val="Tahoma"/>
            <family val="2"/>
          </rPr>
          <t xml:space="preserve">
Defined  a sales account, with a unique post code, that has traded with
the Company in the relevant financial period</t>
        </r>
      </text>
    </comment>
    <comment ref="AO200" authorId="0" shapeId="0" xr:uid="{00000000-0006-0000-0400-00000F000000}">
      <text>
        <r>
          <rPr>
            <b/>
            <sz val="9"/>
            <color indexed="81"/>
            <rFont val="Tahoma"/>
            <family val="2"/>
          </rPr>
          <t>DanB:</t>
        </r>
        <r>
          <rPr>
            <sz val="9"/>
            <color indexed="81"/>
            <rFont val="Tahoma"/>
            <family val="2"/>
          </rPr>
          <t xml:space="preserve">
Defined  a sales account, with a unique post code, that has traded with
the Company in the relevant financial period</t>
        </r>
      </text>
    </comment>
    <comment ref="AP200" authorId="0" shapeId="0" xr:uid="{00000000-0006-0000-0400-000010000000}">
      <text>
        <r>
          <rPr>
            <b/>
            <sz val="9"/>
            <color indexed="81"/>
            <rFont val="Tahoma"/>
            <family val="2"/>
          </rPr>
          <t>DanB:</t>
        </r>
        <r>
          <rPr>
            <sz val="9"/>
            <color indexed="81"/>
            <rFont val="Tahoma"/>
            <family val="2"/>
          </rPr>
          <t xml:space="preserve">
Defined  a sales account, with a unique post code, that has traded with
the Company in the relevant financial period</t>
        </r>
      </text>
    </comment>
    <comment ref="AQ200" authorId="0" shapeId="0" xr:uid="{00000000-0006-0000-0400-000011000000}">
      <text>
        <r>
          <rPr>
            <b/>
            <sz val="9"/>
            <color indexed="81"/>
            <rFont val="Tahoma"/>
            <family val="2"/>
          </rPr>
          <t>DanB:</t>
        </r>
        <r>
          <rPr>
            <sz val="9"/>
            <color indexed="81"/>
            <rFont val="Tahoma"/>
            <family val="2"/>
          </rPr>
          <t xml:space="preserve">
Defined  a sales account, with a unique post code, that has traded with
the Company in the relevant financial period</t>
        </r>
      </text>
    </comment>
    <comment ref="AR200" authorId="0" shapeId="0" xr:uid="{00000000-0006-0000-0400-000012000000}">
      <text>
        <r>
          <rPr>
            <b/>
            <sz val="9"/>
            <color indexed="81"/>
            <rFont val="Tahoma"/>
            <family val="2"/>
          </rPr>
          <t>DanB:</t>
        </r>
        <r>
          <rPr>
            <sz val="9"/>
            <color indexed="81"/>
            <rFont val="Tahoma"/>
            <family val="2"/>
          </rPr>
          <t xml:space="preserve">
Defined  a sales account, with a unique post code, that has traded with
the Company in the relevant financial period</t>
        </r>
      </text>
    </comment>
    <comment ref="AS200" authorId="0" shapeId="0" xr:uid="{00000000-0006-0000-0400-000013000000}">
      <text>
        <r>
          <rPr>
            <b/>
            <sz val="9"/>
            <color indexed="81"/>
            <rFont val="Tahoma"/>
            <family val="2"/>
          </rPr>
          <t>DanB:</t>
        </r>
        <r>
          <rPr>
            <sz val="9"/>
            <color indexed="81"/>
            <rFont val="Tahoma"/>
            <family val="2"/>
          </rPr>
          <t xml:space="preserve">
Defined  a sales account, with a unique post code, that has traded with
the Company in the relevant financial period</t>
        </r>
      </text>
    </comment>
    <comment ref="AT200" authorId="0" shapeId="0" xr:uid="{00000000-0006-0000-0400-000014000000}">
      <text>
        <r>
          <rPr>
            <b/>
            <sz val="9"/>
            <color indexed="81"/>
            <rFont val="Tahoma"/>
            <family val="2"/>
          </rPr>
          <t>DanB:</t>
        </r>
        <r>
          <rPr>
            <sz val="9"/>
            <color indexed="81"/>
            <rFont val="Tahoma"/>
            <family val="2"/>
          </rPr>
          <t xml:space="preserve">
Defined  a sales account, with a unique post code, that has traded with
the Company in the relevant financial period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tc={EE62DB0D-3A5F-4935-BD89-B19A36841A8D}</author>
  </authors>
  <commentList>
    <comment ref="U15" authorId="0" shapeId="0" xr:uid="{EE62DB0D-3A5F-4935-BD89-B19A36841A8D}">
      <text>
        <t>[Threaded comment]
Your version of Excel allows you to read this threaded comment; however, any edits to it will get removed if the file is opened in a newer version of Excel. Learn more: https://go.microsoft.com/fwlink/?linkid=870924
Comment:
    &gt;9%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Canalyst (PZZ)</author>
    <author>Canalyst (BL)</author>
    <author>Canalyst (TS)</author>
    <author>Darren Tong</author>
    <author>Canalyst (TZ)</author>
  </authors>
  <commentList>
    <comment ref="E2" authorId="0" shapeId="0" xr:uid="{9CBEDC0B-3FBD-4062-B3A8-C119CDE8367A}">
      <text>
        <r>
          <rPr>
            <b/>
            <sz val="9"/>
            <rFont val="Tahoma"/>
            <family val="2"/>
          </rPr>
          <t>Canalyst (PZZ):</t>
        </r>
        <r>
          <rPr>
            <sz val="9"/>
            <rFont val="Tahoma"/>
            <family val="2"/>
          </rPr>
          <t xml:space="preserve">
Softcat adopted IFRS 15 from August 2018. Revenues are adjusted to be recorded on a net income rather than a gross income basis.</t>
        </r>
      </text>
    </comment>
    <comment ref="F2" authorId="0" shapeId="0" xr:uid="{08F41564-43B5-487A-A77B-8D2B2540A53B}">
      <text>
        <r>
          <rPr>
            <b/>
            <sz val="9"/>
            <rFont val="Tahoma"/>
            <family val="2"/>
          </rPr>
          <t>Canalyst (PZZ):</t>
        </r>
        <r>
          <rPr>
            <sz val="9"/>
            <rFont val="Tahoma"/>
            <family val="2"/>
          </rPr>
          <t xml:space="preserve">
Softcat adopted IFRS 15 from August 2018. Revenues are adjusted to be recorded on a net income rather than a gross income basis.</t>
        </r>
      </text>
    </comment>
    <comment ref="AD2" authorId="0" shapeId="0" xr:uid="{281CA197-2BAC-4404-83D5-8CE5390350BE}">
      <text>
        <r>
          <rPr>
            <b/>
            <sz val="9"/>
            <rFont val="Tahoma"/>
            <family val="2"/>
          </rPr>
          <t>Canalyst (PZZ):</t>
        </r>
        <r>
          <rPr>
            <sz val="9"/>
            <rFont val="Tahoma"/>
            <family val="2"/>
          </rPr>
          <t xml:space="preserve">
Data comes from prospectus</t>
        </r>
      </text>
    </comment>
    <comment ref="AI2" authorId="0" shapeId="0" xr:uid="{33168CBD-8F5A-44AA-9999-23B7CD0434B2}">
      <text>
        <r>
          <rPr>
            <b/>
            <sz val="9"/>
            <rFont val="Tahoma"/>
            <family val="2"/>
          </rPr>
          <t>Canalyst (PZZ):</t>
        </r>
        <r>
          <rPr>
            <sz val="9"/>
            <rFont val="Tahoma"/>
            <family val="2"/>
          </rPr>
          <t xml:space="preserve">
Softcat adopted IFRS 15 from August 2018. Revenues are adjusted to be recorded on a net income rather than a gross income basis.</t>
        </r>
      </text>
    </comment>
    <comment ref="M7" authorId="1" shapeId="0" xr:uid="{0A72AE4E-984A-4950-92AF-39B01C763601}">
      <text>
        <r>
          <rPr>
            <b/>
            <sz val="9"/>
            <rFont val="Tahoma"/>
            <family val="2"/>
          </rPr>
          <t>Canalyst (BL):</t>
        </r>
        <r>
          <rPr>
            <sz val="9"/>
            <rFont val="Tahoma"/>
            <family val="2"/>
          </rPr>
          <t xml:space="preserve">
Segmented growth rate has been hardcode as now the regmented result figures are uncomparable to H1-2021 due to the restatement</t>
        </r>
      </text>
    </comment>
    <comment ref="N7" authorId="1" shapeId="0" xr:uid="{47222DA3-7FEB-4B39-A1DF-C13CF8F5E677}">
      <text>
        <r>
          <rPr>
            <b/>
            <sz val="9"/>
            <rFont val="Tahoma"/>
            <family val="2"/>
            <charset val="1"/>
          </rPr>
          <t>Canalyst (BL):</t>
        </r>
        <r>
          <rPr>
            <sz val="9"/>
            <rFont val="Tahoma"/>
            <family val="2"/>
            <charset val="1"/>
          </rPr>
          <t xml:space="preserve">
NMF due to change in accounting policy– IFRS 15</t>
        </r>
      </text>
    </comment>
    <comment ref="AM7" authorId="1" shapeId="0" xr:uid="{F880CD15-7B06-4473-8A64-C3B0727206E3}">
      <text>
        <r>
          <rPr>
            <b/>
            <sz val="9"/>
            <rFont val="Tahoma"/>
            <family val="2"/>
            <charset val="1"/>
          </rPr>
          <t>Canalyst (BL):</t>
        </r>
        <r>
          <rPr>
            <sz val="9"/>
            <rFont val="Tahoma"/>
            <family val="2"/>
            <charset val="1"/>
          </rPr>
          <t xml:space="preserve">
NMF due to change in accounting policy– IFRS 15</t>
        </r>
      </text>
    </comment>
    <comment ref="E10" authorId="0" shapeId="0" xr:uid="{8635DF99-A929-434C-A52E-5057162DC5C3}">
      <text>
        <r>
          <rPr>
            <b/>
            <sz val="9"/>
            <rFont val="Tahoma"/>
            <family val="2"/>
          </rPr>
          <t>Canalyst (PZZ):</t>
        </r>
        <r>
          <rPr>
            <sz val="9"/>
            <rFont val="Tahoma"/>
            <family val="2"/>
          </rPr>
          <t xml:space="preserve">
Revenues reported in FY2017 and prior periods are gross invoiced income and not comparable to revenues reported in later periods.</t>
        </r>
      </text>
    </comment>
    <comment ref="F10" authorId="0" shapeId="0" xr:uid="{08A17DFE-250A-4F8A-BEF9-91EA39D6E3E9}">
      <text>
        <r>
          <rPr>
            <b/>
            <sz val="9"/>
            <rFont val="Tahoma"/>
            <family val="2"/>
          </rPr>
          <t>Canalyst (PZZ):</t>
        </r>
        <r>
          <rPr>
            <sz val="9"/>
            <rFont val="Tahoma"/>
            <family val="2"/>
          </rPr>
          <t xml:space="preserve">
Revenues reported in FY2017 and prior periods are gross invoiced income and not comparable to revenues reported in later periods.</t>
        </r>
      </text>
    </comment>
    <comment ref="M10" authorId="1" shapeId="0" xr:uid="{831733BD-B5DF-4CA1-91AA-0832EB377CCF}">
      <text>
        <r>
          <rPr>
            <b/>
            <sz val="9"/>
            <rFont val="Tahoma"/>
            <family val="2"/>
            <charset val="1"/>
          </rPr>
          <t>Canalyst (BL):</t>
        </r>
        <r>
          <rPr>
            <sz val="9"/>
            <rFont val="Tahoma"/>
            <family val="2"/>
            <charset val="1"/>
          </rPr>
          <t xml:space="preserve">
NMF due to change in accounting policy– IFRS 15</t>
        </r>
      </text>
    </comment>
    <comment ref="N10" authorId="1" shapeId="0" xr:uid="{CD532629-2136-47DF-8588-2AEE7A23C39B}">
      <text>
        <r>
          <rPr>
            <b/>
            <sz val="9"/>
            <rFont val="Tahoma"/>
            <family val="2"/>
            <charset val="1"/>
          </rPr>
          <t>Canalyst (BL):</t>
        </r>
        <r>
          <rPr>
            <sz val="9"/>
            <rFont val="Tahoma"/>
            <family val="2"/>
            <charset val="1"/>
          </rPr>
          <t xml:space="preserve">
NMF due to change in accounting policy– IFRS 15</t>
        </r>
      </text>
    </comment>
    <comment ref="AE10" authorId="0" shapeId="0" xr:uid="{6A393824-786C-4F3E-8FC1-03A0B2B9DD92}">
      <text>
        <r>
          <rPr>
            <b/>
            <sz val="9"/>
            <rFont val="Tahoma"/>
            <family val="2"/>
          </rPr>
          <t>Canalyst (PZZ):</t>
        </r>
        <r>
          <rPr>
            <sz val="9"/>
            <rFont val="Tahoma"/>
            <family val="2"/>
          </rPr>
          <t xml:space="preserve">
Revenues reported in FY2017 and prior periods are gross invoiced income and not comparable to revenues reported in later periods.</t>
        </r>
      </text>
    </comment>
    <comment ref="AF10" authorId="0" shapeId="0" xr:uid="{343574BD-D980-4D7E-8247-6DBF6C318E20}">
      <text>
        <r>
          <rPr>
            <b/>
            <sz val="9"/>
            <rFont val="Tahoma"/>
            <family val="2"/>
          </rPr>
          <t>Canalyst (PZZ):</t>
        </r>
        <r>
          <rPr>
            <sz val="9"/>
            <rFont val="Tahoma"/>
            <family val="2"/>
          </rPr>
          <t xml:space="preserve">
Revenues reported in FY2017 and prior periods are gross invoiced income and not comparable to revenues reported in later periods.</t>
        </r>
      </text>
    </comment>
    <comment ref="AG10" authorId="0" shapeId="0" xr:uid="{4AE3DCAD-55C8-44BE-9749-DB5EDABC0749}">
      <text>
        <r>
          <rPr>
            <b/>
            <sz val="9"/>
            <rFont val="Tahoma"/>
            <family val="2"/>
          </rPr>
          <t>Canalyst (PZZ):</t>
        </r>
        <r>
          <rPr>
            <sz val="9"/>
            <rFont val="Tahoma"/>
            <family val="2"/>
          </rPr>
          <t xml:space="preserve">
Revenues reported in FY2017 and prior periods are gross invoiced income and not comparable to revenues reported in later periods.</t>
        </r>
      </text>
    </comment>
    <comment ref="AH10" authorId="0" shapeId="0" xr:uid="{A6D63EC3-C2E6-4430-8770-BB4E2F59F53B}">
      <text>
        <r>
          <rPr>
            <b/>
            <sz val="9"/>
            <rFont val="Tahoma"/>
            <family val="2"/>
          </rPr>
          <t>Canalyst (PZZ):</t>
        </r>
        <r>
          <rPr>
            <sz val="9"/>
            <rFont val="Tahoma"/>
            <family val="2"/>
          </rPr>
          <t xml:space="preserve">
Revenues reported in FY2017 and prior periods are gross invoiced income and not comparable to revenues reported in later periods.</t>
        </r>
      </text>
    </comment>
    <comment ref="AI10" authorId="0" shapeId="0" xr:uid="{5A57077E-1758-49D0-AD1F-8CBDE74E069A}">
      <text>
        <r>
          <rPr>
            <b/>
            <sz val="9"/>
            <rFont val="Tahoma"/>
            <family val="2"/>
          </rPr>
          <t>Canalyst (PZZ):</t>
        </r>
        <r>
          <rPr>
            <sz val="9"/>
            <rFont val="Tahoma"/>
            <family val="2"/>
          </rPr>
          <t xml:space="preserve">
Revenues reported in FY2017 and prior periods are gross invoiced income and not comparable to revenues reported in later periods.</t>
        </r>
      </text>
    </comment>
    <comment ref="AM10" authorId="1" shapeId="0" xr:uid="{5B4AD7B8-BF51-41B6-BF0C-0746AA4A0B8C}">
      <text>
        <r>
          <rPr>
            <b/>
            <sz val="9"/>
            <rFont val="Tahoma"/>
            <family val="2"/>
            <charset val="1"/>
          </rPr>
          <t>Canalyst (BL):</t>
        </r>
        <r>
          <rPr>
            <sz val="9"/>
            <rFont val="Tahoma"/>
            <family val="2"/>
            <charset val="1"/>
          </rPr>
          <t xml:space="preserve">
NMF due to change in accounting policy– IFRS 15</t>
        </r>
      </text>
    </comment>
    <comment ref="M12" authorId="1" shapeId="0" xr:uid="{3744A835-85A2-447F-9D5F-022C4CDBE4D7}">
      <text>
        <r>
          <rPr>
            <b/>
            <sz val="9"/>
            <rFont val="Tahoma"/>
            <family val="2"/>
            <charset val="1"/>
          </rPr>
          <t>Canalyst (BL):</t>
        </r>
        <r>
          <rPr>
            <sz val="9"/>
            <rFont val="Tahoma"/>
            <family val="2"/>
            <charset val="1"/>
          </rPr>
          <t xml:space="preserve">
NMF due to change in accounting policy– IFRS 15</t>
        </r>
      </text>
    </comment>
    <comment ref="N12" authorId="1" shapeId="0" xr:uid="{D6962D8E-31FA-4B52-AB62-818CBBE8DB2D}">
      <text>
        <r>
          <rPr>
            <b/>
            <sz val="9"/>
            <rFont val="Tahoma"/>
            <family val="2"/>
            <charset val="1"/>
          </rPr>
          <t>Canalyst (BL):</t>
        </r>
        <r>
          <rPr>
            <sz val="9"/>
            <rFont val="Tahoma"/>
            <family val="2"/>
            <charset val="1"/>
          </rPr>
          <t xml:space="preserve">
NMF due to change in accounting policy– IFRS 15</t>
        </r>
      </text>
    </comment>
    <comment ref="AM12" authorId="1" shapeId="0" xr:uid="{EF3EF136-7509-472C-A97A-080F4E417CBC}">
      <text>
        <r>
          <rPr>
            <b/>
            <sz val="9"/>
            <rFont val="Tahoma"/>
            <family val="2"/>
            <charset val="1"/>
          </rPr>
          <t>Canalyst (BL):</t>
        </r>
        <r>
          <rPr>
            <sz val="9"/>
            <rFont val="Tahoma"/>
            <family val="2"/>
            <charset val="1"/>
          </rPr>
          <t xml:space="preserve">
NMF due to change in accounting policy– IFRS 15</t>
        </r>
      </text>
    </comment>
    <comment ref="M15" authorId="1" shapeId="0" xr:uid="{B9D96A1C-D0E8-43EA-97BD-EEEB7A6E3937}">
      <text>
        <r>
          <rPr>
            <b/>
            <sz val="9"/>
            <rFont val="Tahoma"/>
            <family val="2"/>
            <charset val="1"/>
          </rPr>
          <t>Canalyst (BL):</t>
        </r>
        <r>
          <rPr>
            <sz val="9"/>
            <rFont val="Tahoma"/>
            <family val="2"/>
            <charset val="1"/>
          </rPr>
          <t xml:space="preserve">
NMF due to change in accounting policy– IFRS 15</t>
        </r>
      </text>
    </comment>
    <comment ref="N15" authorId="1" shapeId="0" xr:uid="{153B5EF6-0C28-445A-BAA6-B55AB6EC693A}">
      <text>
        <r>
          <rPr>
            <b/>
            <sz val="9"/>
            <rFont val="Tahoma"/>
            <family val="2"/>
            <charset val="1"/>
          </rPr>
          <t>Canalyst (BL):</t>
        </r>
        <r>
          <rPr>
            <sz val="9"/>
            <rFont val="Tahoma"/>
            <family val="2"/>
            <charset val="1"/>
          </rPr>
          <t xml:space="preserve">
NMF due to change in accounting policy– IFRS 15</t>
        </r>
      </text>
    </comment>
    <comment ref="AM15" authorId="1" shapeId="0" xr:uid="{0F244BAD-0FCC-4C63-9A82-CB4734957174}">
      <text>
        <r>
          <rPr>
            <b/>
            <sz val="9"/>
            <rFont val="Tahoma"/>
            <family val="2"/>
            <charset val="1"/>
          </rPr>
          <t>Canalyst (BL):</t>
        </r>
        <r>
          <rPr>
            <sz val="9"/>
            <rFont val="Tahoma"/>
            <family val="2"/>
            <charset val="1"/>
          </rPr>
          <t xml:space="preserve">
NMF due to change in accounting policy– IFRS 15</t>
        </r>
      </text>
    </comment>
    <comment ref="M20" authorId="1" shapeId="0" xr:uid="{13C132ED-BCF3-49BF-B53C-9F3B259D22D1}">
      <text>
        <r>
          <rPr>
            <b/>
            <sz val="9"/>
            <rFont val="Tahoma"/>
            <family val="2"/>
          </rPr>
          <t>Canalyst (BL):</t>
        </r>
        <r>
          <rPr>
            <sz val="9"/>
            <rFont val="Tahoma"/>
            <family val="2"/>
          </rPr>
          <t xml:space="preserve">
segmented result been restated with H1-2023 Interim Report</t>
        </r>
      </text>
    </comment>
    <comment ref="C39" authorId="2" shapeId="0" xr:uid="{DD50C02B-15A5-4C52-BF43-2473DE584E44}">
      <text>
        <r>
          <rPr>
            <b/>
            <sz val="9"/>
            <rFont val="Tahoma"/>
            <family val="2"/>
          </rPr>
          <t>Canalyst (TS):</t>
        </r>
        <r>
          <rPr>
            <sz val="9"/>
            <rFont val="Tahoma"/>
            <family val="2"/>
          </rPr>
          <t xml:space="preserve">
Previously reported as revenue, prior to the implementation of IFRS 15.</t>
        </r>
      </text>
    </comment>
    <comment ref="D39" authorId="2" shapeId="0" xr:uid="{27042403-2D18-403C-B500-93E76F6946CF}">
      <text>
        <r>
          <rPr>
            <b/>
            <sz val="9"/>
            <rFont val="Tahoma"/>
            <family val="2"/>
          </rPr>
          <t>Canalyst (TS):</t>
        </r>
        <r>
          <rPr>
            <sz val="9"/>
            <rFont val="Tahoma"/>
            <family val="2"/>
          </rPr>
          <t xml:space="preserve">
Previously reported as revenue, prior to the implementation of IFRS 15.</t>
        </r>
      </text>
    </comment>
    <comment ref="AD39" authorId="2" shapeId="0" xr:uid="{C78CEE84-0AE1-4863-AF57-404E99C4D40D}">
      <text>
        <r>
          <rPr>
            <b/>
            <sz val="9"/>
            <rFont val="Tahoma"/>
            <family val="2"/>
          </rPr>
          <t>Canalyst (TS):</t>
        </r>
        <r>
          <rPr>
            <sz val="9"/>
            <rFont val="Tahoma"/>
            <family val="2"/>
          </rPr>
          <t xml:space="preserve">
Previously reported as revenue, prior to the implementation of IFRS 15.</t>
        </r>
      </text>
    </comment>
    <comment ref="AE39" authorId="2" shapeId="0" xr:uid="{BCAC3240-661D-490E-9F54-42E00CDA0DCA}">
      <text>
        <r>
          <rPr>
            <b/>
            <sz val="9"/>
            <rFont val="Tahoma"/>
            <family val="2"/>
          </rPr>
          <t>Canalyst (TS):</t>
        </r>
        <r>
          <rPr>
            <sz val="9"/>
            <rFont val="Tahoma"/>
            <family val="2"/>
          </rPr>
          <t xml:space="preserve">
Previously reported as revenue, prior to the implementation of IFRS 15.</t>
        </r>
      </text>
    </comment>
    <comment ref="AF39" authorId="2" shapeId="0" xr:uid="{51C25BCA-50A8-4D23-A3E4-4997B1267F72}">
      <text>
        <r>
          <rPr>
            <b/>
            <sz val="9"/>
            <rFont val="Tahoma"/>
            <family val="2"/>
          </rPr>
          <t>Canalyst (TS):</t>
        </r>
        <r>
          <rPr>
            <sz val="9"/>
            <rFont val="Tahoma"/>
            <family val="2"/>
          </rPr>
          <t xml:space="preserve">
Previously reported as revenue, prior to the implementation of IFRS 15.</t>
        </r>
      </text>
    </comment>
    <comment ref="AG39" authorId="2" shapeId="0" xr:uid="{D375A5A4-54CB-404A-BF05-1DCC53EBD5A0}">
      <text>
        <r>
          <rPr>
            <b/>
            <sz val="9"/>
            <rFont val="Tahoma"/>
            <family val="2"/>
          </rPr>
          <t>Canalyst (TS):</t>
        </r>
        <r>
          <rPr>
            <sz val="9"/>
            <rFont val="Tahoma"/>
            <family val="2"/>
          </rPr>
          <t xml:space="preserve">
Previously reported as revenue, prior to the implementation of IFRS 15.</t>
        </r>
      </text>
    </comment>
    <comment ref="AH39" authorId="2" shapeId="0" xr:uid="{00C8E14F-7E8B-4E59-ADED-84E8F964EF71}">
      <text>
        <r>
          <rPr>
            <b/>
            <sz val="9"/>
            <rFont val="Tahoma"/>
            <family val="2"/>
          </rPr>
          <t>Canalyst (TS):</t>
        </r>
        <r>
          <rPr>
            <sz val="9"/>
            <rFont val="Tahoma"/>
            <family val="2"/>
          </rPr>
          <t xml:space="preserve">
Previously reported as revenue, prior to the implementation of IFRS 15.</t>
        </r>
      </text>
    </comment>
    <comment ref="M50" authorId="1" shapeId="0" xr:uid="{16D1DBA8-5F15-4753-AABE-59109D5896C0}">
      <text>
        <r>
          <rPr>
            <b/>
            <sz val="9"/>
            <rFont val="Tahoma"/>
            <family val="2"/>
          </rPr>
          <t>Canalyst (BL):</t>
        </r>
        <r>
          <rPr>
            <sz val="9"/>
            <rFont val="Tahoma"/>
            <family val="2"/>
          </rPr>
          <t xml:space="preserve">
segmented result been restated with H1-2023 Interim Report</t>
        </r>
      </text>
    </comment>
    <comment ref="A93" authorId="2" shapeId="0" xr:uid="{0EB7088C-7E80-4729-82A6-F18708E00FD0}">
      <text>
        <r>
          <rPr>
            <b/>
            <sz val="9"/>
            <rFont val="Tahoma"/>
            <family val="2"/>
          </rPr>
          <t>Canalyst (TS):</t>
        </r>
        <r>
          <rPr>
            <sz val="9"/>
            <rFont val="Tahoma"/>
            <family val="2"/>
          </rPr>
          <t xml:space="preserve">
Defined as the number of customers who
have transacted with Softcat in both of the
preceding twelve-month periods</t>
        </r>
      </text>
    </comment>
    <comment ref="AG93" authorId="2" shapeId="0" xr:uid="{E98ABC84-26E3-4E1D-A1CC-FD6957A45381}">
      <text>
        <r>
          <rPr>
            <b/>
            <sz val="9"/>
            <rFont val="Tahoma"/>
            <family val="2"/>
          </rPr>
          <t>Canalyst (TS):</t>
        </r>
        <r>
          <rPr>
            <sz val="9"/>
            <rFont val="Tahoma"/>
            <family val="2"/>
          </rPr>
          <t xml:space="preserve">
Sourced from 2020 AR.</t>
        </r>
      </text>
    </comment>
    <comment ref="AH93" authorId="2" shapeId="0" xr:uid="{17D1BFB4-54D8-49BE-BB6D-B1D917661A70}">
      <text>
        <r>
          <rPr>
            <b/>
            <sz val="9"/>
            <rFont val="Tahoma"/>
            <family val="2"/>
          </rPr>
          <t>Canalyst (TS):</t>
        </r>
        <r>
          <rPr>
            <sz val="9"/>
            <rFont val="Tahoma"/>
            <family val="2"/>
          </rPr>
          <t xml:space="preserve">
Sourced from 2020 AR.</t>
        </r>
      </text>
    </comment>
    <comment ref="AI93" authorId="2" shapeId="0" xr:uid="{DC999A61-2BFD-4A49-AC59-721002F32BF1}">
      <text>
        <r>
          <rPr>
            <b/>
            <sz val="9"/>
            <rFont val="Tahoma"/>
            <family val="2"/>
          </rPr>
          <t>Canalyst (TS):</t>
        </r>
        <r>
          <rPr>
            <sz val="9"/>
            <rFont val="Tahoma"/>
            <family val="2"/>
          </rPr>
          <t xml:space="preserve">
Sourced from 2020 AR.</t>
        </r>
      </text>
    </comment>
    <comment ref="O94" authorId="1" shapeId="0" xr:uid="{AF7E0CC0-FBCC-4239-8000-F1960F623F38}">
      <text>
        <r>
          <rPr>
            <b/>
            <sz val="9"/>
            <rFont val="Tahoma"/>
            <family val="2"/>
          </rPr>
          <t>Canalyst (BL):</t>
        </r>
        <r>
          <rPr>
            <sz val="9"/>
            <rFont val="Tahoma"/>
            <family val="2"/>
          </rPr>
          <t xml:space="preserve">
reported as £ 35.5k</t>
        </r>
      </text>
    </comment>
    <comment ref="AG94" authorId="2" shapeId="0" xr:uid="{65B13D20-56CD-4EF1-9854-108F6313D4B9}">
      <text>
        <r>
          <rPr>
            <b/>
            <sz val="9"/>
            <rFont val="Tahoma"/>
            <family val="2"/>
          </rPr>
          <t>Canalyst (TS):</t>
        </r>
        <r>
          <rPr>
            <sz val="9"/>
            <rFont val="Tahoma"/>
            <family val="2"/>
          </rPr>
          <t xml:space="preserve">
Sourced from 2020 AR.</t>
        </r>
      </text>
    </comment>
    <comment ref="AH94" authorId="2" shapeId="0" xr:uid="{1F7CFF71-9DD3-47DD-BA5A-FC4A16B37BF3}">
      <text>
        <r>
          <rPr>
            <b/>
            <sz val="9"/>
            <rFont val="Tahoma"/>
            <family val="2"/>
          </rPr>
          <t>Canalyst (TS):</t>
        </r>
        <r>
          <rPr>
            <sz val="9"/>
            <rFont val="Tahoma"/>
            <family val="2"/>
          </rPr>
          <t xml:space="preserve">
Sourced from 2020 AR.</t>
        </r>
      </text>
    </comment>
    <comment ref="AI94" authorId="2" shapeId="0" xr:uid="{50BCFB82-2047-43A9-83A1-88EC3B5AA6F9}">
      <text>
        <r>
          <rPr>
            <b/>
            <sz val="9"/>
            <rFont val="Tahoma"/>
            <family val="2"/>
          </rPr>
          <t>Canalyst (TS):</t>
        </r>
        <r>
          <rPr>
            <sz val="9"/>
            <rFont val="Tahoma"/>
            <family val="2"/>
          </rPr>
          <t xml:space="preserve">
Sourced from 2020 AR.</t>
        </r>
      </text>
    </comment>
    <comment ref="AD100" authorId="2" shapeId="0" xr:uid="{DF4C4A8C-1286-42E3-8A6C-D414C30DEA36}">
      <text>
        <r>
          <rPr>
            <b/>
            <sz val="9"/>
            <rFont val="Tahoma"/>
            <family val="2"/>
          </rPr>
          <t>Canalyst (TS):</t>
        </r>
        <r>
          <rPr>
            <sz val="9"/>
            <rFont val="Tahoma"/>
            <family val="2"/>
          </rPr>
          <t xml:space="preserve">
Categorization of employees changed in FY2016.</t>
        </r>
      </text>
    </comment>
    <comment ref="AE100" authorId="2" shapeId="0" xr:uid="{22B96C76-ADCB-4756-A871-58567673396E}">
      <text>
        <r>
          <rPr>
            <b/>
            <sz val="9"/>
            <rFont val="Tahoma"/>
            <family val="2"/>
          </rPr>
          <t>Canalyst (TS):</t>
        </r>
        <r>
          <rPr>
            <sz val="9"/>
            <rFont val="Tahoma"/>
            <family val="2"/>
          </rPr>
          <t xml:space="preserve">
Categorization of employees changed in FY2016.</t>
        </r>
      </text>
    </comment>
    <comment ref="M133" authorId="1" shapeId="0" xr:uid="{769D30BC-7089-4051-A189-924C7DFC6037}">
      <text>
        <r>
          <rPr>
            <b/>
            <sz val="9"/>
            <rFont val="Tahoma"/>
            <family val="2"/>
          </rPr>
          <t>Canalyst (BL):</t>
        </r>
        <r>
          <rPr>
            <sz val="9"/>
            <rFont val="Tahoma"/>
            <family val="2"/>
          </rPr>
          <t xml:space="preserve">
segmented result been restated with H1-2023 Interim Report</t>
        </r>
      </text>
    </comment>
    <comment ref="E207" authorId="2" shapeId="0" xr:uid="{6A6D8207-62C4-45DB-AC68-83A3F236EBF0}">
      <text>
        <r>
          <rPr>
            <b/>
            <sz val="9"/>
            <rFont val="Tahoma"/>
            <family val="2"/>
          </rPr>
          <t>Canalyst (TS):</t>
        </r>
        <r>
          <rPr>
            <sz val="9"/>
            <rFont val="Tahoma"/>
            <family val="2"/>
          </rPr>
          <t xml:space="preserve">
Reported as 9.8p</t>
        </r>
      </text>
    </comment>
    <comment ref="AF207" authorId="0" shapeId="0" xr:uid="{F99B107B-1AFB-40C7-9532-1ADF7DD88778}">
      <text>
        <r>
          <rPr>
            <b/>
            <sz val="9"/>
            <rFont val="Tahoma"/>
            <family val="2"/>
          </rPr>
          <t>Canalyst (PZZ):</t>
        </r>
        <r>
          <rPr>
            <sz val="9"/>
            <rFont val="Tahoma"/>
            <family val="2"/>
          </rPr>
          <t xml:space="preserve">
Reported as 16.3p</t>
        </r>
      </text>
    </comment>
    <comment ref="AJ208" authorId="0" shapeId="0" xr:uid="{2EDA012B-25E2-4750-82D4-3983F3A13A3A}">
      <text>
        <r>
          <rPr>
            <b/>
            <sz val="9"/>
            <rFont val="Tahoma"/>
            <family val="2"/>
          </rPr>
          <t>Canalyst (PZZ):</t>
        </r>
        <r>
          <rPr>
            <sz val="9"/>
            <rFont val="Tahoma"/>
            <family val="2"/>
          </rPr>
          <t xml:space="preserve">
Reported as 34.4p in AR but 34.3p in PR</t>
        </r>
      </text>
    </comment>
    <comment ref="A219" authorId="3" shapeId="0" xr:uid="{762CE605-6F85-4AC3-B568-59C312F81F1F}">
      <text>
        <r>
          <rPr>
            <b/>
            <sz val="9"/>
            <rFont val="Tahoma"/>
            <family val="2"/>
          </rPr>
          <t xml:space="preserve">Canalyst (DT):
</t>
        </r>
        <r>
          <rPr>
            <sz val="9"/>
            <rFont val="Tahoma"/>
            <family val="2"/>
          </rPr>
          <t>Not reported in interim semi-annual reports.</t>
        </r>
      </text>
    </comment>
    <comment ref="AF219" authorId="3" shapeId="0" xr:uid="{5A7F9CBE-0AAD-4A9A-AE3A-ED01629919B1}">
      <text>
        <r>
          <rPr>
            <b/>
            <sz val="9"/>
            <rFont val="Tahoma"/>
            <family val="2"/>
          </rPr>
          <t xml:space="preserve">Canalyst (DT):
</t>
        </r>
        <r>
          <rPr>
            <sz val="9"/>
            <rFont val="Tahoma"/>
            <family val="2"/>
          </rPr>
          <t>NMF for the period prior to the IPO.</t>
        </r>
      </text>
    </comment>
    <comment ref="P233" authorId="1" shapeId="0" xr:uid="{4B0063DE-3CC7-4D94-9B7A-29B4048FC51F}">
      <text>
        <r>
          <rPr>
            <b/>
            <sz val="9"/>
            <rFont val="Tahoma"/>
            <family val="2"/>
            <charset val="1"/>
          </rPr>
          <t>Canalyst (BL):</t>
        </r>
        <r>
          <rPr>
            <sz val="9"/>
            <rFont val="Tahoma"/>
            <family val="2"/>
            <charset val="1"/>
          </rPr>
          <t xml:space="preserve">
The Board declare an interim dividend of 8.0p per share. The interim dividend will be payable on 24 May 2023.</t>
        </r>
      </text>
    </comment>
    <comment ref="AD233" authorId="0" shapeId="0" xr:uid="{46337B4C-67CB-4FCA-9183-86C1D804D604}">
      <text>
        <r>
          <rPr>
            <b/>
            <sz val="9"/>
            <rFont val="Tahoma"/>
            <family val="2"/>
          </rPr>
          <t>Canalyst (PZZ):</t>
        </r>
        <r>
          <rPr>
            <sz val="9"/>
            <rFont val="Tahoma"/>
            <family val="2"/>
          </rPr>
          <t xml:space="preserve">
Dividend per share is not disclosed in pre-ipo periods</t>
        </r>
      </text>
    </comment>
    <comment ref="AE233" authorId="0" shapeId="0" xr:uid="{AFFBA99D-33F9-45C0-A0D9-B79611EF8268}">
      <text>
        <r>
          <rPr>
            <b/>
            <sz val="9"/>
            <rFont val="Tahoma"/>
            <family val="2"/>
          </rPr>
          <t>Canalyst (PZZ):</t>
        </r>
        <r>
          <rPr>
            <sz val="9"/>
            <rFont val="Tahoma"/>
            <family val="2"/>
          </rPr>
          <t xml:space="preserve">
Dividend per share is not disclosed in pre-ipo periods</t>
        </r>
      </text>
    </comment>
    <comment ref="AF233" authorId="0" shapeId="0" xr:uid="{D84716DB-CEAB-4BC3-8DF0-943F19A79072}">
      <text>
        <r>
          <rPr>
            <b/>
            <sz val="9"/>
            <rFont val="Tahoma"/>
            <family val="2"/>
          </rPr>
          <t>Canalyst (PZZ):</t>
        </r>
        <r>
          <rPr>
            <sz val="9"/>
            <rFont val="Tahoma"/>
            <family val="2"/>
          </rPr>
          <t xml:space="preserve">
Dividend per share is not disclosed in pre-ipo periods</t>
        </r>
      </text>
    </comment>
    <comment ref="AG233" authorId="0" shapeId="0" xr:uid="{24164E0E-62AA-42A3-A275-81E38F739FAB}">
      <text>
        <r>
          <rPr>
            <b/>
            <sz val="9"/>
            <rFont val="Tahoma"/>
            <family val="2"/>
          </rPr>
          <t>Canalyst (PZZ):</t>
        </r>
        <r>
          <rPr>
            <sz val="9"/>
            <rFont val="Tahoma"/>
            <family val="2"/>
          </rPr>
          <t xml:space="preserve">
Dividend per share of 1.7p is declared in H1-2016 and paid in H2-2016. Since the company went public in H1-2016, any pre-IPO dividends per share paid are not comparable with that of post-IPO.</t>
        </r>
      </text>
    </comment>
    <comment ref="AD354" authorId="0" shapeId="0" xr:uid="{242273FC-C614-495D-98D9-4601EA25F6F0}">
      <text>
        <r>
          <rPr>
            <b/>
            <sz val="9"/>
            <rFont val="Tahoma"/>
            <family val="2"/>
          </rPr>
          <t>Canalyst (PZZ):</t>
        </r>
        <r>
          <rPr>
            <sz val="9"/>
            <rFont val="Tahoma"/>
            <family val="2"/>
          </rPr>
          <t xml:space="preserve">
Hardcoded as reported</t>
        </r>
      </text>
    </comment>
    <comment ref="A393" authorId="4" shapeId="0" xr:uid="{CDE2E9AA-81D0-4CD3-A6EB-4379A9E101F7}">
      <text>
        <r>
          <rPr>
            <b/>
            <sz val="9"/>
            <rFont val="Tahoma"/>
            <family val="2"/>
          </rPr>
          <t>Canalyst (TZ):</t>
        </r>
        <r>
          <rPr>
            <sz val="9"/>
            <rFont val="Tahoma"/>
            <family val="2"/>
          </rPr>
          <t xml:space="preserve">
Historical results include additions</t>
        </r>
      </text>
    </comment>
    <comment ref="A403" authorId="4" shapeId="0" xr:uid="{CF8E83C5-502D-4E9E-AE16-4CE566D1DF92}">
      <text>
        <r>
          <rPr>
            <b/>
            <sz val="9"/>
            <rFont val="Tahoma"/>
            <family val="2"/>
          </rPr>
          <t>Canalyst (TZ):</t>
        </r>
        <r>
          <rPr>
            <sz val="9"/>
            <rFont val="Tahoma"/>
            <family val="2"/>
          </rPr>
          <t xml:space="preserve">
Historical results include additions</t>
        </r>
      </text>
    </comment>
    <comment ref="A415" authorId="0" shapeId="0" xr:uid="{2E4494C2-B93E-4A23-B232-2B01F15593C3}">
      <text>
        <r>
          <rPr>
            <b/>
            <sz val="9"/>
            <rFont val="Tahoma"/>
            <family val="2"/>
          </rPr>
          <t>Canalyst:</t>
        </r>
        <r>
          <rPr>
            <sz val="9"/>
            <rFont val="Tahoma"/>
            <family val="2"/>
          </rPr>
          <t xml:space="preserve">
The values in this row are estimated figures. The values in annual periods represent estimates derived using a consistent method as the sub-annual figure estimates, which may not necessarily be consistent with the sum of the sub-annual figure estimates. When forecasting, the sub-annual figures are used to drive the model while the forecasted annual figures in this row are for display-only purposes.</t>
        </r>
      </text>
    </comment>
    <comment ref="A416" authorId="0" shapeId="0" xr:uid="{2C57C63C-3B34-4C1D-B568-D2093640EE66}">
      <text>
        <r>
          <rPr>
            <b/>
            <sz val="9"/>
            <rFont val="Tahoma"/>
            <family val="2"/>
          </rPr>
          <t>Canalyst:</t>
        </r>
        <r>
          <rPr>
            <sz val="9"/>
            <rFont val="Tahoma"/>
            <family val="2"/>
          </rPr>
          <t xml:space="preserve">
The values in this row are estimated figures. The values in annual periods represent estimates derived using a consistent method as the sub-annual figure estimates, which may not necessarily be consistent with the sum of the sub-annual figure estimates. When forecasting, the sub-annual figures are used to drive the model while the forecasted annual figures in this row are for display-only purposes.</t>
        </r>
      </text>
    </comment>
    <comment ref="AD422" authorId="0" shapeId="0" xr:uid="{7415C5EE-4FFF-471C-9B15-018D671CED39}">
      <text>
        <r>
          <rPr>
            <b/>
            <sz val="9"/>
            <rFont val="Tahoma"/>
            <family val="2"/>
          </rPr>
          <t>Canalyst (PZZ):</t>
        </r>
        <r>
          <rPr>
            <sz val="9"/>
            <rFont val="Tahoma"/>
            <family val="2"/>
          </rPr>
          <t xml:space="preserve">
Sourced from prospectus</t>
        </r>
      </text>
    </comment>
    <comment ref="AE422" authorId="0" shapeId="0" xr:uid="{774A5A2D-FC29-4AA6-AE95-78EACC6517EE}">
      <text>
        <r>
          <rPr>
            <b/>
            <sz val="9"/>
            <rFont val="Tahoma"/>
            <family val="2"/>
          </rPr>
          <t>Canalyst (PZZ):</t>
        </r>
        <r>
          <rPr>
            <sz val="9"/>
            <rFont val="Tahoma"/>
            <family val="2"/>
          </rPr>
          <t xml:space="preserve">
Sourced from prospectus</t>
        </r>
      </text>
    </comment>
    <comment ref="I439" authorId="0" shapeId="0" xr:uid="{2A87B03A-6F28-42E8-BF24-E2F100DF1CA2}">
      <text>
        <r>
          <rPr>
            <b/>
            <sz val="9"/>
            <rFont val="Tahoma"/>
            <family val="2"/>
          </rPr>
          <t>Canalyst (PZZ):</t>
        </r>
        <r>
          <rPr>
            <sz val="9"/>
            <rFont val="Tahoma"/>
            <family val="2"/>
          </rPr>
          <t xml:space="preserve">
Contract liabilities are reported as a part of trade and other payables in this period and prior</t>
        </r>
      </text>
    </comment>
    <comment ref="I440" authorId="0" shapeId="0" xr:uid="{74B34164-E04C-4523-A6AF-253DC1A18890}">
      <text>
        <r>
          <rPr>
            <b/>
            <sz val="9"/>
            <rFont val="Tahoma"/>
            <family val="2"/>
          </rPr>
          <t>Canalyst (PZZ):</t>
        </r>
        <r>
          <rPr>
            <sz val="9"/>
            <rFont val="Tahoma"/>
            <family val="2"/>
          </rPr>
          <t xml:space="preserve">
Contract liabilities are reported as a part of trade and other payables in this period and prior</t>
        </r>
      </text>
    </comment>
    <comment ref="A451" authorId="4" shapeId="0" xr:uid="{AC6BA63E-0E7A-41E4-8932-38D017D4BC2F}">
      <text>
        <r>
          <rPr>
            <b/>
            <sz val="9"/>
            <rFont val="Tahoma"/>
            <family val="2"/>
          </rPr>
          <t>Canalyst (TZ):</t>
        </r>
        <r>
          <rPr>
            <sz val="9"/>
            <rFont val="Tahoma"/>
            <family val="2"/>
          </rPr>
          <t xml:space="preserve">
This is a dummy line. For forecasting periods, it accounts for liabilities related to other net finance expenses</t>
        </r>
      </text>
    </comment>
  </commentList>
</comments>
</file>

<file path=xl/sharedStrings.xml><?xml version="1.0" encoding="utf-8"?>
<sst xmlns="http://schemas.openxmlformats.org/spreadsheetml/2006/main" count="5702" uniqueCount="1491">
  <si>
    <t>LSE: SCT</t>
  </si>
  <si>
    <t>12% Growth and 39% Margin</t>
  </si>
  <si>
    <t>Simple Model</t>
  </si>
  <si>
    <t>(GBP in mm)</t>
  </si>
  <si>
    <t>Historical</t>
  </si>
  <si>
    <t>Forecast</t>
  </si>
  <si>
    <t>FY13a</t>
  </si>
  <si>
    <t>FY14a</t>
  </si>
  <si>
    <t>FY15a</t>
  </si>
  <si>
    <t>FY16a</t>
  </si>
  <si>
    <t>FY17a</t>
  </si>
  <si>
    <t>FY18a</t>
  </si>
  <si>
    <t>FY19a</t>
  </si>
  <si>
    <t>FY20a</t>
  </si>
  <si>
    <t>FY21a</t>
  </si>
  <si>
    <t>FY22a</t>
  </si>
  <si>
    <t>FY23a</t>
  </si>
  <si>
    <t>FY24a</t>
  </si>
  <si>
    <t>FY25e</t>
  </si>
  <si>
    <t>FY26e</t>
  </si>
  <si>
    <t>FY27e</t>
  </si>
  <si>
    <t>FY28e</t>
  </si>
  <si>
    <t>FY29e</t>
  </si>
  <si>
    <t>FY30e</t>
  </si>
  <si>
    <t>FY31e</t>
  </si>
  <si>
    <t>FY32e</t>
  </si>
  <si>
    <t>FY33e</t>
  </si>
  <si>
    <t>FY34e</t>
  </si>
  <si>
    <t>FY35e</t>
  </si>
  <si>
    <t>FY36e</t>
  </si>
  <si>
    <t>Rationale</t>
  </si>
  <si>
    <t>05-10 CAGR</t>
  </si>
  <si>
    <t>10-15 CAGR</t>
  </si>
  <si>
    <t>05-15 CAGR</t>
  </si>
  <si>
    <t>17e-22e CAGR</t>
  </si>
  <si>
    <t>17e-27e CAGR</t>
  </si>
  <si>
    <t>FY18e, FY19e consensus = 925; 1,016</t>
  </si>
  <si>
    <t>% Growth</t>
  </si>
  <si>
    <t>Sequential</t>
  </si>
  <si>
    <t>Net Revenue</t>
  </si>
  <si>
    <t>% of Invoiced Income</t>
  </si>
  <si>
    <t>c = 463</t>
  </si>
  <si>
    <t>Gross Profit</t>
  </si>
  <si>
    <t>% Margin</t>
  </si>
  <si>
    <t>Opex</t>
  </si>
  <si>
    <t>% of GP</t>
  </si>
  <si>
    <t>c = 170</t>
  </si>
  <si>
    <t>Operating Profit</t>
  </si>
  <si>
    <t>D&amp;A</t>
  </si>
  <si>
    <t>EBITDA</t>
  </si>
  <si>
    <t>FY18e, FY19e consensus = 57.5, 61.6</t>
  </si>
  <si>
    <t>Capex</t>
  </si>
  <si>
    <t>NA</t>
  </si>
  <si>
    <t>EBITDA-Capex</t>
  </si>
  <si>
    <t>Interest</t>
  </si>
  <si>
    <t>Taxes</t>
  </si>
  <si>
    <t>% Rate</t>
  </si>
  <si>
    <t>"Blended standard rate of UK corp tax….to 20.0%" less</t>
  </si>
  <si>
    <t>non-deductable client entertaining expenses</t>
  </si>
  <si>
    <t>Minority interest</t>
  </si>
  <si>
    <t>Recurring FCF</t>
  </si>
  <si>
    <t xml:space="preserve">WC / Other </t>
  </si>
  <si>
    <t>Realized FCF</t>
  </si>
  <si>
    <t>90-95% cash conversion as mgmt defined ongoing</t>
  </si>
  <si>
    <t>Cash conversion %</t>
  </si>
  <si>
    <t>(OCF - Capex + Taxes ) / EBIT</t>
  </si>
  <si>
    <t>Net Debt</t>
  </si>
  <si>
    <t>Normal cash balance as 3% of revenue per prospectus</t>
  </si>
  <si>
    <t>x EBITDA</t>
  </si>
  <si>
    <t>FCF to Equity</t>
  </si>
  <si>
    <t>% of Mkt. Cap</t>
  </si>
  <si>
    <t>Cum. FCF to Equity</t>
  </si>
  <si>
    <t>Mkt Cap / LTM Realized FCF</t>
  </si>
  <si>
    <t>EV/(EBITDA - CAPEX)</t>
  </si>
  <si>
    <t>P/rFCF with cash return FY25e</t>
  </si>
  <si>
    <t>P/rFCF</t>
  </si>
  <si>
    <t>P/E with cash return FY25e</t>
  </si>
  <si>
    <t xml:space="preserve">P/E </t>
  </si>
  <si>
    <t>P/E (consensus)</t>
  </si>
  <si>
    <t>LTIP has 21.6 pence EPS as 100% threshold for FY18</t>
  </si>
  <si>
    <t>Returns</t>
  </si>
  <si>
    <t>Ten-Year Exit</t>
  </si>
  <si>
    <t>Forward FCF Multiple</t>
  </si>
  <si>
    <t>Equity Value</t>
  </si>
  <si>
    <t>Cash Flows</t>
  </si>
  <si>
    <t>xIRR</t>
  </si>
  <si>
    <t>Capitalization</t>
  </si>
  <si>
    <t>USD denomination</t>
  </si>
  <si>
    <t>GBP</t>
  </si>
  <si>
    <t>USD</t>
  </si>
  <si>
    <t>Amount</t>
  </si>
  <si>
    <t>GBP / Share</t>
  </si>
  <si>
    <t>USD / Share</t>
  </si>
  <si>
    <t>GBP / USD &gt;&gt;</t>
  </si>
  <si>
    <t>Equity</t>
  </si>
  <si>
    <t>USD / GBP &gt;&gt;</t>
  </si>
  <si>
    <t>Net Debt (mm)</t>
  </si>
  <si>
    <t>TEV</t>
  </si>
  <si>
    <t>Shares (mm)</t>
  </si>
  <si>
    <t>LTM FCF</t>
  </si>
  <si>
    <t>For quarterly LP unit sheet</t>
  </si>
  <si>
    <t>USD / GBP</t>
  </si>
  <si>
    <t>GBP/USD</t>
  </si>
  <si>
    <t>FCF / share calc for quarterly</t>
  </si>
  <si>
    <t>Calendarized</t>
  </si>
  <si>
    <t>15% Growth and 41% Margin</t>
  </si>
  <si>
    <t>Historicals and forecast</t>
  </si>
  <si>
    <t>1HFY-2022</t>
  </si>
  <si>
    <t>2HFY-2022</t>
  </si>
  <si>
    <t>1HFY-2023</t>
  </si>
  <si>
    <t>2HFY-2023</t>
  </si>
  <si>
    <t>1HFY-2024</t>
  </si>
  <si>
    <t>2HFY-2024</t>
  </si>
  <si>
    <t>FYE July 31st</t>
  </si>
  <si>
    <t>5 - yr CAGRs</t>
  </si>
  <si>
    <t>10-yr CAGR</t>
  </si>
  <si>
    <t>15-yr CAGR</t>
  </si>
  <si>
    <t>1H FY15</t>
  </si>
  <si>
    <t>2H FY15</t>
  </si>
  <si>
    <t>1H FY16</t>
  </si>
  <si>
    <t>2H FY16</t>
  </si>
  <si>
    <t>1H FY17</t>
  </si>
  <si>
    <t>2H FY17</t>
  </si>
  <si>
    <t>1H FY18</t>
  </si>
  <si>
    <t>2H FY18</t>
  </si>
  <si>
    <t>1H FY19</t>
  </si>
  <si>
    <t>2H FY19</t>
  </si>
  <si>
    <t>1H FY20</t>
  </si>
  <si>
    <t>2H FY20</t>
  </si>
  <si>
    <t>1H FY21</t>
  </si>
  <si>
    <t>2H FY21</t>
  </si>
  <si>
    <t>1H FY22</t>
  </si>
  <si>
    <t>2H FY22</t>
  </si>
  <si>
    <t>1H FY23</t>
  </si>
  <si>
    <t>2H FY23</t>
  </si>
  <si>
    <t>1H FY24</t>
  </si>
  <si>
    <t>2H FY24</t>
  </si>
  <si>
    <t>1H FY25e</t>
  </si>
  <si>
    <t>2H FY25e</t>
  </si>
  <si>
    <t>2025e</t>
  </si>
  <si>
    <t>00-05 CAGR</t>
  </si>
  <si>
    <t>00-15 CAGR</t>
  </si>
  <si>
    <t>Financial Summary</t>
  </si>
  <si>
    <t>Incremental Annual</t>
  </si>
  <si>
    <t>CY21</t>
  </si>
  <si>
    <t>CY22</t>
  </si>
  <si>
    <t>CY23</t>
  </si>
  <si>
    <t>CY24</t>
  </si>
  <si>
    <t>CY25</t>
  </si>
  <si>
    <t>GP</t>
  </si>
  <si>
    <t>Memo:</t>
  </si>
  <si>
    <t>Adj. Opex ex-D&amp;A per Average Employee</t>
  </si>
  <si>
    <t>o/w are exceptional costs</t>
  </si>
  <si>
    <t>IPO costs</t>
  </si>
  <si>
    <t>SBC</t>
  </si>
  <si>
    <t>Adj. EBITDA</t>
  </si>
  <si>
    <t xml:space="preserve">Note: </t>
  </si>
  <si>
    <t xml:space="preserve">Adj. Operating Profit </t>
  </si>
  <si>
    <t>Net Interest (income)</t>
  </si>
  <si>
    <t>PBT</t>
  </si>
  <si>
    <t>Taxes @ 25%</t>
  </si>
  <si>
    <t>Net Income</t>
  </si>
  <si>
    <t>Shares</t>
  </si>
  <si>
    <t>EPS</t>
  </si>
  <si>
    <t xml:space="preserve">Interest </t>
  </si>
  <si>
    <t>After-tax minority interest</t>
  </si>
  <si>
    <t>Recurring FCF / Share</t>
  </si>
  <si>
    <t>WC / Other</t>
  </si>
  <si>
    <t>Cash Flow Items</t>
  </si>
  <si>
    <t>CFO</t>
  </si>
  <si>
    <t>Cash Taxes</t>
  </si>
  <si>
    <t>Cash Acquisitions</t>
  </si>
  <si>
    <t>Cash Divestitures</t>
  </si>
  <si>
    <t xml:space="preserve">Dividends </t>
  </si>
  <si>
    <t>Net buybacks use vs. (issue/source) of cash</t>
  </si>
  <si>
    <t>Valuation</t>
  </si>
  <si>
    <t>FY24</t>
  </si>
  <si>
    <t>Mkt Cap / Realized FCF &gt;&gt;</t>
  </si>
  <si>
    <t>EV/(EBITDA - CAPEX) &gt;&gt;</t>
  </si>
  <si>
    <t>P/E (without capital return) &gt;&gt;</t>
  </si>
  <si>
    <t>P/E (with capital return) &gt;&gt;</t>
  </si>
  <si>
    <t>EV/rFCF &gt;&gt;</t>
  </si>
  <si>
    <t>GP Build</t>
  </si>
  <si>
    <t>LTM GP</t>
  </si>
  <si>
    <t>LTM GP per Customer</t>
  </si>
  <si>
    <t>Less: Prior period GP</t>
  </si>
  <si>
    <t>Current period GP</t>
  </si>
  <si>
    <t>Opex Build</t>
  </si>
  <si>
    <t>Employees - EoP</t>
  </si>
  <si>
    <t>Employees - AoP</t>
  </si>
  <si>
    <t>Opex per Avg Employee ('000s)</t>
  </si>
  <si>
    <t>Detailed financials</t>
  </si>
  <si>
    <t>1HFY25</t>
  </si>
  <si>
    <t>Segmentation</t>
  </si>
  <si>
    <t xml:space="preserve">Gross Invoiced Income </t>
  </si>
  <si>
    <t>Software</t>
  </si>
  <si>
    <t>Hardware</t>
  </si>
  <si>
    <t>Services</t>
  </si>
  <si>
    <t>Total Gross Invoiced Income</t>
  </si>
  <si>
    <t xml:space="preserve">% Growth </t>
  </si>
  <si>
    <t>GBP Sequential</t>
  </si>
  <si>
    <t>GBP YoY</t>
  </si>
  <si>
    <t>% Mix</t>
  </si>
  <si>
    <t>SMB</t>
  </si>
  <si>
    <t>Enterprise</t>
  </si>
  <si>
    <t>Public Sector</t>
  </si>
  <si>
    <t>Total Net Revenue</t>
  </si>
  <si>
    <t>CRC calcs</t>
  </si>
  <si>
    <t>EBITDA (GAAP)</t>
  </si>
  <si>
    <t xml:space="preserve">Adj. EBITDA </t>
  </si>
  <si>
    <t>YoY%</t>
  </si>
  <si>
    <t>Summary Balance Sheet</t>
  </si>
  <si>
    <t>Assets</t>
  </si>
  <si>
    <t>Total non-current assets</t>
  </si>
  <si>
    <t>Total current assets</t>
  </si>
  <si>
    <t>Total assets</t>
  </si>
  <si>
    <t>Liabilities</t>
  </si>
  <si>
    <t>Total current liabilities</t>
  </si>
  <si>
    <t>Total non-current liabilities</t>
  </si>
  <si>
    <t>Total liabilities</t>
  </si>
  <si>
    <t>Net assets</t>
  </si>
  <si>
    <t>Total equity</t>
  </si>
  <si>
    <t>Summary Cash Flow</t>
  </si>
  <si>
    <t>Net cash generated from operating activities</t>
  </si>
  <si>
    <t>Net cash used in investing activities</t>
  </si>
  <si>
    <t>Net cash used in financing activiites</t>
  </si>
  <si>
    <t>Net (decrease) increase in cash and cash equivalents</t>
  </si>
  <si>
    <t>FX</t>
  </si>
  <si>
    <t>Cash and cash equivalents at beginning of the period</t>
  </si>
  <si>
    <t>Cash and cash equivalents at end of year</t>
  </si>
  <si>
    <t>Adj. Operating Profit</t>
  </si>
  <si>
    <t>Operating profit</t>
  </si>
  <si>
    <t>Exceptional non-recurring items</t>
  </si>
  <si>
    <t>Adjusted operating profit</t>
  </si>
  <si>
    <t>Operating profit (ex IPO costs)</t>
  </si>
  <si>
    <t>Income tax expense</t>
  </si>
  <si>
    <t>Operating profit after tax</t>
  </si>
  <si>
    <t>ROIC %</t>
  </si>
  <si>
    <t>Customers</t>
  </si>
  <si>
    <t>Gross profit margin %</t>
  </si>
  <si>
    <t>Adjusted operating profit margin %</t>
  </si>
  <si>
    <t>Adjusted operating profit / gross profit margin %</t>
  </si>
  <si>
    <t>Cash conversion rate %</t>
  </si>
  <si>
    <t>Return on adjusted invested capital %</t>
  </si>
  <si>
    <t>Customers (prior definition)</t>
  </si>
  <si>
    <t>Employees</t>
  </si>
  <si>
    <t>Administration</t>
  </si>
  <si>
    <t>Serviice</t>
  </si>
  <si>
    <t>Sales</t>
  </si>
  <si>
    <t>Total Employees - AoP</t>
  </si>
  <si>
    <t>Management</t>
  </si>
  <si>
    <t>Sales and service</t>
  </si>
  <si>
    <t>Total Employees - EoP</t>
  </si>
  <si>
    <t>South Coast (2H CY2017)</t>
  </si>
  <si>
    <t>Glasgow (Jan 2016)</t>
  </si>
  <si>
    <t>Leeds (Feb 2015)</t>
  </si>
  <si>
    <t>Bristol (Jan 2014)</t>
  </si>
  <si>
    <t>London (Sept. 2010)</t>
  </si>
  <si>
    <t>Manchester (Oct 2008)</t>
  </si>
  <si>
    <t>Marlow</t>
  </si>
  <si>
    <t>Customers (K)</t>
  </si>
  <si>
    <t>Results from operations</t>
  </si>
  <si>
    <t>% of Gross Invoiced Income</t>
  </si>
  <si>
    <t>Cost of sales</t>
  </si>
  <si>
    <t>Gross profit</t>
  </si>
  <si>
    <t>Administrative expenses</t>
  </si>
  <si>
    <t>Exceptional costs</t>
  </si>
  <si>
    <t>Share-based payment charge</t>
  </si>
  <si>
    <t>Finance income</t>
  </si>
  <si>
    <t>Profit before tax</t>
  </si>
  <si>
    <t>Profit for the year</t>
  </si>
  <si>
    <t>Income Statement - as disclosed</t>
  </si>
  <si>
    <t>Profit before taxation</t>
  </si>
  <si>
    <t>Other comprehensive income, net of tax</t>
  </si>
  <si>
    <t>Total comprehensive income, net of tax</t>
  </si>
  <si>
    <t>Profit attributable to owners of the company</t>
  </si>
  <si>
    <t>Key IS Metrics</t>
  </si>
  <si>
    <t>Gross Invoiced Income</t>
  </si>
  <si>
    <t>% Margin (of Invoiced Income)</t>
  </si>
  <si>
    <t>% Margin (of GP)</t>
  </si>
  <si>
    <t>Adjusted Operating Profit</t>
  </si>
  <si>
    <t>Weighted average number of Ordinary Shares (basic)</t>
  </si>
  <si>
    <t>Effect of conversion of share options</t>
  </si>
  <si>
    <t>Weighted average number of Ordinary Shares (diluted)</t>
  </si>
  <si>
    <t>Basic earnings per ordinary share (pence)</t>
  </si>
  <si>
    <t>Diluted earnings per ordinary share (pence)</t>
  </si>
  <si>
    <t>Adjusted basic earnings per ordinary share (pence)</t>
  </si>
  <si>
    <t>Adjusted diluted earnings per ordinary share (pence)</t>
  </si>
  <si>
    <t>Administrative expenses detail</t>
  </si>
  <si>
    <t>Employment and incentive costs</t>
  </si>
  <si>
    <t>Commissions</t>
  </si>
  <si>
    <t>Depreciation and amortization charges</t>
  </si>
  <si>
    <t>Other expenses</t>
  </si>
  <si>
    <t>Total</t>
  </si>
  <si>
    <t xml:space="preserve">Balance Sheet </t>
  </si>
  <si>
    <t>Property, plant, and equipment</t>
  </si>
  <si>
    <t>Right of use assets</t>
  </si>
  <si>
    <t>Intangible assets</t>
  </si>
  <si>
    <t>Investment in subsidiaries</t>
  </si>
  <si>
    <t>Deferred tax assets</t>
  </si>
  <si>
    <t>Inventories</t>
  </si>
  <si>
    <t>Trade and other receivables</t>
  </si>
  <si>
    <t>Income tax recoverable</t>
  </si>
  <si>
    <t>Cash and cash equivalents</t>
  </si>
  <si>
    <t>Trade and other payables</t>
  </si>
  <si>
    <t>Contract liabilities</t>
  </si>
  <si>
    <t>Income tax payable</t>
  </si>
  <si>
    <t>Lease liabilities</t>
  </si>
  <si>
    <t>Bank loans and overdraft</t>
  </si>
  <si>
    <t>Provisions</t>
  </si>
  <si>
    <t>Issued share capital</t>
  </si>
  <si>
    <t>Share premium account</t>
  </si>
  <si>
    <t>Other reserves</t>
  </si>
  <si>
    <t>Retained earnings</t>
  </si>
  <si>
    <t>Invested Capital Detail</t>
  </si>
  <si>
    <t>Current Assets</t>
  </si>
  <si>
    <t>AR</t>
  </si>
  <si>
    <t>Inventory</t>
  </si>
  <si>
    <t>Total Current Assets</t>
  </si>
  <si>
    <t>Current Liabilities</t>
  </si>
  <si>
    <t>AP and Accrued Liabilities</t>
  </si>
  <si>
    <t>Total Current Liabilities</t>
  </si>
  <si>
    <t>Net Working Capital</t>
  </si>
  <si>
    <t>Seq. Change</t>
  </si>
  <si>
    <t>Memo: WC Drivers</t>
  </si>
  <si>
    <t>COGS</t>
  </si>
  <si>
    <t>DSO</t>
  </si>
  <si>
    <t>DIO</t>
  </si>
  <si>
    <t>DPO</t>
  </si>
  <si>
    <t>CCC</t>
  </si>
  <si>
    <t>LT Assets</t>
  </si>
  <si>
    <t>PP&amp;E</t>
  </si>
  <si>
    <t>Goodwill and Other Intangibles</t>
  </si>
  <si>
    <t>Total LT Assets</t>
  </si>
  <si>
    <t>Invested Capital</t>
  </si>
  <si>
    <t>ROIC</t>
  </si>
  <si>
    <t xml:space="preserve">Cash Flow Statement </t>
  </si>
  <si>
    <t>Depreciation of property, plant, and equipment</t>
  </si>
  <si>
    <t>Amortization of intangibles</t>
  </si>
  <si>
    <t>Loss on disposal of a fixed asset</t>
  </si>
  <si>
    <t>Loss on disposal of a intangible asset</t>
  </si>
  <si>
    <t>Cost of equity settled employee share schemes</t>
  </si>
  <si>
    <t>Change in provisions</t>
  </si>
  <si>
    <t>Operating cash flow before movements in working capital</t>
  </si>
  <si>
    <t>Decrease (increase) in inventory</t>
  </si>
  <si>
    <t>Cash generated from operations</t>
  </si>
  <si>
    <t>Income taxes paid</t>
  </si>
  <si>
    <t>CFI</t>
  </si>
  <si>
    <t>Purchase of property, plant, and equipment</t>
  </si>
  <si>
    <t>Purchase of intangible assets</t>
  </si>
  <si>
    <t xml:space="preserve">Other </t>
  </si>
  <si>
    <t>Proceeds from asset disposals</t>
  </si>
  <si>
    <t>CFF</t>
  </si>
  <si>
    <t>Issue of share capital</t>
  </si>
  <si>
    <t>Deferred purchase share proceeds</t>
  </si>
  <si>
    <t>Dividends paid</t>
  </si>
  <si>
    <t>Own share transactions</t>
  </si>
  <si>
    <t>Net cash used in financing activities</t>
  </si>
  <si>
    <t>Cash and cash equivalents at beginning of year</t>
  </si>
  <si>
    <t>Cash flow to cash balance</t>
  </si>
  <si>
    <t>Cash flows from investing activities</t>
  </si>
  <si>
    <t>Financing income</t>
  </si>
  <si>
    <t>Cash flows from financing activities</t>
  </si>
  <si>
    <t>Guidance Analysis</t>
  </si>
  <si>
    <t>Date of Outlook</t>
  </si>
  <si>
    <t xml:space="preserve">Annual Outlook             </t>
  </si>
  <si>
    <t>Consensus Estimates at the Time</t>
  </si>
  <si>
    <t>Actual / CRC est.</t>
  </si>
  <si>
    <t>FY</t>
  </si>
  <si>
    <t>The Board is pleased with progress to date, which is consistent with the outlook provided in our full year results announcement, for double‐digit gross profit growth together with high single‐digit operating profit growth in FY2025.</t>
  </si>
  <si>
    <t>£466m, +11.4% YoY</t>
  </si>
  <si>
    <t>£171m, +10.8% YoY, 
36.7% of GP</t>
  </si>
  <si>
    <t>£468m, +12.0% YoY</t>
  </si>
  <si>
    <t>£171m, +11.3% YoY, 
36.6% of GP</t>
  </si>
  <si>
    <t>Double-digit gross profit growth</t>
  </si>
  <si>
    <t xml:space="preserve">High single-digit operating profit growth </t>
  </si>
  <si>
    <t>£463m, +10.8% YoY</t>
  </si>
  <si>
    <t>£170m, +10.5% YoY, 36.7% of GP</t>
  </si>
  <si>
    <t>The Board continues to anticipate that full year gross profit and operating profit results will be in line with expectations.</t>
  </si>
  <si>
    <t>£418m, +11.8% YoY</t>
  </si>
  <si>
    <t>£156m, +10.7% YoY, 
36.9% of GP</t>
  </si>
  <si>
    <t>£154m, +9.3% YoY, 
36.9% of GP</t>
  </si>
  <si>
    <t>Our positive performance over the first six months of the financial year reinforces our expectations to deliver on our full year guidance of double-digit gross profit and high-single digit operating profit growth</t>
  </si>
  <si>
    <t>£413m, +10.7% YoY</t>
  </si>
  <si>
    <t>£155m, +10.0% YoY,
37.3% of GP</t>
  </si>
  <si>
    <t xml:space="preserve">The Board is pleased with the progress to date which continues to be in line with our expectations and the outlook set at the full year results. </t>
  </si>
  <si>
    <t>£415m, +12.8% YoY</t>
  </si>
  <si>
    <t>£155m, +10.0% YoY, 
37.3% of GP</t>
  </si>
  <si>
    <t>Double-digit gross profit growth through the year</t>
  </si>
  <si>
    <t xml:space="preserve">FY24 operating profit to be in line with market expectations....operating profit growth to be second half weighted, with modest growth in the first half of the year </t>
  </si>
  <si>
    <t>£412m, +10.2% YoY</t>
  </si>
  <si>
    <t>£152m, +7.9% YoY, 36.9% of GP</t>
  </si>
  <si>
    <t>The Board is pleased with progress and anticipates the outturn for the full year will be in line with its current expectations</t>
  </si>
  <si>
    <t>£370m, +13.2% YoY</t>
  </si>
  <si>
    <t>£141m, +1.7% YoY, 
38.1% of GP</t>
  </si>
  <si>
    <t>£374m, +14.2% YoY</t>
  </si>
  <si>
    <t>£141m, +3.5% YoY, 
37.7% of GP</t>
  </si>
  <si>
    <t>The Board now expects that the outturn for the full year will be slightly ahead of previous estimates</t>
  </si>
  <si>
    <t>£354m, +8.0% YoY</t>
  </si>
  <si>
    <t>£137m, -1.2% YoY,
38.7% of GP</t>
  </si>
  <si>
    <t>The Board is pleased with the progress to date which is in line with our expectations and the outlook set at the full year results</t>
  </si>
  <si>
    <t>£138m, -0.0% YoY,
39.0% of GP</t>
  </si>
  <si>
    <t xml:space="preserve">Double-digit gross profit growth </t>
  </si>
  <si>
    <t>Operating profit at levels similar to 2022</t>
  </si>
  <si>
    <t>£345m, +5.4% YoY</t>
  </si>
  <si>
    <t>£136m, -2.3% YoY,
39.3% of GP</t>
  </si>
  <si>
    <t>Slightly ahead of previous expectations</t>
  </si>
  <si>
    <t>£314m, +13.6% YoY</t>
  </si>
  <si>
    <t>£131m, +7.7% YoY,
41.7% of GP</t>
  </si>
  <si>
    <t>£327m, +18.4% YoY</t>
  </si>
  <si>
    <t>£139m, +14.0% YoY, 
42.4% of GP</t>
  </si>
  <si>
    <t>Ahead of previous estimates</t>
  </si>
  <si>
    <t>£312m, +12.9% YoY</t>
  </si>
  <si>
    <t>£129m, +6.0% YoY,
41.3% of GP</t>
  </si>
  <si>
    <t>The Board is pleased with the progress to date which has met expectations.</t>
  </si>
  <si>
    <t>£304m, +10.0% YoY</t>
  </si>
  <si>
    <t>£120m, -1.4% YoY,
39.5% of GP</t>
  </si>
  <si>
    <t> Double-digit gross profit growth</t>
  </si>
  <si>
    <t>Operating profit in line with 2021</t>
  </si>
  <si>
    <t>£300m, +8.6% YoY</t>
  </si>
  <si>
    <t>£117m, -4.1% YoY,
38.9% of GP</t>
  </si>
  <si>
    <t>The Board anticipates that results for the full year ending 31 July 2021 will be ahead of expectations</t>
  </si>
  <si>
    <t>£270m, +14.6% YoY</t>
  </si>
  <si>
    <t>£121m, +26.0% YoY,
44.7% of GP</t>
  </si>
  <si>
    <t>£276m, +17.2% YoY</t>
  </si>
  <si>
    <t>£122m, +27.2% YoY, 
44.0% of GP</t>
  </si>
  <si>
    <t>The Board is confident the Company will deliver a full year result significantly ahead of its previous expectations</t>
  </si>
  <si>
    <t>£256m, +8.6% YoY</t>
  </si>
  <si>
    <t>£103m, +7.6% YoY,
40.2% of GP</t>
  </si>
  <si>
    <t>Much still needs to be done in the second half of the financial year which remains difficult to forecast, but with the seasonally important December trading period behind us we are significantly ahead of where we expected to be at this stage</t>
  </si>
  <si>
    <t>£247m, +4.8% YoY</t>
  </si>
  <si>
    <t>£95m, -0.0% YoY,
38.6% of GP</t>
  </si>
  <si>
    <t>The Board is pleased with the results to date and notes further positive momentum heading into the second quarter</t>
  </si>
  <si>
    <t>Market conditions may remain challenging for a time, but we remain confident in our ability to gain market share</t>
  </si>
  <si>
    <t xml:space="preserve">Continue to pursue our strategy of organic investment in new capabilities </t>
  </si>
  <si>
    <t>£246m, +4.5% YoY</t>
  </si>
  <si>
    <t>£96m, +0.0% YoY,
39.0% of GP</t>
  </si>
  <si>
    <t>Following the third quarter update provided in May, the Company has continued to trade satisfactorily during the final three months of the year and has delivered operating profit for the full year slightly ahead of the Board's expectations.</t>
  </si>
  <si>
    <t>£240m, +13.5% YoY</t>
  </si>
  <si>
    <t>£94m, +9.8% YoY,
39.4% of GP</t>
  </si>
  <si>
    <t>£236m, +11.6% YoY</t>
  </si>
  <si>
    <t>£96m, +11.0% YoY, 
40.6% of GP</t>
  </si>
  <si>
    <t>The Company has traded satisfactorily during the period and delivered growth in revenue, gross profit and operating profit. Cash receipts from customers have remained broadly in line with normal trends. .....Board is encouraged by the resilience of the business thus far</t>
  </si>
  <si>
    <t>£238m, +12.8% YoY</t>
  </si>
  <si>
    <t>£91m, +5.2% YoY,
38.0% of GP</t>
  </si>
  <si>
    <t>Confident in our ability to continue to build market share and drive
profitable growth over the longer-term</t>
  </si>
  <si>
    <t>£236m, +11.9% YoY</t>
  </si>
  <si>
    <t>£92m, +7.0% YoY,
38.8% of GP</t>
  </si>
  <si>
    <t>While it is still early in our new financial year, I'm confident we will achieve the goals we have set ourselves for 2020.</t>
  </si>
  <si>
    <t>£241m, +13.9% YoY</t>
  </si>
  <si>
    <t>£89m, +3.5% YoY,
36.9% of GP</t>
  </si>
  <si>
    <t>The Board also remains confident in the Company's ability to gain market share and targets further growth during 2020.  Trading in the first eleven weeks of the new financial year has been on track and we look forward to the rest of the year with confidence.</t>
  </si>
  <si>
    <t>£226m, +7.2% YoY</t>
  </si>
  <si>
    <t>£87m, +1.3% YoY,
38.6% of GP</t>
  </si>
  <si>
    <t>The Board is therefore confident that full year results will now be slightly ahead of previous expectations</t>
  </si>
  <si>
    <t>£211m, +20.5% YoY</t>
  </si>
  <si>
    <t>£86m, +22.3% YoY, 
40.8% of GP</t>
  </si>
  <si>
    <t>The Board expects a full year outcome marginally ahead of previous expectations</t>
  </si>
  <si>
    <t>As we approach the end of our first half, we are now materially ahead of where we expected to be at this stage of the year</t>
  </si>
  <si>
    <t>Our second quarter has started well and I’m confident we will meet the Board’s expectations for the year</t>
  </si>
  <si>
    <t>We are confident of achieving further profitable growth in 2019.  Trading in the first ten weeks of the new financial year has been encouraging</t>
  </si>
  <si>
    <t>Adj.operating profit will be materially ahead of prior expectations</t>
  </si>
  <si>
    <t>£175m, +28.5% YoY</t>
  </si>
  <si>
    <t>£71m, +37.0% YoY, 
40.3% of GP</t>
  </si>
  <si>
    <t>The Board is confident that the Company will deliver full year results that are ahead of expectations.</t>
  </si>
  <si>
    <t>The Board is confident of meeting its expectations for the full year but we have some important  months ahead and will remain very focussed on delivering outstanding service for customers</t>
  </si>
  <si>
    <t>It's still early days but we are pleased with our good start to FY18 and our expecta ons for the full year are unchanged.</t>
  </si>
  <si>
    <t>It's very early days and there is still all to play for but we are where we would like to be at this stage</t>
  </si>
  <si>
    <t>The Board remains confident that the Company will deliver a strong result for the full year.</t>
  </si>
  <si>
    <t>£136m, +12.9% YoY</t>
  </si>
  <si>
    <t>£51m, +10.1%  YoY, 
37.7% of GP</t>
  </si>
  <si>
    <t>The Board is confident of meeting its expectations for the full year. Whilst trading in the first six weeks of the second half has been strong, we have some important months ahead and we remain focussed on the job in hand.</t>
  </si>
  <si>
    <t>Operating profit is expected to be weighted towards the second half</t>
  </si>
  <si>
    <t xml:space="preserve"> Board believes the Company is well placed to grow its market share in 2017 and it will maintain its focus on delivering profitable growth and strong cash conversion.</t>
  </si>
  <si>
    <t>The solid ongoing progress that the Company made during the third quarter gives the Board confidence that the business is well placed to deliver a strong performance for the full year.</t>
  </si>
  <si>
    <t>£121m, +17.5% YoY</t>
  </si>
  <si>
    <t>£47m, +15.2% YoY, 
38.7% of GP</t>
  </si>
  <si>
    <t>Softcat remains confident of meeting the Board's profit expectations</t>
  </si>
  <si>
    <t>The Company remains confident of achieving its performance objecves for the current financial year.</t>
  </si>
  <si>
    <t>SCT</t>
  </si>
  <si>
    <t>Performance vs. Market</t>
  </si>
  <si>
    <t>(GBP in mm unless otherwise noted)</t>
  </si>
  <si>
    <t>Market</t>
  </si>
  <si>
    <t>CCC (UK) - GP</t>
  </si>
  <si>
    <t>CYE December 31st</t>
  </si>
  <si>
    <t>Top 100 UK VARs - Revenue (Bn)</t>
  </si>
  <si>
    <t>&lt;&lt; Jefferies note</t>
  </si>
  <si>
    <t>FY18, and FY19 Commentary</t>
  </si>
  <si>
    <t>Call Notes</t>
  </si>
  <si>
    <t>1H17 Management Call</t>
  </si>
  <si>
    <t>"It was the really strong December that drove outperformance – largely caused by MSFT and VMware communicating a price increase in Jan 1, 2017 (UK only mostly to currency changes) and SCT was more active than peers in communicating the price increases and the opportunity. There was heavy MSFT and VMware spend in December but all vendors sold well, so it might also just be IT budgets being spent"</t>
  </si>
  <si>
    <t>"PC market came back as well in high volume but lower margin"</t>
  </si>
  <si>
    <t>"The overall UK sentiment is ‘OK’ – watching the Brexit proceedings, but expecting a long drawn out process"</t>
  </si>
  <si>
    <t>"The hybrid cloud solution seems to be working well – a lot of corporates don’t want to move to a whole public cloud solution "</t>
  </si>
  <si>
    <t>"GDPR – new legislation for next May – need to know where they have customer-level data available for customers. They have a lot of customers panicking about having to re-order their systems to meet that capability. That should be a nice piece of business"</t>
  </si>
  <si>
    <t>FY17 Management Call</t>
  </si>
  <si>
    <t>"Net net, we probably have been a benefactor of Brexit over the past year. At different stages, most of the vendors saw the GBP plummet and raised their prices; with the price increase, SCT was able sell extra in advance, and in other instances, the customer couldn’t have afforded it and SCT took a hit, but they held their margin percentage"</t>
  </si>
  <si>
    <t>"In the last two years, MSFT business has accelerated a bit and grown in line with SCT (so contribution has increased and stabilized recently).  Sales people are getting more comfortable working with MSFT the way MSFT would like them to"</t>
  </si>
  <si>
    <t>"Misco recently went bust so they have an opportunity to take their legacy customers"</t>
  </si>
  <si>
    <t>"(On EBIT growth beling lower than GP growth next year) Difference is the stimulus from Brexit has exhausted, and they benefitted from new programs being more successful/earlier than expected (printing services, first-line support for Cisco)"</t>
  </si>
  <si>
    <t>1H18 Management Call</t>
  </si>
  <si>
    <t>"The market is good for what we do – the UK IT economy is pretty good. There has been a big shift in organizations shifting IT from ‘keep the lights on’ to ‘how can we use it for our competitive advantage’""</t>
  </si>
  <si>
    <t>"The security market continues to be a big winner for us – especially with the publishing of data leaks and security breaches; GDPR legislation helps as well because people have to know more about managing and securing their data"</t>
  </si>
  <si>
    <t>"There’s also a lot of Windows 10 adoption, and as people upgrade, there’s a pretty big adoption cycle across hardware as well"</t>
  </si>
  <si>
    <t>"We are also getting the benefit for June 2016 and January 2017 price rises. They haven’t come back down, and we make more profit off higher price levels"</t>
  </si>
  <si>
    <t>"There are also some troubled organizations in our sector – Misco went BK in September so we picked up some share; others like Capital and BT have troubles that spill over IT fulfillment/resale businesses'</t>
  </si>
  <si>
    <t>FY18 Management Call</t>
  </si>
  <si>
    <t>"Last year and L6M especially were driven mostly by an exceptional market condition"</t>
  </si>
  <si>
    <t>"Everything went right with the business. Growth across the board – all customer segments grew SMBs, public sector, enterprise. Growth in all technologies. Every office grew GP at double digit rates and exceeded targets."</t>
  </si>
  <si>
    <t>"Adoption of hybrid cloud environments is probably the biggest driver. Hybrid cloud drives a lot of follow on work and related infrastructure spend. You see things like needing additional security investments, system monitoring, etc. Customers also need a lot of help with that, so value-added sales teams are advantaged there."</t>
  </si>
  <si>
    <t>"There were big security breaches at the start of our FY that elevated IT to the BoD level for a lot of customers (eg, WannaCry)"</t>
  </si>
  <si>
    <t>"There’s just a higher comfort level with adopting new technology"</t>
  </si>
  <si>
    <t>"There was also a sense of pent up demand with regard to Brexit"</t>
  </si>
  <si>
    <t>"Some more one-time items: Windows 10 refresh - another 18 months to run on the refresh - estimate that Windows10 had ~3% impact on growth; GDPR updates - More storage, storage management, and security - don’t think GDPR accounted for more than 3% of growth"</t>
  </si>
  <si>
    <t>"No major price change / FX impact pull-forward like in FY16 to worry about"</t>
  </si>
  <si>
    <t>FY18 Earnings Call</t>
  </si>
  <si>
    <t>"Our reported financial performance in FY '18 was driven by accelerating sales in the second half of the year in what was a very good market, and we continue to drive particularly strong cash conversion of those profits"</t>
  </si>
  <si>
    <t>"You'll have seen from industry reported results and analyst data that we've enjoyed a good market in 2018. And together with Softcat showing strong performance both factors have been affected in customer demand."</t>
  </si>
  <si>
    <t>"We expect the underlying appetite for customers to continue to invest in IT to continue into the future. Many of the drivers that we're seeing around GDPR and security, for example, will continue. But as I said before, we do expect overall market conditions and confidence to moderate somewhat in the coming 12 months."</t>
  </si>
  <si>
    <t>1HFY19 Earnings Call</t>
  </si>
  <si>
    <t>"Demand was broad-based across all key technology areas, business lines, office locations and corporate and Public Sector sales segments where I strongly believe that we're in the -- a technology-led investment cycle, and it's clear that the entities we serve are continuing to embrace digital transformation. And together with the vast amounts of data being created, this is driving a healthy demand for infrastructure solutions from our customers."</t>
  </si>
  <si>
    <t>"Public Sector entities across all verticals are looking to get ahead or stay ahead of their competitors with technology as a key element. Our industry is seeing demand in categories such as hyper converged, edge computing, software-defined Security, Hybrid Cloud and services across all these technologies and more."</t>
  </si>
  <si>
    <t>"A 19% increase in GP per customer on the same period in the prior year. There are several components to this increase. Firstly, we've driven a more focused approach, each of our longer-tenured account managers is now responsible for managing a reduced number of customers. At the same time, we've seen growing credibility in the marketplace around our ability to deliver across a wider portfolio where perception perhaps, for a while, lag reality"</t>
  </si>
  <si>
    <t>"we're seeing that many businesses are choosing to deal with a smaller number of technology partners. They're consolidating the technology partners that they're willing to deal with. And in that respect, we're one of a small number of resellers in the U.K. that can offer a significant breadth of solutions and services to take advantage of this trend."</t>
  </si>
  <si>
    <t>"We're investing further in our multinational sales-fulfillment processes and capabilities to enable incremental sales to our enterprise multinational customers. These are customers with whom the relationship is in the U.K., but where their needs extend to other markets in which they are present. This is an aggressive and defensive measure. We aim not only to retain their business in the U.K., but also participate incrementally to fulfill their requirements outside the U.K."</t>
  </si>
  <si>
    <t>"The strength of the market has certainly been a helpful factor for us throughout calendar year 2018, but we believe the underlying demand for IT infrastructure will be robust in the long term, but there's likely to be peaks and lulls within that as well"</t>
  </si>
  <si>
    <t>2HFY19 Earnings Call</t>
  </si>
  <si>
    <t>"I think the first thing to note is that the market continued to perform well and offers opportunities to grow. Our customers are continuing to digitize their business and are constantly updating their technology landscape to remain relevant and
competitive. Some of the drivers for customer spend include desires to embrace mobility, strengthen security, move to the cloud and update and refresh legacy systems and improve user experience for both customers and employees. Lending to spend that we saw across hyper converged, software-defined, digital workspace, security, cloud adoption often in a hybrid environment, and we're starting to see edge computing now feature more and more heavily in demand."</t>
  </si>
  <si>
    <t>"The demand that we've seen and growth continues to be broad-based across all technologies, customer segments and Softcat offices. And we believe that this healthy demand for infrastructure, hardware, software and services is set to continue through the medium term"</t>
  </si>
  <si>
    <t>"I'm sure also we've been building our credibility to great effect in the market around our ability to deliver high-quality design and deployment projects, particularly in our enterprise and our public sector accounts."</t>
  </si>
  <si>
    <t>"I was extremely pleased with our GP per customer progressions that I mentioned earlier. During the year, we channeled our sales teams to put more focus into fewer accounts, and this appears to have paid off in our GP per customer performance."</t>
  </si>
  <si>
    <t>"During last financial year, we opened branches in Singapore, Hong Kong, Australia and the U.S. to support our U.K. and Irish multinational enterprise customers with their overseas procurement and deployment. Think of these branches as operational hubs that have local relationships with vendors and distributors in order to create local capabilities for procurement, for pricing and sales tax management, just to name a few. The locations are driven by customer demand, and we have 1 employee in Singapore and 1 in the U.S. to deal with day-to-day matters on the ground on the same time zone as our customers' local operations"</t>
  </si>
  <si>
    <t>"We also intend to build on the progress we've made in 2019 around cybersecurity services and our cloud intelligence services that we highlighted this time last year, and we're making further investments in public sector where we're looking to grow our presence in central government and defense in particular."</t>
  </si>
  <si>
    <t>"And you can clearly see here that we're able to maintain that new level of productivity in 2019. And we believe 2 factors working together have driven this uplift. Firstly, our broader and deeper technical capability, brought about by our investment in people and skills since the IPO, that enables us to gain a bigger share of wallet with customers. And secondly, the general strength of the market that we operate in over the last 2 years, and especially the coming of age of exciting new technologies and the willingness and need of customers to adopt new models of storage, compute, security, data management and so on."</t>
  </si>
  <si>
    <t>"We've achieved this acceleration as a result of our strengthened capabilities and the coincidence of that strengthening with the desire and need of customers to embrace change. We've accentuated this by an internal focus on going deeper with individual accounts"</t>
  </si>
  <si>
    <t>"To put that another way, our early-stage salespeople are achieving very, very similar gross profit numbers in total to our historic norm, but they are doing it with fewer customers. They're able to go broader and deeper earlier with our improved proposition. So the increase in GP per customer that you see here on overall level has a contribution from both existing and new customers."</t>
  </si>
  <si>
    <t>GP growth vs. BYIT vs. CCC vs. Sales at CDW Other</t>
  </si>
  <si>
    <r>
      <t>SCT FYE July 31st</t>
    </r>
    <r>
      <rPr>
        <u val="singleAccounting"/>
        <sz val="10"/>
        <rFont val="Calibri"/>
        <family val="2"/>
        <scheme val="minor"/>
      </rPr>
      <t xml:space="preserve">; </t>
    </r>
    <r>
      <rPr>
        <i/>
        <u val="singleAccounting"/>
        <sz val="10"/>
        <rFont val="Calibri"/>
        <family val="2"/>
        <scheme val="minor"/>
      </rPr>
      <t>BYIT FYE Feb 28th; CCC and CDW FYE Dec 31st</t>
    </r>
  </si>
  <si>
    <t>1H FY25</t>
  </si>
  <si>
    <t>BYIT</t>
  </si>
  <si>
    <t>CCC (UK)</t>
  </si>
  <si>
    <t>CDW (Other), Sales in USD</t>
  </si>
  <si>
    <t>Growth %</t>
  </si>
  <si>
    <t>GBP in mm</t>
  </si>
  <si>
    <t>10 yr</t>
  </si>
  <si>
    <t>12yr</t>
  </si>
  <si>
    <t>5 yr</t>
  </si>
  <si>
    <t>Margin of GP %</t>
  </si>
  <si>
    <t>Employees (EoP)</t>
  </si>
  <si>
    <t>Employee Engagement Score %</t>
  </si>
  <si>
    <t>NSIT</t>
  </si>
  <si>
    <t>BC8</t>
  </si>
  <si>
    <t>GP per Employee (3 yr avg.), GBP in '000s</t>
  </si>
  <si>
    <t>EBIT per Employee (3 yr avg.), GBP in '000s</t>
  </si>
  <si>
    <t>Organic 3yr GP CAGR</t>
  </si>
  <si>
    <t>LTM Operating Costs</t>
  </si>
  <si>
    <t>NTM P/E Multiple (avg.)</t>
  </si>
  <si>
    <t>LTM Operating Margin of GP %</t>
  </si>
  <si>
    <t>Operating Profit Margin of GP %</t>
  </si>
  <si>
    <t>Dates</t>
  </si>
  <si>
    <r>
      <rPr>
        <sz val="11"/>
        <color theme="1"/>
        <rFont val="Calibri"/>
        <family val="2"/>
        <scheme val="minor"/>
      </rPr>
      <t>Softcat plc (LSE:SCT) - Dividend Adjusted Share Pricing</t>
    </r>
  </si>
  <si>
    <r>
      <rPr>
        <sz val="11"/>
        <color theme="1"/>
        <rFont val="Calibri"/>
        <family val="2"/>
        <scheme val="minor"/>
      </rPr>
      <t>Softcat plc (LSE:SCT) - Forward P/E</t>
    </r>
  </si>
  <si>
    <t>2024E</t>
  </si>
  <si>
    <t>2025E</t>
  </si>
  <si>
    <t>2026E</t>
  </si>
  <si>
    <t>2027E</t>
  </si>
  <si>
    <t>Predicting growth</t>
  </si>
  <si>
    <t>* pace of hiring? Market share? Market growth?</t>
  </si>
  <si>
    <t xml:space="preserve">Margin expansion </t>
  </si>
  <si>
    <t>Downturn</t>
  </si>
  <si>
    <t>will there be a big capex investment in mgd services infrastructure?</t>
  </si>
  <si>
    <t>what portion of revenue / GP are the rebates? How have those trended over time? What's the risk?</t>
  </si>
  <si>
    <t>Tax rate ongoing and with UK changes?</t>
  </si>
  <si>
    <t xml:space="preserve">Industry sources in Prospectus </t>
  </si>
  <si>
    <t>Source</t>
  </si>
  <si>
    <t>Data</t>
  </si>
  <si>
    <t>Comment</t>
  </si>
  <si>
    <t>Channel Web</t>
  </si>
  <si>
    <t>SCT is one of the top five VARs in the UK in 2014</t>
  </si>
  <si>
    <t>IDC</t>
  </si>
  <si>
    <t>UK spend on HW and SW to grow from GBP 25B in 2014 to GBP 29B in 2018</t>
  </si>
  <si>
    <t>SMEs (&lt;1K employees) are 48%, enterprises (&gt;1K employees) are 36%, and pubic sector orgs are 16% of HW and SW spend in the UK</t>
  </si>
  <si>
    <t>No VAR has greater than 13% of the market as of 2014; SCT ~5%</t>
  </si>
  <si>
    <t>IT security products expected to grow 7% CAGR through 2018 in UK</t>
  </si>
  <si>
    <t>Gartner</t>
  </si>
  <si>
    <t>Public cloud usage expected to grow 18% CAGR through 2018 in UK</t>
  </si>
  <si>
    <t>DueDil</t>
  </si>
  <si>
    <t>60K SMEs (10-2,500 employees), 3K enterprises (2,500+ employees), and 33K public sector orgs in the UK</t>
  </si>
  <si>
    <t>SCT works with 8.9K SMEs, 400 enterprise clients, and 2.1K public sector clients</t>
  </si>
  <si>
    <t>SMEs increasing spend on IT HW and SW at 7.6% CAGR from 2011-2014</t>
  </si>
  <si>
    <t>AwABTAVMT0NBTAFI/////wFQRQEAAChDSVEuU0NULklRX1NBTEVfSU5UQU5fQ0YuOTk0Li4uLlJFUE9SVEVEAQAAACF4jA4DAAAAAACQDZ0y0aPWCMlusDLRo9YILUNJUS5TQ1QuSVFfRUZGRUNUSVZFX1RBWF9FU1QuMTAwMS4uLi5SRVBPUlRFRAEAAAAheIwOAwAAAAAAsludMtGj1ghezrEy0aPWCCVDSVEuU0NULklRX0NPTU1PTl9SRVAuOTk5Li4uLlJFUE9SVEVEAQAAACF4jA4DAAAAAABvv5wy0aPWCC1ZsTLRo9YIKUNJUS5TQ1QuSVFfQ0FTSF9TVF9JTlZFU1QuOTkwLi4uLlJFUE9SVEVEAQAAACF4jA4DAAAAAAChNJ0y0aPWCIfSrzLRo9YIKENJUS5TQ1QuSVFfRVNUX0FDVF9FUFNfTk9STS4uLi4uUkVQT1JURUQBAAAAIXiMDgMAAAAAAKE0nTLRo9YIoTSdMtGj1ggvQ0lRLlNDVC5JUV9NSU5PUklUWV9JTlRFUkVTVF9JUy45OTIuLi4uUkVQT1JURUQBAAAAIXiMDgMAAAAAAPeTWjPRo9YIQqFdM9Gj1gg0Q0lRLlNDVC5JUV9TUEVDSUFMX0RJVl9DRi4yMDAwLjEyLzMxLzIwMTcuLi5SRVBPUlRFRAEAAAAheIwOAwAAAAAAQw4EM9Gj1giXjAkz0aPWCBtDSVEuU0NULklRX0RJTFVUX1dFSUdIVC45OTIBAAAAIXiMDgMAAAAAAJANnTLRo9YIuEewMtGj1ggpQ0lRLlNDVC5JUV9DT01NT05fRElWX0NGLjIwMDAuLi4uUkVQT1JURUQBAAAAIXiMDgMAAAAAAF+YnDLRo9YINKIIM9Gj1ggqQ0lRLlNDVC5J</t>
  </si>
  <si>
    <t>UV9FRkZFQ1RfVEFYX1JBVEUuOTkwLi4uLlJFUE9SVEVEAQAAACF4jA4DAAAAAAChNJ0y0aPWCJf5rzLRo9YIK0NJUS5TQ1QuSVFfTkVUX0lOVEVSRVNUX0VYUC45OTkuLi4uUkVQT1JURUQBAAAAIXiMDgMAAAAAAEMOBDPRo9YIAi0IM9Gj1ggqQ0lRLlNDVC5JUV9DQVNIX0FDUVVJUkVfQ0YuOTk0Li4uLlJFUE9SVEVEAQAAACF4jA4DAAAAAACQDZ0y0aPWCMlusDLRo9YIM0NJUS5TQ1QuSVFfQ09NTU9OX0RJVl9DRi4yMDAwLjEyLzMxLzIwMTcuLi5SRVBPUlRFRAEAAAAheIwOAwAAAAAAQw4EM9Gj1giXjAkz0aPWCCNDSVEuU0NULklRX0VQU19FU1QuMTAwMi4uLi5SRVBPUlRFRAEAAAAheIwOAwAAAAAAsludMtGj1ggtWbEy0aPWCChDSVEuU0NULklRX0NPTU1PTl9ESVZfQ0YuOTk4Li4uLlJFUE9SVEVEAQAAACF4jA4DAAAAAABvv5wy0aPWCBwysTLRo9YIIENJUS5TQ1QuSVFfREFfQ0YuOTkyLi4uLlJFUE9SVEVEAQAAACF4jA4DAAAAAACQDZ0y0aPWCKggsDLRo9YIK0NJUS5TQ1QuSVFfTkVUX0lOVEVSRVNUX0VYUC45OTcuLi4uUkVQT1JURUQBAAAAIXiMDgIAAAAJLTAuMDYzMDE4AQgAAAAFAAAAATEBAAAACjE4NTkxNDMxOTcDAAAAATkCAAAAAzM2OAQAAAABMAcAAAAIMy84LzIwMTkIAAAACTYvMzAvMjAxNQkAAAABMFM1BDPRo9YIE1QIM9Gj1gglQ0lRLlNDVC5JUV9UT1RBTF9ERUJULjk5My4u</t>
  </si>
  <si>
    <t>Li5SRVBPUlRFRAEAAAAheIwOAwAAAAAAkA2dMtGj1gjJbrAy0aPWCCFDSVEuU0NULklRX0VCSVREQS45OTAuLi4uUkVQT1JURUQBAAAAIXiMDgMAAAAAAKE0nTLRo9YIh9KvMtGj1ggsQ0lRLlNDVC5JUV9FU1RfQUNUX0VQU19OT1JNLjEwMDAuLi4uUkVQT1JURUQBAAAAIXiMDgMAAAAAALJbnTLRo9YIPYCxMtGj1ggkQ0lRLlNDVC5JUV9DQVNIX09QRVIuOTkyLi4uLlJFUE9SVEVEAQAAACF4jA4DAAAAAACQDZ0y0aPWCKggsDLRo9YIKkNJUS5TQ1QuSVFfU1BFQ0lBTF9ESVZfQ0YuMTAwMC4uLi5SRVBPUlRFRAEAAAAheIwOAwAAAAAAX5icMtGj1gg9gLEy0aPWCCdDSVEuU0NULklRX1JFVkVOVUVfRVNULjEwMDIuLi4uUkVQT1JURUQBAAAAIXiMDgMAAAAAALJbnTLRo9YILVmxMtGj1ggrQ0lRLlNDVC5JUV9EQV9DRi4yMDAwLjEyLzMxLzIwMTcuLi5SRVBPUlRFRAEAAAAheIwOAgAAAAgwLjE2Nzk0NQEIAAAABQAAAAExAQAAAAoxOTQ3NzE0NzM5AwAAAAE5AgAAAAQyMTYwBAAAAAEwBwAAAAoxMi8zMS8yMDE3CAAAAAoxMi8zMS8yMDE3CQAAAAEwQw4EM9Gj1giXjAkz0aPWCCxDSVEuU0NULklRX0lOVEVSRVNUX0VYUF9FU1QuMTAwMS4uLi5SRVBPUlRFRAEAAAAheIwOAwAAAAAAsludMtGj1ghezrEy0aPWCCBDSVEuU0NULklRX0NBUEVYLjk5OS4uLi5SRVBPUlRFRAEAAAAheIwOAgAAAAktMC4xMDEx</t>
  </si>
  <si>
    <t>MTMBCAAAAAUAAAABMQEAAAAKMTkxMDI3NDQ2NgMAAAABOQIAAAAEMjAyMQQAAAABMAcAAAAIMy84LzIwMTkIAAAACTYvMzAvMjAxNwkAAAABMG+/nDLRo9YIPYCxMtGj1gglQ0lRLlNDVC5JUV9TQUxFX0lOVEFOX0NGLi4uLi5SRVBPUlRFRAEAAAAheIwOAwAAAAAATnGcMtGj1ghOcZwy0aPWCCBDSVEuU0NULklRX0RBX0NGLjk5MS4uLi5SRVBPUlRFRAEAAAAheIwOAwAAAAAAoTSdMtGj1gioILAy0aPWCCpDSVEuU0NULklRX0VGRkVDVF9UQVhfUkFURS45OTcuLi4uUkVQT1JURUQBAAAAIXiMDgMAAAAAAIDmnDLRo9YICwuxMtGj1ggeQ0lRLlNDVC5JUV9FQklUREEuLi4uLlJFUE9SVEVEAQAAACF4jA4CAAAACC0yLjA4NjEyAQgAAAAFAAAAATEBAAAACjE5NDc3MTQ1NzMDAAAAATkCAAAABDQwNTEEAAAAATAHAAAACDMvOC8yMDE5CAAAAAoxMi8zMS8yMDE4CQAAAAEwTnGcMtGj1ghOcZwy0aPWCCVDSVEuU0NULklRX0NBU0hfVEFYRVMuOTkxLi4uLlJFUE9SVEVEAQAAACF4jA4DAAAAAAChNJ0y0aPWCJf5rzLRo9YIIENJUS5TQ1QuSVFfREFfQ0YuOTk4Li4uLlJFUE9SVEVEAQAAACF4jA4CAAAACDAuMDU1NzkxAQgAAAAFAAAAATEBAAAACjE4NTkxNDMxNzADAAAAATkCAAAABDIxNjAEAAAAATAHAAAACDMvOC8yMDE5CAAAAAk2LzMwLzIwMTYJAAAAATBvv5wy0aPWCBwysTLRo9YIK0NJUS5TQ1QuSVFf</t>
  </si>
  <si>
    <t>Q0FQRVguMjAwMC4xMi8zMS8yMDE3Li4uUkVQT1JURUQBAAAAIXiMDgIAAAAJLTAuMDI2MDg2AQgAAAAFAAAAATEBAAAACjE5NDc3MTQ3MzkDAAAAATkCAAAABDIwMjEEAAAAATAHAAAACjEyLzMxLzIwMTcIAAAACjEyLzMxLzIwMTcJAAAAATBDDgQz0aPWCJeMCTPRo9YIIUNJUS5TQ1QuSVFfQ0FQRVguMjAwMC4uLi5SRVBPUlRFRAEAAAAheIwOAwAAAAAAX5icMtGj1gg0oggz0aPWCCRDSVEuU0NULklRX1RPVEFMX1JFVi45OTIuLi4uUkVQT1JURUQBAAAAIXiMDgMAAAAAAJANnTLRo9YIqCCwMtGj1gglQ0lRLlNDVC5JUV9UT1RBTF9SRVYuMTAwMC4uLi5SRVBPUlRFRAEAAAAheIwOAgAAAAgxLjg5MzAwOQEIAAAABQAAAAExAQAAAAoxOTEwMjc0NDY5AwAAAAE5AgAAAAIyOAQAAAABMAcAAAAIMy84LzIwMTkIAAAACTYvMzAvMjAxOAkAAAABMF+YnDLRo9YIPYCxMtGj1ggrQ0lRLlNDVC5JUV9ORVRfSU5URVJFU1RfRVhQLjk5Ni4uLi5SRVBPUlRFRAEAAAAheIwOAwAAAAAAUzUEM9Gj1ggTVAgz0aPWCCpDSVEuU0NULklRX0NBU0hfU1RfSU5WRVNULjEwMDAuLi4uUkVQT1JURUQBAAAAIXiMDgIAAAAIMC4yNjk2MTYBCAAAAAUAAAABMQEAAAAKMTkxMDI3NDQ2OQMAAAABOQIAAAAEMTAwMgQAAAABMAcAAAAIMy84LzIwMTkIAAAACTYvMzAvMjAxOAkAAAABMF+YnDLRo9YIPYCxMtGj1ggkQ0lRLlNDVC5J</t>
  </si>
  <si>
    <t>UV9DQVNIX09QRVIuOTkxLi4uLlJFUE9SVEVEAQAAACF4jA4DAAAAAAChNJ0y0aPWCKggsDLRo9YIKkNJUS5TQ1QuSVFfQ0FTSF9BQ1FVSVJFX0NGLjk5MS4uLi5SRVBPUlRFRAEAAAAheIwOAwAAAAAAoTSdMtGj1giX+a8y0aPWCCJDSVEuU0NULklRX0VCSVREQS4yMDAwLi4uLlJFUE9SVEVEAQAAACF4jA4CAAAACC0yLjA4NjEyAQgAAAAFAAAAATEBAAAACjE5NDc3MTQ1NzMDAAAAATkCAAAABDQwNTEEAAAAATAHAAAACDMvOC8yMDE5CAAAAAoxMi8zMS8yMDE4CQAAAAEwX5icMtGj1gg0oggz0aPWCCVDSVEuU0NULklRX0NPTU1PTl9SRVAuOTk1Li4uLlJFUE9SVEVEAQAAACF4jA4DAAAAAACQDZ0y0aPWCNqVsDLRo9YIG0NJUS5TQ1QuSVFfUEVSSU9EREFURS4xMDAwLgEAAAAheIwOBQAAAAk2LzMwLzIwMTgAQw4EM9Gj1ghEyQgz0aPWCCRDSVEuU0NULklRX1RPVEFMX1JFVi45OTguLi4uUkVQT1JURUQBAAAAIXiMDgIAAAAIMi40ODg2NTgBCAAAAAUAAAABMQEAAAAKMTg1OTE0MzE3MAMAAAABOQIAAAACMjgEAAAAATAHAAAACDMvOC8yMDE5CAAAAAk2LzMwLzIwMTYJAAAAATBvv5wy0aPWCBwysTLRo9YIGUNJUS5TQ1QuSVFfRElMVVRfV0VJR0hULi4BAAAAIXiMDgIAAAAKMTA4LjQyMjEyNgA+Spwy0aPWCD5KnDLRo9YIKUNJUS5TQ1QuSVFfU1BFQ0lBTF9ESVZfQ0YuOTkyLi4uLlJFUE9SVEVEAQAA</t>
  </si>
  <si>
    <t>ACF4jA4DAAAAAACQDZ0y0aPWCKggsDLRo9YIKENJUS5TQ1QuSVFfU0FMRV9JTlRBTl9DRi45OTkuLi4uUkVQT1JURUQBAAAAIXiMDgMAAAAAAG+/nDLRo9YILVmxMtGj1ggqQ0lRLlNDVC5JUV9TVE9DS19CQVNFRF9DRi4yMDAwLi4uLlJFUE9SVEVEAQAAACF4jA4CAAAACDAuMjc3NzI2AQgAAAAFAAAAATEBAAAACjE5NDc3MTQ1NzMDAAAAATkCAAAABDIxMjcEAAAAATAHAAAACDMvOC8yMDE5CAAAAAoxMi8zMS8yMDE4CQAAAAEwX5icMtGj1ghEyQgz0aPWCBpDSVEuU0NULklRX1BFUklPRERBVEUuOTkzLgEAAAAheIwOAwAAAAAAQw4EM9Gj1ghV8Agz0aPWCCxDSVEuU0NULklRX0dXX0lOVEFOX0FNT1JUX0NGLjk5MC4uLi5SRVBPUlRFRAEAAAAheIwOAwAAAAAAoTSdMtGj1giH0q8y0aPWCCBDSVEuU0NULklRX0NBUEVYLjk5My4uLi5SRVBPUlRFRAEAAAAheIwOAwAAAAAAkA2dMtGj1gjJbrAy0aPWCClDSVEuU0NULklRX1NUT0NLX0JBU0VEX0NGLjk5OS4uLi5SRVBPUlRFRAEAAAAheIwOAwAAAAAAb7+cMtGj1ggtWbEy0aPWCClDSVEuU0NULklRX1NUT0NLX0JBU0VEX0NGLjk5Ny4uLi5SRVBPUlRFRAEAAAAheIwOAgAAAAgwLjI4NTg1NwEIAAAABQAAAAExAQAAAAoxODU5MTQzMTk3AwAAAAE5AgAAAAQyMTI3BAAAAAEwBwAAAAgzLzgvMjAxOQgAAAAJNi8zMC8yMDE1CQAAAAEwgOacMtGj1ggLC7Ey</t>
  </si>
  <si>
    <t>0aPWCBpDSVEuU0NULklRX1BFUklPRERBVEUuOTkyLgEAAAAheIwOAwAAAAAAQw4EM9Gj1ghV8Agz0aPWCB9DSVEuU0NULklRX0VQU19FU1QuLi4uLlJFUE9SVEVEAQAAACF4jA4DAAAAAAChNJ0y0aPWCKE0nTLRo9YIIkNJUS5TQ1QuSVFfRUJJVERBLjEwMDAuLi4uUkVQT1JURUQBAAAAIXiMDgIAAAAJLTMuMjU0NTk2AQgAAAAFAAAAATEBAAAACjE5MTAyNzQ0NjkDAAAAATkCAAAABDQwNTEEAAAAATAHAAAACDMvOC8yMDE5CAAAAAk2LzMwLzIwMTgJAAAAATBfmJwy0aPWCD2AsTLRo9YIJUNJUS5TQ1QuSVFfQ0FTSF9UQVhFUy45OTAuLi4uUkVQT1JURUQBAAAAIXiMDgMAAAAAAKE0nTLRo9YIh9KvMtGj1gg1Q0lRLlNDVC5JUV9DQVNIX0FDUVVJUkVfQ0YuMjAwMC4xMi8zMS8yMDE3Li4uUkVQT1JURUQBAAAAIXiMDgMAAAAAAEMOBDPRo9YIqLMJM9Gj1ggiQ0lRLlNDVC5JUV9QRVJJT0REQVRFLjk5Ni4zLzgvMjAxOQEAAAAheIwOBQAAAAk2LzMwLzIwMTQAgOacMtGj1gh2Pgkz0aPWCCpDSVEuU0NULklRX1NQRUNJQUxfRElWX0NGLjIwMDAuLi4uUkVQT1JURUQBAAAAIXiMDgMAAAAAAF+YnDLRo9YINKIIM9Gj1ggjQ0lRLlNDVC5JUV9QRVJJT0REQVRFLjIwMDAuMy84LzIwMTkBAAAAIXiMDgUAAAAKMTIvMzEvMjAxOABvv5wy0aPWCIdlCTPRo9YIIUNJUS5TQ1QuSVFfRUJJVERBLjk5OS4uLi5SRVBP</t>
  </si>
  <si>
    <t>UlRFRAEAAAAheIwOAgAAAAktMi42Mjg0MzYBCAAAAAUAAAABMQEAAAAKMTkxMDI3NDQ2NgMAAAABOQIAAAAENDA1MQQAAAABMAcAAAAIMy84LzIwMTkIAAAACTYvMzAvMjAxNwkAAAABMG+/nDLRo9YILVmxMtGj1ggsQ0lRLlNDVC5JUV9ORVRfSU5URVJFU1RfRVhQLjIwMDAuLi4uUkVQT1JURUQBAAAAIXiMDgIAAAAIMC4wMDMzMTIBCAAAAAUAAAABMQEAAAAKMTk0NzcxNDU3MwMAAAABOQIAAAADMzY4BAAAAAEwBwAAAAgzLzgvMjAxOQgAAAAKMTIvMzEvMjAxOAkAAAABMEMOBDPRo9YII3sIM9Gj1ggaQ0lRLlNDVC5JUV9QRVJJT0REQVRFLjk5MC4BAAAAIXiMDgMAAAAAAEMOBDPRo9YIRMkIM9Gj1ggpQ0lRLlNDVC5JUV9TVE9DS19CQVNFRF9DRi45OTUuLi4uUkVQT1JURUQBAAAAIXiMDgMAAAAAAIDmnDLRo9YI2pWwMtGj1ggiQ0lRLlNDVC5JUV9QRVJJT0REQVRFLjk5OS4zLzgvMjAxOQEAAAAheIwOBQAAAAk2LzMwLzIwMTcAb7+cMtGj1giHZQkz0aPWCCRDSVEuU0NULklRX1RPVEFMX1JFVi45OTcuLi4uUkVQT1JURUQBAAAAIXiMDgIAAAAIMC44OTkxMTkBCAAAAAUAAAABMQEAAAAKMTg1OTE0MzE5NwMAAAABOQIAAAACMjgEAAAAATAHAAAACDMvOC8yMDE5CAAAAAk2LzMwLzIwMTUJAAAAATCA5pwy0aPWCAsLsTLRo9YIIENJUS5TQ1QuSVFfREFfQ0YuOTkzLi4uLlJFUE9SVEVEAQAAACF4jA4D</t>
  </si>
  <si>
    <t>AAAAAACQDZ0y0aPWCMlusDLRo9YIKkNJUS5TQ1QuSVFfRUZGRUNUX1RBWF9SQVRFLjk5NC4uLi5SRVBPUlRFRAEAAAAheIwOAwAAAAAAkA2dMtGj1gjalbAy0aPWCCBDSVEuU0NULklRX0NBUEVYLjk5OC4uLi5SRVBPUlRFRAEAAAAheIwOAwAAAAAAb7+cMtGj1ggtWbEy0aPWCCxDSVEuU0NULklRX0dXX0lOVEFOX0FNT1JUX0NGLjk5OC4uLi5SRVBPUlRFRAEAAAAheIwOAwAAAAAAb7+cMtGj1ggcMrEy0aPWCCpDSVEuU0NULklRX0NBU0hfQUNRVUlSRV9DRi45OTIuLi4uUkVQT1JURUQBAAAAIXiMDgMAAAAAAJANnTLRo9YIuEewMtGj1ggvQ0lRLlNDVC5JUV9NSU5PUklUWV9JTlRFUkVTVF9JUy45OTAuLi4uUkVQT1JURUQBAAAAIXiMDgMAAAAAAPeTWjPRo9YIQqFdM9Gj1ggrQ0lRLlNDVC5JUV9ORVRfSU5URVJFU1RfRVhQLjk5NC4uLi5SRVBPUlRFRAEAAAAheIwOAwAAAAAAUzUEM9Gj1gjxBQgz0aPWCClDSVEuU0NULklRX0NBU0hfU1RfSU5WRVNULjk5My4uLi5SRVBPUlRFRAEAAAAheIwOAwAAAAAAkA2dMtGj1gi4R7Ay0aPWCCdDSVEuU0NULklRX0VGRkVDVF9UQVhfUkFURS4uLi4uUkVQT1JURUQBAAAAIXiMDgMAAAAAAF+YnDLRo9YIX5icMtGj1ggiQ0lRLlNDVC5JUV9QRVJJT0REQVRFLjUwMC4zLzgvMjAxOQEAAAAheIwOBQAAAAoxMi8zMS8yMDE4AG+/nDLRo9YIh2UJM9Gj1gglQ0lRLlND</t>
  </si>
  <si>
    <t>VC5JUV9DQVNIX1RBWEVTLjk5OC4uLi5SRVBPUlRFRAEAAAAheIwOAwAAAAAAb7+cMtGj1ggcMrEy0aPWCClDSVEuU0NULklRX1NUT0NLX0JBU0VEX0NGLjk5Mi4uLi5SRVBPUlRFRAEAAAAheIwOAwAAAAAAkA2dMtGj1gioILAy0aPWCDVDSVEuU0NULklRX0VGRkVDVF9UQVhfUkFURS4yMDAwLjEyLzMxLzIwMTcuLi5SRVBPUlRFRAEAAAAheIwOAwAAAAAAQw4EM9Gj1giXjAkz0aPWCCpDSVEuU0NULklRX0VGRkVDVF9UQVhfUkFURS45OTkuLi4uUkVQT1JURUQBAAAAIXiMDgMAAAAAAG+/nDLRo9YILVmxMtGj1ggiQ0lRLlNDVC5JUV9EQV9FU1QuMTAwMS4uLi5SRVBPUlRFRAEAAAAheIwOAwAAAAAAsludMtGj1ghezrEy0aPWCCVDSVEuU0NULklRX1RPVEFMX1JFVi4yMDAwLi4uLlJFUE9SVEVEAQAAACF4jA4CAAAACDIuNzc1NzU3AQgAAAAFAAAAATEBAAAACjE5NDc3MTQ1NzMDAAAAATkCAAAAAjI4BAAAAAEwBwAAAAgzLzgvMjAxOQgAAAAKMTIvMzEvMjAxOAkAAAABMF+YnDLRo9YINKIIM9Gj1gglQ0lRLlNDVC5JUV9DT01NT05fUkVQLjk5My4uLi5SRVBPUlRFRAEAAAAheIwOAwAAAAAAkA2dMtGj1gjJbrAy0aPWCCdDSVEuU0NULklRX1JFVkVOVUVfRVNULjEwMDEuLi4uUkVQT1JURUQBAAAAIXiMDgMAAAAAALJbnTLRo9YILVmxMtGj1ggaQ0lRLlNDVC5JUV9QRVJJT0REQVRFLjk5Ny4BAAAAIXiM</t>
  </si>
  <si>
    <t>DgUAAAAJNi8zMC8yMDE1AEMOBDPRo9YIRMkIM9Gj1ggpQ0lRLlNDVC5JUV9DQVNIX1NUX0lOVkVTVC45OTIuLi4uUkVQT1JURUQBAAAAIXiMDgMAAAAAAJANnTLRo9YIqCCwMtGj1ggkQ0lRLlNDVC5JUV9DQVNIX09QRVIuOTkzLi4uLlJFUE9SVEVEAQAAACF4jA4DAAAAAACQDZ0y0aPWCMlusDLRo9YIGkNJUS5TQ1QuSVFfUEVSSU9EREFURS45OTYuAQAAACF4jA4FAAAACTYvMzAvMjAxNABDDgQz0aPWCFXwCDPRo9YIJUNJUS5TQ1QuSVFfVE9UQUxfREVCVC45OTYuLi4uUkVQT1JURUQBAAAAIXiMDgIAAAABMAEIAAAABQAAAAExAQAAAAoxODU5MTQzMTgxAwAAAAE5AgAAAAQ0MTczBAAAAAEwBwAAAAgzLzgvMjAxOQgAAAAJNi8zMC8yMDE0CQAAAAEwgOacMtGj1gjqvLAy0aPWCBtDSVEuU0NULklRX0RJTFVUX1dFSUdIVC45OTkBAAAAIXiMDgIAAAAENjkuOQBvv5wy0aPWCC1ZsTLRo9YILUNJUS5TQ1QuSVFfRUZGRUNUSVZFX1RBWF9FU1QuMTAwMy4uLi5SRVBPUlRFRAEAAAAheIwOAwAAAAAAsludMtGj1ggtWbEy0aPWCCVDSVEuU0NULklRX0NBU0hfVEFYRVMuOTk0Li4uLlJFUE9SVEVEAQAAACF4jA4DAAAAAACQDZ0y0aPWCMlusDLRo9YIJUNJUS5TQ1QuSVFfVE9UQUxfREVCVC45OTEuLi4uUkVQT1JURUQBAAAAIXiMDgMAAAAAAKE0nTLRo9YIl/mvMtGj1ggvQ0lRLlNDVC5JUV9NSU5PUklUWV9J</t>
  </si>
  <si>
    <t>TlRFUkVTVF9JUy45OTUuLi4uUkVQT1JURUQBAAAAIXiMDgMAAAAAAPeTWjPRo9YIU8hdM9Gj1ggpQ0lRLlNDVC5JUV9TQUxFX0lOVEFOX0NGLjIwMDAuLi4uUkVQT1JURUQBAAAAIXiMDgMAAAAAAF+YnDLRo9YITqexMtGj1gglQ0lRLlNDVC5JUV9DQVBFWF9FU1QuMTAwMi4uLi5SRVBPUlRFRAEAAAAheIwOAwAAAAAAsludMtGj1ghezrEy0aPWCCxDSVEuU0NULklRX0dXX0lOVEFOX0FNT1JUX0NGLjk5Ni4uLi5SRVBPUlRFRAEAAAAheIwOAwAAAAAAgOacMtGj1gj747Ay0aPWCClDSVEuU0NULklRX1NQRUNJQUxfRElWX0NGLjk5MS4uLi5SRVBPUlRFRAEAAAAheIwOAwAAAAAAoTSdMtGj1giX+a8y0aPWCChDSVEuU0NULklRX1NBTEVfSU5UQU5fQ0YuOTkyLi4uLlJFUE9SVEVEAQAAACF4jA4DAAAAAACQDZ0y0aPWCLhHsDLRo9YIIkNJUS5TQ1QuSVFfQ0FTSF9UQVhFUy4uLi4uUkVQT1JURUQBAAAAIXiMDgMAAAAAAE5xnDLRo9YITnGcMtGj1ggcQ0lRLlNDVC5JUV9ESUxVVF9XRUlHSFQuMTAwMAEAAAAheIwOAgAAAAk5MS4zMTU3NTcAX5icMtGj1gg9gLEy0aPWCChDSVEuU0NULklRX1NBTEVfSU5UQU5fQ0YuOTkxLi4uLlJFUE9SVEVEAQAAACF4jA4DAAAAAAChNJ0y0aPWCKggsDLRo9YIIkNJUS5TQ1QuSVFfREFfQ0YuSVFfRlEuLi4uUkVQT1JURUQBAAAAIXiMDgIAAAAIMC4wMDU5NjQBCAAAAAUA</t>
  </si>
  <si>
    <t>AAABMQEAAAAKMTk0NzcxMzkwOQMAAAABOQIAAAAEMjE2MAQAAAABMAcAAAAIMy84LzIwMTkIAAAACjEyLzMxLzIwMTgJAAAAATCA5pwy0aPWCIDmnDLRo9YIIkNJUS5TQ1QuSVFfTklfRVNULjEwMDMuLi4uUkVQT1JURUQBAAAAIXiMDgMAAAAAALJbnTLRo9YILVmxMtGj1gglQ0lRLlNDVC5JUV9DQVBFWF9FU1QuMTAwMS4uLi5SRVBPUlRFRAEAAAAheIwOAwAAAAAAsludMtGj1ghezrEy0aPWCCJDSVEuU0NULklRX1BFUklPRERBVEUuOTk3LjMvOC8yMDE5AQAAACF4jA4FAAAACTYvMzAvMjAxNQCA5pwy0aPWCJeMCTPRo9YIKUNJUS5TQ1QuSVFfQ0FTSF9TVF9JTlZFU1QuOTk5Li4uLlJFUE9SVEVEAQAAACF4jA4CAAAACDAuMDM1NTA5AQgAAAAFAAAAATEBAAAACjE5MTAyNzQ0NjYDAAAAATkCAAAABDEwMDIEAAAAATAHAAAACDMvOC8yMDE5CAAAAAk2LzMwLzIwMTcJAAAAATBvv5wy0aPWCD2AsTLRo9YILUNJUS5TQ1QuSVFfR1dfSU5UQU5fQU1PUlRfQ0YuMTAwMC4uLi5SRVBPUlRFRAEAAAAheIwOAwAAAAAAX5icMtGj1gg9gLEy0aPWCC9DSVEuU0NULklRX01JTk9SSVRZX0lOVEVSRVNUX0lTLjk5Ni4uLi5SRVBPUlRFRAEAAAAheIwOAwAAAAAA95NaM9Gj1gh0Fl4z0aPWCC1DSVEuU0NULklRX05FVF9JTlRFUkVTVF9FWFAuSVFfRlEuLi4uUkVQT1JURUQBAAAAIXiMDgMAAAAAAG+/nDLRo9YIb7+c</t>
  </si>
  <si>
    <t>MtGj1gghQ0lRLlNDVC5JUV9FQklUREEuOTk3Li4uLlJFUE9SVEVEAQAAACF4jA4CAAAACS0yLjE3ODIzNAEIAAAABQAAAAExAQAAAAoxODU5MTQzMTk3AwAAAAE5AgAAAAQ0MDUxBAAAAAEwBwAAAAgzLzgvMjAxOQgAAAAJNi8zMC8yMDE1CQAAAAEwgOacMtGj1ggLC7Ey0aPWCChDSVEuU0NULklRX05FVF9ERUJUX0VTVC4xMDAzLi4uLlJFUE9SVEVEAQAAACF4jA4DAAAAAACyW50y0aPWCF7OsTLRo9YILENJUS5TQ1QuSVFfR1dfSU5UQU5fQU1PUlRfQ0YuOTk0Li4uLlJFUE9SVEVEAQAAACF4jA4DAAAAAACQDZ0y0aPWCNqVsDLRo9YIK0NJUS5TQ1QuSVFfTkVUX0lOVEVSRVNUX0VYUC45OTEuLi4uUkVQT1JURUQBAAAAIXiMDgMAAAAAAFM1BDPRo9YI4d4HM9Gj1ggrQ0lRLlNDVC5JUV9DQVNIX0FDUVVJUkVfQ0YuMjAwMC4uLi5SRVBPUlRFRAEAAAAheIwOAwAAAAAAX5icMtGj1gg0oggz0aPWCCpDSVEuU0NULklRX1NUT0NLX0JBU0VEX0NGLjEwMDAuLi4uUkVQT1JURUQBAAAAIXiMDgIAAAAIMC4yNzc3MjYBCAAAAAUAAAABMQEAAAAKMTkxMDI3NDQ2OQMAAAABOQIAAAAEMjEyNwQAAAABMAcAAAAIMy84LzIwMTkIAAAACTYvMzAvMjAxOAkAAAABMG+/nDLRo9YIPYCxMtGj1ggpQ0lRLlNDVC5JUV9HV19JTlRBTl9BTU9SVF9DRi4uLi4uUkVQT1JURUQBAAAAIXiMDgMAAAAAAF+YnDLRo9YIX5icMtGj</t>
  </si>
  <si>
    <t>1ggiQ0lRLlNDVC5JUV9QRVJJT0REQVRFLjk5MS4zLzgvMjAxOQEAAAAheIwOAwAAAAAAoTSdMtGj1gh2Pgkz0aPWCCxDSVEuU0NULklRX05FVF9JTlRFUkVTVF9FWFAuMTAwMC4uLi5SRVBPUlRFRAEAAAAheIwOAgAAAAgwLjAwMzMxMgEIAAAABQAAAAExAQAAAAoxOTEwMjc0NDY5AwAAAAE5AgAAAAMzNjgEAAAAATAHAAAACDMvOC8yMDE5CAAAAAk2LzMwLzIwMTgJAAAAATBDDgQz0aPWCCN7CDPRo9YILENJUS5TQ1QuSVFfSU5URVJFU1RfRVhQX0VTVC4xMDAyLi4uLlJFUE9SVEVEAQAAACF4jA4DAAAAAACyW50y0aPWCF7OsTLRo9YIKkNJUS5TQ1QuSVFfQ0FTSF9BQ1FVSVJFX0NGLjk5OC4uLi5SRVBPUlRFRAEAAAAheIwOAwAAAAAAb7+cMtGj1ggcMrEy0aPWCChDSVEuU0NULklRX0NPTU1PTl9ESVZfQ0YuOTkzLi4uLlJFUE9SVEVEAQAAACF4jA4DAAAAAACQDZ0y0aPWCLhHsDLRo9YIIUNJUS5TQ1QuSVFfRUJJVERBLjk5Mi4uLi5SRVBPUlRFRAEAAAAheIwOAwAAAAAAkA2dMtGj1gi4R7Ay0aPWCCVDSVEuU0NULklRX0NBU0hfVEFYRVMuOTkyLi4uLlJFUE9SVEVEAQAAACF4jA4DAAAAAACQDZ0y0aPWCLhHsDLRo9YINENJUS5TQ1QuSVFfQ0FTSF9TVF9JTlZFU1QuMjAwMC4xMi8zMS8yMDE3Li4uUkVQT1JURUQBAAAAIXiMDgIAAAAIMS44MTU1NTgBCAAAAAUAAAABMQEAAAAKMTk0NzcxNDczOQMA</t>
  </si>
  <si>
    <t>AAABOQIAAAAEMTAwMgQAAAABMAcAAAAKMTIvMzEvMjAxNwgAAAAKMTIvMzEvMjAxNwkAAAABMEMOBDPRo9YIl4wJM9Gj1gghQ0lRLlNDVC5JUV9FQklUREEuOTk4Li4uLlJFUE9SVEVEAQAAACF4jA4CAAAACS0xLjc4MjgxNwEIAAAABQAAAAExAQAAAAoxODU5MTQzMTcwAwAAAAE5AgAAAAQ0MDUxBAAAAAEwBwAAAAgzLzgvMjAxOQgAAAAJNi8zMC8yMDE2CQAAAAEwb7+cMtGj1ggtWbEy0aPWCBtDSVEuU0NULklRX1BFUklPRERBVEUuMjAwMC4BAAAAIXiMDgUAAAAKMTIvMzEvMjAxOABDDgQz0aPWCETJCDPRo9YIJENJUS5TQ1QuSVFfVE9UQUxfUkVWLjk5NC4uLi5SRVBPUlRFRAEAAAAheIwOAwAAAAAAkA2dMtGj1gjalbAy0aPWCCVDSVEuU0NULklRX1RPVEFMX0RFQlQuOTkwLi4uLlJFUE9SVEVEAQAAACF4jA4DAAAAAAChNJ0y0aPWCIfSrzLRo9YINkNJUS5TQ1QuSVFfTkVUX0lOVEVSRVNUX0VYUC4yMDAwLjEyLzMxLzIwMTcuLi5SRVBPUlRFRAEAAAAheIwOAwAAAAAA95NaM9Gj1giFPV4z0aPWCC9DSVEuU0NULklRX01JTk9SSVRZX0lOVEVSRVNUX0lTLjk5My4uLi5SRVBPUlRFRAEAAAAheIwOAwAAAAAA95NaM9Gj1ghTyF0z0aPWCCpDSVEuU0NULklRX0VGRkVDVF9UQVhfUkFURS45OTUuLi4uUkVQT1JURUQBAAAAIXiMDgMAAAAAAIDmnDLRo9YI2pWwMtGj1ggnQ0lRLlNDVC5JUV9ESUxVVF9X</t>
  </si>
  <si>
    <t>RUlHSFQuMjAwMC4xMi8zMS8yMDE3AQAAACF4jA4CAAAABDY5LjkAQw4EM9Gj1gioswkz0aPWCCtDSVEuU0NULklRX0NBU0hfQUNRVUlSRV9DRi4xMDAwLi4uLlJFUE9SVEVEAQAAACF4jA4DAAAAAABfmJwy0aPWCD2AsTLRo9YIJUNJUS5TQ1QuSVFfQ0FTSF9UQVhFUy45OTcuLi4uUkVQT1JURUQBAAAAIXiMDgMAAAAAAIDmnDLRo9YICwuxMtGj1gglQ0lRLlNDVC5JUV9DT01NT05fUkVQLjk5Ni4uLi5SRVBPUlRFRAEAAAAheIwOAwAAAAAAgOacMtGj1gjqvLAy0aPWCCRDSVEuU0NULklRX1RPVEFMX1JFVi45OTEuLi4uUkVQT1JURUQBAAAAIXiMDgMAAAAAAKE0nTLRo9YIl/mvMtGj1gglQ0lRLlNDVC5JUV9DQVBFWF9FU1QuMTAwMy4uLi5SRVBPUlRFRAEAAAAheIwOAwAAAAAAsludMtGj1ggtWbEy0aPWCCdDSVEuU0NULklRX0NBU0hfQUNRVUlSRV9DRi4uLi4uUkVQT1JURUQBAAAAIXiMDgMAAAAAAF+YnDLRo9YIX5icMtGj1ggqQ0lRLlNDVC5JUV9DQVNIX0FDUVVJUkVfQ0YuOTk3Li4uLlJFUE9SVEVEAQAAACF4jA4DAAAAAACA5pwy0aPWCAsLsTLRo9YIIENJUS5TQ1QuSVFfQ0FQRVguOTk1Li4uLlJFUE9SVEVEAQAAACF4jA4DAAAAAACA5pwy0aPWCNqVsDLRo9YIIkNJUS5TQ1QuSVFfUEVSSU9EREFURS45OTAuMy84LzIwMTkBAAAAIXiMDgMAAAAAAKE0nTLRo9YIh2UJM9Gj1gggQ0lRLlNDVC5J</t>
  </si>
  <si>
    <t>UV9EQV9DRi45OTUuLi4uUkVQT1JURUQBAAAAIXiMDgMAAAAAAIDmnDLRo9YI6rywMtGj1gggQ0lRLlNDVC5JUV9EQV9DRi45OTkuLi4uUkVQT1JURUQBAAAAIXiMDgIAAAAIMC4xMzU2MjkBCAAAAAUAAAABMQEAAAAKMTkxMDI3NDQ2NgMAAAABOQIAAAAEMjE2MAQAAAABMAcAAAAIMy84LzIwMTkIAAAACTYvMzAvMjAxNwkAAAABMG+/nDLRo9YILVmxMtGj1ggwQ0lRLlNDVC5JUV9DT01NT05fUkVQLjIwMDAuMTIvMzEvMjAxNy4uLlJFUE9SVEVEAQAAACF4jA4DAAAAAABDDgQz0aPWCKizCTPRo9YIG0NJUS5TQ1QuSVFfRElMVVRfV0VJR0hULjk5OAEAAAAheIwOAwAAAAAAb7+cMtGj1ggcMrEy0aPWCCFDSVEuU0NULklRX0VCSVREQS45OTQuLi4uUkVQT1JURUQBAAAAIXiMDgMAAAAAAJANnTLRo9YIyW6wMtGj1gglQ0lRLlNDVC5JUV9UT1RBTF9ERUJULjk5NC4uLi5SRVBPUlRFRAEAAAAheIwOAwAAAAAAkA2dMtGj1gjalbAy0aPWCCRDSVEuU0NULklRX0NBU0hfT1BFUi45OTguLi4uUkVQT1JURUQBAAAAIXiMDgIAAAAJLTEuNjI1OTEyAQgAAAAFAAAAATEBAAAACjE4NTkxNDMxNzADAAAAATkCAAAABDIwMDYEAAAAATAHAAAACDMvOC8yMDE5CAAAAAk2LzMwLzIwMTYJAAAAATBvv5wy0aPWCBwysTLRo9YIIENJUS5TQ1QuSVFfREFfQ0YuOTk2Li4uLlJFUE9SVEVEAQAAACF4jA4DAAAAAACA5pwy0aPW</t>
  </si>
  <si>
    <t>CPvjsDLRo9YIK0NJUS5TQ1QuSVFfTkVUX0lOVEVSRVNUX0VYUC45OTMuLi4uUkVQT1JURUQBAAAAIXiMDgMAAAAAAFM1BDPRo9YIAi0IM9Gj1gglQ0lRLlNDVC5JUV9DT01NT05fUkVQLjk5MS4uLi5SRVBPUlRFRAEAAAAheIwOAwAAAAAAoTSdMtGj1giX+a8y0aPWCClDSVEuU0NULklRX0NBU0hfU1RfSU5WRVNULjk5NS4uLi5SRVBPUlRFRAEAAAAheIwOAwAAAAAAgOacMtGj1gjalbAy0aPWCClDSVEuU0NULklRX1NQRUNJQUxfRElWX0NGLjk5OS4uLi5SRVBPUlRFRAEAAAAheIwOAwAAAAAAb7+cMtGj1ggtWbEy0aPWCChDSVEuU0NULklRX1NBTEVfSU5UQU5fQ0YuOTk4Li4uLlJFUE9SVEVEAQAAACF4jA4DAAAAAABvv5wy0aPWCBwysTLRo9YIJkNJUS5TQ1QuSVFfQ09NTU9OX1JFUC4yMDAwLi4uLlJFUE9SVEVEAQAAACF4jA4DAAAAAABfmJwy0aPWCDSiCDPRo9YIG0NJUS5TQ1QuSVFfRElMVVRfV0VJR0hULjk5MAEAAAAheIwOAwAAAAAAoTSdMtGj1giH0q8y0aPWCClDSVEuU0NULklRX0NPTU1PTl9ESVZfQ0YuMTAwMC4uLi5SRVBPUlRFRAEAAAAheIwOAwAAAAAAX5icMtGj1gg9gLEy0aPWCDBDSVEuU0NULklRX0NBU0hfVEFYRVMuMjAwMC4xMi8zMS8yMDE3Li4uUkVQT1JURUQBAAAAIXiMDgMAAAAAAEMOBDPRo9YIqLMJM9Gj1ggrQ0lRLlNDVC5JUV9ORVRfSU5URVJFU1RfRVhQLjk5Mi4uLi5S</t>
  </si>
  <si>
    <t>RVBPUlRFRAEAAAAheIwOAwAAAAAAUzUEM9Gj1gjh3gcz0aPWCBhDSVEuU0NULklRX0RJTFVUX1dFSUdIVC4BAAAAIXiMDgIAAAAKMTA4LjQyMjEyNgBOcZwy0aPWCE5xnDLRo9YIKUNJUS5TQ1QuSVFfU1RPQ0tfQkFTRURfQ0YuOTk0Li4uLlJFUE9SVEVEAQAAACF4jA4DAAAAAACQDZ0y0aPWCNqVsDLRo9YILENJUS5TQ1QuSVFfR1dfSU5UQU5fQU1PUlRfQ0YuOTk3Li4uLlJFUE9SVEVEAQAAACF4jA4DAAAAAACA5pwy0aPWCAsLsTLRo9YIIkNJUS5TQ1QuSVFfUEVSSU9EREFURS45OTQuMy84LzIwMTkBAAAAIXiMDgMAAAAAAJANnTLRo9YIdj4JM9Gj1ggmQ0lRLlNDVC5JUV9DQVNIX1RBWEVTLjEwMDAuLi4uUkVQT1JURUQBAAAAIXiMDgMAAAAAAG+/nDLRo9YIPYCxMtGj1ggpQ0lRLlNDVC5JUV9TVE9DS19CQVNFRF9DRi45OTEuLi4uUkVQT1JURUQBAAAAIXiMDgMAAAAAAKE0nTLRo9YIh9KvMtGj1gghQ0lRLlNDVC5JUV9DQVNIX09QRVIuLi4uLlJFUE9SVEVEAQAAACF4jA4CAAAACS0yLjQyMzYwNgEIAAAABQAAAAExAQAAAAoxOTQ3NzE0NTczAwAAAAE5AgAAAAQyMDA2BAAAAAEwBwAAAAgzLzgvMjAxOQgAAAAKMTIvMzEvMjAxOAkAAAABMF+YnDLRo9YIX5icMtGj1ggoQ0lRLlNDVC5JUV9DT01NT05fRElWX0NGLjk5Mi4uLi5SRVBPUlRFRAEAAAAheIwOAwAAAAAAkA2dMtGj1gi4R7Ay0aPWCC9D</t>
  </si>
  <si>
    <t>SVEuU0NULklRX01JTk9SSVRZX0lOVEVSRVNUX0lTLjk5OC4uLi5SRVBPUlRFRAEAAAAheIwOAwAAAAAA95NaM9Gj1gh0Fl4z0aPWCCBDSVEuU0NULklRX0NBUEVYLjk5Ni4uLi5SRVBPUlRFRAEAAAAheIwOAgAAAAktMC4xMTE3MDgBCAAAAAUAAAABMQEAAAAKMTg1OTE0MzE4MQMAAAABOQIAAAAEMjAyMQQAAAABMAcAAAAIMy84LzIwMTkIAAAACTYvMzAvMjAxNAkAAAABMIDmnDLRo9YI++OwMtGj1ggkQ0lRLlNDVC5JUV9DQVNIX09QRVIuOTkwLi4uLlJFUE9SVEVEAQAAACF4jA4DAAAAAAChNJ0y0aPWCJf5rzLRo9YIKkNJUS5TQ1QuSVFfRUZGRUNUX1RBWF9SQVRFLjk5Ni4uLi5SRVBPUlRFRAEAAAAheIwOAwAAAAAAgOacMtGj1gj747Ay0aPWCCNDSVEuU0NULklRX0VQU19FU1QuMTAwMy4uLi5SRVBPUlRFRAEAAAAheIwOAwAAAAAAsludMtGj1ggtWbEy0aPWCB1DSVEuU0NULklRX0RBX0NGLi4uLi5SRVBPUlRFRAEAAAAheIwOAgAAAAgwLjA0MzAwOAEIAAAABQAAAAExAQAAAAoxOTQ3NzE0NTczAwAAAAE5AgAAAAQyMTYwBAAAAAEwBwAAAAgzLzgvMjAxOQgAAAAKMTIvMzEvMjAxOAkAAAABME5xnDLRo9YITnGcMtGj1ggdQ0lRLlNDVC5JUV9DQVBFWC4uLi4uUkVQT1JURUQBAAAAIXiMDgMAAAAAAE5xnDLRo9YITnGcMtGj1ggmQ0lRLlNDVC5JUV9DT01NT05fUkVQLjEwMDAuLi4uUkVQT1JURUQB</t>
  </si>
  <si>
    <t>AAAAIXiMDgMAAAAAAF+YnDLRo9YIPYCxMtGj1ggkQ0lRLlNDVC5JUV9UT1RBTF9SRVYuOTkzLi4uLlJFUE9SVEVEAQAAACF4jA4DAAAAAACQDZ0y0aPWCMlusDLRo9YIJkNJUS5TQ1QuSVFfQ0FTSF9UQVhFUy4yMDAwLi4uLlJFUE9SVEVEAQAAACF4jA4DAAAAAABfmJwy0aPWCCN7CDPRo9YIKkNJUS5TQ1QuSVFfRUZGRUNUX1RBWF9SQVRFLjk5My4uLi5SRVBPUlRFRAEAAAAheIwOAwAAAAAAkA2dMtGj1gjJbrAy0aPWCCZDSVEuU0NULklRX1NUT0NLX0JBU0VEX0NGLi4uLi5SRVBPUlRFRAEAAAAheIwOAgAAAAgwLjI3NzcyNgEIAAAABQAAAAExAQAAAAoxOTQ3NzE0NTczAwAAAAE5AgAAAAQyMTI3BAAAAAEwBwAAAAgzLzgvMjAxOQgAAAAKMTIvMzEvMjAxOAkAAAABME5xnDLRo9YITnGcMtGj1ggoQ0lRLlNDVC5JUV9ORVRfREVCVF9FU1QuMTAwMS4uLi5SRVBPUlRFRAEAAAAheIwOAwAAAAAAsludMtGj1ghezrEy0aPWCC9DSVEuU0NULklRX01JTk9SSVRZX0lOVEVSRVNUX0lTLjk5MS4uLi5SRVBPUlRFRAEAAAAheIwOAwAAAAAA95NaM9Gj1ghCoV0z0aPWCCpDSVEuU0NULklRX0NBU0hfQUNRVUlSRV9DRi45OTkuLi4uUkVQT1JURUQBAAAAIXiMDgMAAAAAAG+/nDLRo9YILVmxMtGj1ggkQ0lRLlNDVC5JUV9DQVNIX09QRVIuOTk1Li4uLlJFUE9SVEVEAQAAACF4jA4DAAAAAACA5pwy0aPWCNqVsDLR</t>
  </si>
  <si>
    <t>o9YIKUNJUS5TQ1QuSVFfU1BFQ0lBTF9ESVZfQ0YuOTkzLi4uLlJFUE9SVEVEAQAAACF4jA4DAAAAAACQDZ0y0aPWCLhHsDLRo9YIIUNJUS5TQ1QuSVFfRUJJVERBLjk5MS4uLi5SRVBPUlRFRAEAAAAheIwOAwAAAAAAoTSdMtGj1giX+a8y0aPWCCpDSVEuU0NULklRX0NBU0hfQUNRVUlSRV9DRi45OTUuLi4uUkVQT1JURUQBAAAAIXiMDgMAAAAAAJANnTLRo9YI2pWwMtGj1ggbQ0lRLlNDVC5JUV9ESUxVVF9XRUlHSFQuOTkxAQAAACF4jA4DAAAAAAChNJ0y0aPWCJf5rzLRo9YIJUNJUS5TQ1QuSVFfQ0FTSF9UQVhFUy45OTUuLi4uUkVQT1JURUQBAAAAIXiMDgMAAAAAAIDmnDLRo9YI6rywMtGj1ggoQ0lRLlNDVC5JUV9TQUxFX0lOVEFOX0NGLjk5My4uLi5SRVBPUlRFRAEAAAAheIwOAwAAAAAAkA2dMtGj1gjJbrAy0aPWCCVDSVEuU0NULklRX0NPTU1PTl9SRVAuOTkwLi4uLlJFUE9SVEVEAQAAACF4jA4DAAAAAAChNJ0y0aPWCIfSrzLRo9YIKUNJUS5TQ1QuSVFfQ0FTSF9TVF9JTlZFU1QuOTk2Li4uLlJFUE9SVEVEAQAAACF4jA4CAAAACDAuMDIzODAyAQgAAAAFAAAAATEBAAAACjE4NTkxNDMxODEDAAAAATkCAAAABDEwMDIEAAAAATAHAAAACDMvOC8yMDE5CAAAAAk2LzMwLzIwMTQJAAAAATCA5pwy0aPWCPvjsDLRo9YIKENJUS5TQ1QuSVFfQ09NTU9OX0RJVl9DRi45OTAuLi4uUkVQT1JURUQBAAAA</t>
  </si>
  <si>
    <t>IXiMDgMAAAAAAKE0nTLRo9YIl/mvMtGj1gglQ0lRLlNDVC5JUV9UT1RBTF9ERUJULjk5Mi4uLi5SRVBPUlRFRAEAAAAheIwOAwAAAAAAkA2dMtGj1gioILAy0aPWCChDSVEuU0NULklRX05FVF9ERUJUX0VTVC4xMDAyLi4uLlJFUE9SVEVEAQAAACF4jA4DAAAAAACyW50y0aPWCF7OsTLRo9YILUNJUS5TQ1QuSVFfR1dfSU5UQU5fQU1PUlRfQ0YuMjAwMC4uLi5SRVBPUlRFRAEAAAAheIwOAwAAAAAAX5icMtGj1ghOp7Ey0aPWCBpDSVEuU0NULklRX1BFUklPRERBVEUuOTk4LgEAAAAheIwOBQAAAAk2LzMwLzIwMTYAQw4EM9Gj1ghEyQgz0aPWCCJDSVEuU0NULklRX1BFUklPRERBVEUuOTk1LjMvOC8yMDE5AQAAACF4jA4DAAAAAACA5pwy0aPWCHY+CTPRo9YIKUNJUS5TQ1QuSVFfU1RPQ0tfQkFTRURfQ0YuOTkwLi4uLlJFUE9SVEVEAQAAACF4jA4DAAAAAAChNJ0y0aPWCIfSrzLRo9YIJ0NJUS5TQ1QuSVFfUkVWRU5VRV9FU1QuMTAwMy4uLi5SRVBPUlRFRAEAAAAheIwOAwAAAAAAsludMtGj1ggtWbEy0aPWCBtDSVEuU0NULklRX0RJTFVUX1dFSUdIVC45OTcBAAAAIXiMDgMAAAAAAIDmnDLRo9YIHDKxMtGj1ggvQ0lRLlNDVC5JUV9NSU5PUklUWV9JTlRFUkVTVF9JUy45OTkuLi4uUkVQT1JURUQBAAAAIXiMDgMAAAAAAPeTWjPRo9YIhT1eM9Gj1ggaQ0lRLlNDVC5JUV9QRVJJT0REQVRFLjk5NS4BAAAA</t>
  </si>
  <si>
    <t>IXiMDgMAAAAAAEMOBDPRo9YIVfAIM9Gj1gghQ0lRLlNDVC5JUV9FQklUREEuOTk2Li4uLlJFUE9SVEVEAQAAACF4jA4DAAAAAACA5pwy0aPWCOq8sDLRo9YIGkNJUS5TQ1QuSVFfUEVSSU9EREFURS45OTQuAQAAACF4jA4DAAAAAABDDgQz0aPWCFXwCDPRo9YIK0NJUS5TQ1QuSVFfRUZGRUNUX1RBWF9SQVRFLjIwMDAuLi4uUkVQT1JURUQBAAAAIXiMDgMAAAAAAF+YnDLRo9YINKIIM9Gj1ggiQ0lRLlNDVC5JUV9QRVJJT0REQVRFLjk5Mi4zLzgvMjAxOQEAAAAheIwOAwAAAAAAkA2dMtGj1gh2Pgkz0aPWCClDSVEuU0NULklRX0NBU0hfU1RfSU5WRVNULjk5NC4uLi5SRVBPUlRFRAEAAAAheIwOAwAAAAAAkA2dMtGj1gjalbAy0aPWCCxDSVEuU0NULklRX0lOVEVSRVNUX0VYUF9FU1QuMTAwMy4uLi5SRVBPUlRFRAEAAAAheIwOAwAAAAAAsludMtGj1ghezrEy0aPWCCFDSVEuU0NULklRX0RBX0NGLjEwMDAuLi4uUkVQT1JURUQBAAAAIXiMDgIAAAAIMC4wNjUxNzUBCAAAAAUAAAABMQEAAAAKMTkxMDI3NDQ2OQMAAAABOQIAAAAEMjE2MAQAAAABMAcAAAAIMy84LzIwMTkIAAAACTYvMzAvMjAxOAkAAAABMF+YnDLRo9YIPYCxMtGj1ggqQ0lRLlNDVC5JUV9FRkZFQ1RfVEFYX1JBVEUuOTkxLi4uLlJFUE9SVEVEAQAAACF4jA4DAAAAAAChNJ0y0aPWCIfSrzLRo9YIGkNJUS5TQ1QuSVFfUEVSSU9EREFURS45</t>
  </si>
  <si>
    <t>OTkuAQAAACF4jA4FAAAACTYvMzAvMjAxNwBDDgQz0aPWCETJCDPRo9YIG0NJUS5TQ1QuSVFfRElMVVRfV0VJR0hULjk5MwEAAAAheIwOAwAAAAAAkA2dMtGj1gi4R7Ay0aPWCChDSVEuU0NULklRX0NPTU1PTl9ESVZfQ0YuOTkxLi4uLlJFUE9SVEVEAQAAACF4jA4DAAAAAAChNJ0y0aPWCJf5rzLRo9YIKkNJUS5TQ1QuSVFfRUZGRUNUX1RBWF9SQVRFLjk5OC4uLi5SRVBPUlRFRAEAAAAheIwOAwAAAAAAb7+cMtGj1ggcMrEy0aPWCClDSVEuU0NULklRX1NUT0NLX0JBU0VEX0NGLjk5Ni4uLi5SRVBPUlRFRAEAAAAheIwOAwAAAAAAgOacMtGj1gj747Ay0aPWCCBDSVEuU0NULklRX0RBX0NGLjk5Ny4uLi5SRVBPUlRFRAEAAAAheIwOAgAAAAgwLjE2MTQ2MgEIAAAABQAAAAExAQAAAAoxODU5MTQzMTk3AwAAAAE5AgAAAAQyMTYwBAAAAAEwBwAAAAgzLzgvMjAxOQgAAAAJNi8zMC8yMDE1CQAAAAEwgOacMtGj1ggLC7Ey0aPWCCZDSVEuU0NULklRX1RPVEFMX0RFQlQuMTAwMC4uLi5SRVBPUlRFRAEAAAAheIwOAgAAAAEwAQgAAAAFAAAAATEBAAAACjE5MTAyNzQ0NjkDAAAAATkCAAAABDQxNzMEAAAAATAHAAAACDMvOC8yMDE5CAAAAAk2LzMwLzIwMTgJAAAAATBfmJwy0aPWCD2AsTLRo9YIKUNJUS5TQ1QuSVFfU1BFQ0lBTF9ESVZfQ0YuOTk2Li4uLlJFUE9SVEVEAQAAACF4jA4DAAAAAACA5pwy0aPWCOq8</t>
  </si>
  <si>
    <t>sDLRo9YIJUNJUS5TQ1QuSVFfQ09NTU9OX1JFUC45OTcuLi4uUkVQT1JURUQBAAAAIXiMDgMAAAAAAIDmnDLRo9YIHDKxMtGj1gglQ0lRLlNDVC5JUV9UT1RBTF9ERUJULjk5Ny4uLi5SRVBPUlRFRAEAAAAheIwOAgAAAAgxLjg2MzM2MwEIAAAABQAAAAExAQAAAAoxODU5MTQzMTk3AwAAAAE5AgAAAAQ0MTczBAAAAAEwBwAAAAgzLzgvMjAxOQgAAAAJNi8zMC8yMDE1CQAAAAEwgOacMtGj1ggcMrEy0aPWCCRDSVEuU0NULklRX0NBU0hfT1BFUi45OTYuLi4uUkVQT1JURUQBAAAAIXiMDgIAAAAJLTAuNTUzODI0AQgAAAAFAAAAATEBAAAACjE4NTkxNDMxODEDAAAAATkCAAAABDIwMDYEAAAAATAHAAAACDMvOC8yMDE5CAAAAAk2LzMwLzIwMTQJAAAAATCA5pwy0aPWCOq8sDLRo9YIJUNJUS5TQ1QuSVFfVE9UQUxfREVCVC45OTguLi4uUkVQT1JURUQBAAAAIXiMDgIAAAAIMC4wMzM1MTMBCAAAAAUAAAABMQEAAAAKMTg1OTE0MzE3MAMAAAABOQIAAAAENDE3MwQAAAABMAcAAAAIMy84LzIwMTkIAAAACTYvMzAvMjAxNgkAAAABMG+/nDLRo9YIHDKxMtGj1ggsQ0lRLlNDVC5JUV9HV19JTlRBTl9BTU9SVF9DRi45OTkuLi4uUkVQT1JURUQBAAAAIXiMDgMAAAAAAG+/nDLRo9YILVmxMtGj1ggqQ0lRLlNDVC5JUV9DQVNIX0FDUVVJUkVfQ0YuOTkzLi4uLlJFUE9SVEVEAQAAACF4jA4DAAAAAACQDZ0y0aPWCMlu</t>
  </si>
  <si>
    <t>sDLRo9YIGkNJUS5TQ1QuSVFfUEVSSU9EREFURS41MDAuAQAAACF4jA4FAAAACjEyLzMxLzIwMTgAQw4EM9Gj1ghEyQgz0aPWCCVDSVEuU0NULklRX0NBU0hfT1BFUi4yMDAwLi4uLlJFUE9SVEVEAQAAACF4jA4CAAAACS0yLjQyMzYwNgEIAAAABQAAAAExAQAAAAoxOTQ3NzE0NTczAwAAAAE5AgAAAAQyMDA2BAAAAAEwBwAAAAgzLzgvMjAxOQgAAAAKMTIvMzEvMjAxOAkAAAABMF+YnDLRo9YIE1QIM9Gj1ggmQ0lRLlNDVC5JUV9FQklUREFfRVNULjEwMDMuLi4uUkVQT1JURUQBAAAAIXiMDgMAAAAAALJbnTLRo9YILVmxMtGj1ggrQ0lRLlNDVC5JUV9ORVRfSU5URVJFU1RfRVhQLjk5OC4uLi5SRVBPUlRFRAEAAAAheIwOAgAAAAktMC4xNDQ5MTIBCAAAAAUAAAABMQEAAAAKMTg1OTE0MzE3MAMAAAABOQIAAAADMzY4BAAAAAEwBwAAAAgzLzgvMjAxOQgAAAAJNi8zMC8yMDE2CQAAAAEwUzUEM9Gj1ggCLQgz0aPWCCBDSVEuU0NULklRX0RBX0NGLjk5NC4uLi5SRVBPUlRFRAEAAAAheIwOAwAAAAAAkA2dMtGj1gjJbrAy0aPWCChDSVEuU0NULklRX0NPTU1PTl9ESVZfQ0YuOTk5Li4uLlJFUE9SVEVEAQAAACF4jA4DAAAAAABvv5wy0aPWCC1ZsTLRo9YIKENJUS5TQ1QuSVFfU0FMRV9JTlRBTl9DRi45OTYuLi4uUkVQT1JURUQBAAAAIXiMDgMAAAAAAIDmnDLRo9YI6rywMtGj1ggkQ0lRLlNDVC5JUV9UT1RB</t>
  </si>
  <si>
    <t>TF9SRVYuOTk2Li4uLlJFUE9SVEVEAQAAACF4jA4DAAAAAACA5pwy0aPWCOq8sDLRo9YIHENJUS5TQ1QuSVFfRElMVVRfV0VJR0hULjIwMDABAAAAIXiMDgIAAAAKMTA4LjQyMjEyNgBfmJwy0aPWCE6nsTLRo9YILENJUS5TQ1QuSVFfR1dfSU5UQU5fQU1PUlRfQ0YuOTkxLi4uLlJFUE9SVEVEAQAAACF4jA4DAAAAAAChNJ0y0aPWCKggsDLRo9YIKUNJUS5TQ1QuSVFfQ0FTSF9TVF9JTlZFU1QuOTk4Li4uLlJFUE9SVEVEAQAAACF4jA4CAAAABzAuMzU5NTUBCAAAAAUAAAABMQEAAAAKMTg1OTE0MzE3MAMAAAABOQIAAAAEMTAwMgQAAAABMAcAAAAIMy84LzIwMTkIAAAACTYvMzAvMjAxNgkAAAABMG+/nDLRo9YIHDKxMtGj1ggsQ0lRLlNDVC5JUV9HV19JTlRBTl9BTU9SVF9DRi45OTIuLi4uUkVQT1JURUQBAAAAIXiMDgMAAAAAAJANnTLRo9YIuEewMtGj1gghQ0lRLlNDVC5JUV9DQVBFWC4xMDAwLi4uLlJFUE9SVEVEAQAAACF4jA4DAAAAAABfmJwy0aPWCD2AsTLRo9YII0NJUS5TQ1QuSVFfRVBTX0VTVC4xMDAxLi4uLlJFUE9SVEVEAQAAACF4jA4DAAAAAACyW50y0aPWCC1ZsTLRo9YIG0NJUS5TQ1QuSVFfRElMVVRfV0VJR0hULjk5NQEAAAAheIwOAwAAAAAAgOacMtGj1gjalbAy0aPWCBpDSVEuU0NULklRX1BFUklPRERBVEUuOTkxLgEAAAAheIwOAwAAAAAAQw4EM9Gj1ghEyQgz0aPWCCtDSVEuU0NU</t>
  </si>
  <si>
    <t>LklRX05FVF9JTlRFUkVTVF9FWFAuOTk1Li4uLlJFUE9SVEVEAQAAACF4jA4DAAAAAABTNQQz0aPWCPEFCDPRo9YIH0NJUS5TQ1QuSVFfUEVSSU9EREFURS4uMy84LzIwMTkBAAAAIXiMDgUAAAAKMTIvMzEvMjAxOABvv5wy0aPWCG+/nDLRo9YIJENJUS5TQ1QuSVFfQ0FTSF9PUEVSLjk5OS4uLi5SRVBPUlRFRAEAAAAheIwOAgAAAAktMC41Nzg5MDIBCAAAAAUAAAABMQEAAAAKMTkxMDI3NDQ2NgMAAAABOQIAAAAEMjAwNgQAAAABMAcAAAAIMy84LzIwMTkIAAAACTYvMzAvMjAxNwkAAAABMG+/nDLRo9YIPYCxMtGj1ggjQ0lRLlNDVC5JUV9SRVZFTlVFX0VTVC4uLi4uUkVQT1JURUQBAAAAIXiMDgMAAAAAAKE0nTLRo9YIoTSdMtGj1ggqQ0lRLlNDVC5JUV9FRkZFQ1RfVEFYX1JBVEUuOTkyLi4uLlJFUE9SVEVEAQAAACF4jA4DAAAAAACQDZ0y0aPWCKggsDLRo9YIIkNJUS5TQ1QuSVFfUEVSSU9EREFURS45OTMuMy84LzIwMTkBAAAAIXiMDgMAAAAAAJANnTLRo9YIdj4JM9Gj1ggpQ0lRLlNDVC5JUV9DQVNIX1NUX0lOVkVTVC45OTcuLi4uUkVQT1JURUQBAAAAIXiMDgIAAAAIMC4zMDI1MTYBCAAAAAUAAAABMQEAAAAKMTg1OTE0MzE5NwMAAAABOQIAAAAEMTAwMgQAAAABMAcAAAAIMy84LzIwMTkIAAAACTYvMzAvMjAxNQkAAAABMIDmnDLRo9YICwuxMtGj1ggpQ0lRLlNDVC5JUV9TUEVDSUFMX0RJVl9D</t>
  </si>
  <si>
    <t>Ri45OTguLi4uUkVQT1JURUQBAAAAIXiMDgMAAAAAAG+/nDLRo9YIHDKxMtGj1ggoQ0lRLlNDVC5JUV9TQUxFX0lOVEFOX0NGLjk5NS4uLi5SRVBPUlRFRAEAAAAheIwOAwAAAAAAgOacMtGj1gjqvLAy0aPWCCFDSVEuU0NULklRX0VCSVREQS45OTMuLi4uUkVQT1JURUQBAAAAIXiMDgMAAAAAAJANnTLRo9YIyW6wMtGj1ggtQ0lRLlNDVC5JUV9FRkZFQ1RJVkVfVEFYX0VTVC4xMDAyLi4uLlJFUE9SVEVEAQAAACF4jA4DAAAAAACyW50y0aPWCF7OsTLRo9YIK0NJUS5TQ1QuSVFfTkVUX0lOVEVSRVNUX0VYUC45OTAuLi4uUkVQT1JURUQBAAAAIXiMDgMAAAAAAFM1BDPRo9YI4d4HM9Gj1ggpQ0lRLlNDVC5JUV9TUEVDSUFMX0RJVl9DRi45OTQuLi4uUkVQT1JURUQBAAAAIXiMDgMAAAAAAJANnTLRo9YIyW6wMtGj1gglQ0lRLlNDVC5JUV9DT01NT05fUkVQLjk5NC4uLi5SRVBPUlRFRAEAAAAheIwOAwAAAAAAkA2dMtGj1gjalbAy0aPWCC9DSVEuU0NULklRX01JTk9SSVRZX0lOVEVSRVNUX0lTLjk5Ny4uLi5SRVBPUlRFRAEAAAAheIwOAwAAAAAA95NaM9Gj1gh0Fl4z0aPWCCBDSVEuU0NULklRX0RBX0NGLjk5MC4uLi5SRVBPUlRFRAEAAAAheIwOAwAAAAAAoTSdMtGj1giH0q8y0aPWCCZDSVEuU0NULklRX0VCSVREQV9FU1QuMTAwMi4uLi5SRVBPUlRFRAEAAAAheIwOAwAAAAAAsludMtGj1ggtWbEy0aPW</t>
  </si>
  <si>
    <t>CCJDSVEuU0NULklRX0NPTU1PTl9SRVAuLi4uLlJFUE9SVEVEAQAAACF4jA4DAAAAAABfmJwy0aPWCF+YnDLRo9YIJUNJUS5TQ1QuSVFfQ0FTSF9UQVhFUy45OTYuLi4uUkVQT1JURUQBAAAAIXiMDgMAAAAAAIDmnDLRo9YI6rywMtGj1ggiQ0lRLlNDVC5JUV9FQklUREFfRVNULi4uLi5SRVBPUlRFRAEAAAAheIwOAwAAAAAAoTSdMtGj1gihNJ0y0aPWCCBDSVEuU0NULklRX0NBUEVYLjk5Ny4uLi5SRVBPUlRFRAEAAAAheIwOAgAAAAktMC4yMzUyMzgBCAAAAAUAAAABMQEAAAAKMTg1OTE0MzE5NwMAAAABOQIAAAAEMjAyMQQAAAABMAcAAAAIMy84LzIwMTkIAAAACTYvMzAvMjAxNQkAAAABMIDmnDLRo9YIHDKxMtGj1ggoQ0lRLlNDVC5JUV9TQUxFX0lOVEFOX0NGLjk5Ny4uLi5SRVBPUlRFRAEAAAAheIwOAwAAAAAAgOacMtGj1ggLC7Ey0aPWCC9DSVEuU0NULklRX0NBU0hfT1BFUi4yMDAwLjEyLzMxLzIwMTcuLi5SRVBPUlRFRAEAAAAheIwOAgAAAAktNC4xNjQ0MDMBCAAAAAUAAAABMQEAAAAKMTk0NzcxNDczOQMAAAABOQIAAAAEMjAwNgQAAAABMAcAAAAKMTIvMzEvMjAxNwgAAAAKMTIvMzEvMjAxNwkAAAABMEMOBDPRo9YIqLMJM9Gj1ggkQ0lRLlNDVC5JUV9UT1RBTF9SRVYuOTkwLi4uLlJFUE9SVEVEAQAAACF4jA4DAAAAAAChNJ0y0aPWCIfSrzLRo9YIKUNJUS5TQ1QuSVFfU1RPQ0tfQkFTRURf</t>
  </si>
  <si>
    <t>Q0YuOTk4Li4uLlJFUE9SVEVEAQAAACF4jA4DAAAAAABvv5wy0aPWCBwysTLRo9YIIENJUS5TQ1QuSVFfQ0FQRVguOTkyLi4uLlJFUE9SVEVEAQAAACF4jA4DAAAAAACQDZ0y0aPWCKggsDLRo9YIKUNJUS5TQ1QuSVFfU0FMRV9JTlRBTl9DRi4xMDAwLi4uLlJFUE9SVEVEAQAAACF4jA4DAAAAAABfmJwy0aPWCD2AsTLRo9YIKENJUS5TQ1QuSVFfQ09NTU9OX0RJVl9DRi45OTcuLi4uUkVQT1JURUQBAAAAIXiMDgMAAAAAAIDmnDLRo9YICwuxMtGj1ggpQ0lRLlNDVC5JUV9TUEVDSUFMX0RJVl9DRi45OTUuLi4uUkVQT1JURUQBAAAAIXiMDgMAAAAAAIDmnDLRo9YI6rywMtGj1ggpQ0lRLlNDVC5JUV9TUEVDSUFMX0RJVl9DRi45OTAuLi4uUkVQT1JURUQBAAAAIXiMDgMAAAAAAKE0nTLRo9YIl/mvMtGj1ggiQ0lRLlNDVC5JUV9UT1RBTF9ERUJULi4uLi5SRVBPUlRFRAEAAAAheIwOAgAAAAMwLjUBCAAAAAUAAAABMQEAAAAKMTk0NzcxNDU3MwMAAAABOQIAAAAENDE3MwQAAAABMAcAAAAIMy84LzIwMTkIAAAACjEyLzMxLzIwMTgJAAAAATBOcZwy0aPWCE5xnDLRo9YIKENJUS5TQ1QuSVFfU0FMRV9JTlRBTl9DRi45OTAuLi4uUkVQT1JURUQBAAAAIXiMDgMAAAAAAKE0nTLRo9YIh9KvMtGj1gglQ0lRLlNDVC5JUV9DQVNIX09QRVIuMTAwMC4uLi5SRVBPUlRFRAEAAAAheIwOAgAAAAktNS40Nzk0ODIBCAAA</t>
  </si>
  <si>
    <t>AAUAAAABMQEAAAAKMTkxMDI3NDQ2OQMAAAABOQIAAAAEMjAwNgQAAAABMAcAAAAIMy84LzIwMTkIAAAACTYvMzAvMjAxOAkAAAABMF+YnDLRo9YIPYCxMtGj1ggiQ0lRLlNDVC5JUV9QRVJJT0REQVRFLjk5OC4zLzgvMjAxOQEAAAAheIwOBQAAAAk2LzMwLzIwMTYAb7+cMtGj1giHZQkz0aPWCCxDSVEuU0NULklRX0dXX0lOVEFOX0FNT1JUX0NGLjk5My4uLi5SRVBPUlRFRAEAAAAheIwOAwAAAAAAkA2dMtGj1gi4R7Ay0aPWCCRDSVEuU0NULklRX0NBU0hfT1BFUi45OTcuLi4uUkVQT1JURUQBAAAAIXiMDgIAAAAJLTEuMDA1OTE4AQgAAAAFAAAAATEBAAAACjE4NTkxNDMxOTcDAAAAATkCAAAABDIwMDYEAAAAATAHAAAACDMvOC8yMDE5CAAAAAk2LzMwLzIwMTUJAAAAATCA5pwy0aPWCAsLsTLRo9YIKkNJUS5TQ1QuSVFfQ0FTSF9BQ1FVSVJFX0NGLjk5Ni4uLi5SRVBPUlRFRAEAAAAheIwOAgAAAAgtMC4yMTIwNwEIAAAABQAAAAExAQAAAAoxODU5MTQzMTgxAwAAAAE5AgAAAAQyMDU3BAAAAAEwBwAAAAgzLzgvMjAxOQgAAAAJNi8zMC8yMDE0CQAAAAEwgOacMtGj1gj747Ay0aPWCB5DSVEuU0NULklRX05JX0VTVC4uLi4uUkVQT1JURUQBAAAAIXiMDgMAAAAAAKE0nTLRo9YIoTSdMtGj1gggQ0lRLlNDVC5JUV9DQVBFWC45OTQuLi4uUkVQT1JURUQBAAAAIXiMDgMAAAAAAJANnTLRo9YI2pWwMtGj1ggv</t>
  </si>
  <si>
    <t>Q0lRLlNDVC5JUV9UT1RBTF9SRVYuMjAwMC4xMi8zMS8yMDE3Li4uUkVQT1JURUQBAAAAIXiMDgIAAAAIMS44ODg3MDYBCAAAAAUAAAABMQEAAAAKMTk0NzcxNDczOQMAAAABOQIAAAACMjgEAAAAATAHAAAACjEyLzMxLzIwMTcIAAAACjEyLzMxLzIwMTcJAAAAATBDDgQz0aPWCJeMCTPRo9YIHUNJUS5TQ1QuSVFfRElMVVRfV0VJR0hULjIwMDAuAQAAACF4jA4CAAAACjEwOC40MjIxMjYAQw4EM9Gj1gg0oggz0aPWCCVDSVEuU0NULklRX1RPVEFMX0RFQlQuOTk1Li4uLlJFUE9SVEVEAQAAACF4jA4DAAAAAACA5pwy0aPWCOq8sDLRo9YIIUNJUS5TQ1QuSVFfRUJJVERBLjk5NS4uLi5SRVBPUlRFRAEAAAAheIwOAwAAAAAAgOacMtGj1gjqvLAy0aPWCCVDSVEuU0NULklRX0NBU0hfVEFYRVMuOTkzLi4uLlJFUE9SVEVEAQAAACF4jA4DAAAAAACQDZ0y0aPWCLhHsDLRo9YIIkNJUS5TQ1QuSVFfREFfRVNULjEwMDMuLi4uUkVQT1JURUQBAAAAIXiMDgMAAAAAALJbnTLRo9YIXs6xMtGj1ggpQ0lRLlNDVC5JUV9TUEVDSUFMX0RJVl9DRi45OTcuLi4uUkVQT1JURUQBAAAAIXiMDgMAAAAAAIDmnDLRo9YICwuxMtGj1ggwQ0lRLlNDVC5JUV9NSU5PUklUWV9JTlRFUkVTVF9JUy4yMDAwLi4uLlJFUE9SVEVEAQAAACF4jA4DAAAAAAD3k1oz0aPWCNcAXzPRo9YIKUNJUS5TQ1QuSVFfU1RPQ0tfQkFTRURfQ0YuOTkz</t>
  </si>
  <si>
    <t>Li4uLlJFUE9SVEVEAQAAACF4jA4DAAAAAACQDZ0y0aPWCMlusDLRo9YIKUNJUS5TQ1QuSVFfQ0FTSF9TVF9JTlZFU1QuOTkxLi4uLlJFUE9SVEVEAQAAACF4jA4DAAAAAAChNJ0y0aPWCJf5rzLRo9YIJkNJUS5TQ1QuSVFfQ0FTSF9TVF9JTlZFU1QuLi4uLlJFUE9SVEVEAQAAACF4jA4CAAAACDIuODAwMDI0AQgAAAAFAAAAATEBAAAACjE5NDc3MTQ1NzMDAAAAATkCAAAABDEwMDIEAAAAATAHAAAACDMvOC8yMDE5CAAAAAoxMi8zMS8yMDE4CQAAAAEwTnGcMtGj1ghOcZwy0aPWCCVDSVEuU0NULklRX1RPVEFMX0RFQlQuOTk5Li4uLlJFUE9SVEVEAQAAACF4jA4CAAAACDAuMDg0NjM4AQgAAAAFAAAAATEBAAAACjE5MTAyNzQ0NjYDAAAAATkCAAAABDQxNzMEAAAAATAHAAAACDMvOC8yMDE5CAAAAAk2LzMwLzIwMTcJAAAAATBvv5wy0aPWCC1ZsTLRo9YIJUNJUS5TQ1QuSVFfQ09NTU9OX1JFUC45OTguLi4uUkVQT1JURUQBAAAAIXiMDgMAAAAAAG+/nDLRo9YIHDKxMtGj1gglQ0lRLlNDVC5JUV9DT01NT05fUkVQLjk5Mi4uLi5SRVBPUlRFRAEAAAAheIwOAwAAAAAAkA2dMtGj1gi4R7Ay0aPWCChDSVEuU0NULklRX0NPTU1PTl9ESVZfQ0YuOTk0Li4uLlJFUE9SVEVEAQAAACF4jA4DAAAAAACQDZ0y0aPWCNqVsDLRo9YIKENJUS5TQ1QuSVFfQ09NTU9OX0RJVl9DRi45OTUuLi4uUkVQT1JURUQBAAAAIXiM</t>
  </si>
  <si>
    <t>DgMAAAAAAIDmnDLRo9YI2pWwMtGj1ggrQ0lRLlNDVC5JUV9FRkZFQ1RfVEFYX1JBVEUuMTAwMC4uLi5SRVBPUlRFRAEAAAAheIwOAwAAAAAAX5icMtGj1gg9gLEy0aPWCBtDSVEuU0NULklRX0RJTFVUX1dFSUdIVC45OTQBAAAAIXiMDgMAAAAAAJANnTLRo9YIyW6wMtGj1gghQ0lRLlNDVC5JUV9EQV9DRi4yMDAwLi4uLlJFUE9SVEVEAQAAACF4jA4CAAAACDAuMDQzMDA4AQgAAAAFAAAAATEBAAAACjE5NDc3MTQ1NzMDAAAAATkCAAAABDIxNjAEAAAAATAHAAAACDMvOC8yMDE5CAAAAAoxMi8zMS8yMDE4CQAAAAEwX5icMtGj1ghEyQgz0aPWCCBDSVEuU0NULklRX0NBUEVYLjk5MS4uLi5SRVBPUlRFRAEAAAAheIwOAwAAAAAAoTSdMtGj1giX+a8y0aPWCC9DSVEuU0NULklRX01JTk9SSVRZX0lOVEVSRVNUX0lTLjk5NC4uLi5SRVBPUlRFRAEAAAAheIwOAwAAAAAA95NaM9Gj1ghTyF0z0aPWCCJDSVEuU0NULklRX05JX0VTVC4xMDAxLi4uLlJFUE9SVEVEAQAAACF4jA4DAAAAAACyW50y0aPWCC1ZsTLRo9YIJkNJUS5TQ1QuSVFfU1BFQ0lBTF9ESVZfQ0YuLi4uLlJFUE9SVEVEAQAAACF4jA4DAAAAAABOcZwy0aPWCE5xnDLRo9YII0NJUS5TQ1QuSVFfUEVSSU9EREFURS4xMDAwLjMvOC8yMDE5AQAAACF4jA4FAAAACTYvMzAvMjAxOABfmJwy0aPWCIdlCTPRo9YIKkNJUS5TQ1QuSVFfQ0FTSF9TVF9JTlZF</t>
  </si>
  <si>
    <t>U1QuMjAwMC4uLi5SRVBPUlRFRAEAAAAheIwOAgAAAAgyLjgwMDAyNAEIAAAABQAAAAExAQAAAAoxOTQ3NzE0NTczAwAAAAE5AgAAAAQxMDAyBAAAAAEwBwAAAAgzLzgvMjAxOQgAAAAKMTIvMzEvMjAxOAkAAAABMF+YnDLRo9YINKIIM9Gj1ggiQ0lRLlNDVC5JUV9OSV9FU1QuMTAwMi4uLi5SRVBPUlRFRAEAAAAheIwOAwAAAAAAsludMtGj1ggtWbEy0aPWCCFDSVEuU0NULklRX1RPVEFMX1JFVi4uLi4uUkVQT1JURUQBAAAAIXiMDgIAAAAIMi43NzU3NTcBCAAAAAUAAAABMQEAAAAKMTk0NzcxNDU3MwMAAAABOQIAAAACMjgEAAAAATAHAAAACDMvOC8yMDE5CAAAAAoxMi8zMS8yMDE4CQAAAAEwX5icMtGj1ghfmJwy0aPWCCRDSVEuU0NULklRX1RPVEFMX1JFVi45OTkuLi4uUkVQT1JURUQBAAAAIXiMDgIAAAAIMS43Mjg0MTUBCAAAAAUAAAABMQEAAAAKMTkxMDI3NDQ2NgMAAAABOQIAAAACMjgEAAAAATAHAAAACDMvOC8yMDE5CAAAAAk2LzMwLzIwMTcJAAAAATBvv5wy0aPWCD2AsTLRo9YINENJUS5TQ1QuSVFfU1RPQ0tfQkFTRURfQ0YuMjAwMC4xMi8zMS8yMDE3Li4uUkVQT1JURUQBAAAAIXiMDgMAAAAAAEMOBDPRo9YIl4wJM9Gj1ggsQ0lRLlNDVC5JUV9FQklUREEuMjAwMC4xMi8zMS8yMDE3Li4uUkVQT1JURUQBAAAAIXiMDgIAAAAJLTQuMTU3MTg0AQgAAAAFAAAAATEBAAAACjE5NDc3MTQ3MzkD</t>
  </si>
  <si>
    <t>AAAAATkCAAAABDQwNTEEAAAAATAHAAAACjEyLzMxLzIwMTcIAAAACjEyLzMxLzIwMTcJAAAAATBDDgQz0aPWCKizCTPRo9YIJUNJUS5TQ1QuSVFfQ09NTU9OX0RJVl9DRi4uLi4uUkVQT1JURUQBAAAAIXiMDgMAAAAAAF+YnDLRo9YIX5icMtGj1ggwQ0lRLlNDVC5JUV9NSU5PUklUWV9JTlRFUkVTVF9JUy4xMDAwLi4uLlJFUE9SVEVEAQAAACF4jA4DAAAAAAD3k1oz0aPWCGPvXTPRo9YIIENJUS5TQ1QuSVFfQ0FQRVguOTkwLi4uLlJFUE9SVEVEAQAAACF4jA4DAAAAAAChNJ0y0aPWCIfSrzLRo9YILENJUS5TQ1QuSVFfR1dfSU5UQU5fQU1PUlRfQ0YuOTk1Li4uLlJFUE9SVEVEAQAAACF4jA4DAAAAAACA5pwy0aPWCOq8sDLRo9YIKkNJUS5TQ1QuSVFfQ0FTSF9BQ1FVSVJFX0NGLjk5MC4uLi5SRVBPUlRFRAEAAAAheIwOAwAAAAAAoTSdMtGj1giH0q8y0aPWCCVDSVEuU0NULklRX0NBU0hfVEFYRVMuOTk5Li4uLlJFUE9SVEVEAQAAACF4jA4DAAAAAABvv5wy0aPWCC1ZsTLRo9YIMENJUS5TQ1QuSVFfVE9UQUxfREVCVC4yMDAwLjEyLzMxLzIwMTcuLi5SRVBPUlRFRAEAAAAheIwOAgAAAAEwAQgAAAAFAAAAATEBAAAACjE5NDc3MTQ3MzkDAAAAATkCAAAABDQxNzMEAAAAATAHAAAACjEyLzMxLzIwMTcIAAAACjEyLzMxLzIwMTcJAAAAATBDDgQz0aPWCJeMCTPRo9YIIkNJUS5TQ1QuSVFfREFfRVNULjEw</t>
  </si>
  <si>
    <t>MDIuLi4uUkVQT1JURUQBAAAAIXiMDgMAAAAAALJbnTLRo9YIXs6xMtGj1ggkQ0lRLlNDVC5JUV9UT1RBTF9SRVYuOTk1Li4uLlJFUE9SVEVEAQAAACF4jA4DAAAAAACA5pwy0aPWCOq8sDLRo9YIJENJUS5TQ1QuSVFfQ0FTSF9PUEVSLjk5NC4uLi5SRVBPUlRFRAEAAAAheIwOAwAAAAAAkA2dMtGj1gjJbrAy0aPWCChDSVEuU0NULklRX0NPTU1PTl9ESVZfQ0YuOTk2Li4uLlJFUE9SVEVEAQAAACF4jA4DAAAAAACA5pwy0aPWCPvjsDLRo9YIJkNJUS5TQ1QuSVFfRUJJVERBX0VTVC4xMDAxLi4uLlJFUE9SVEVEAQAAACF4jA4DAAAAAACyW50y0aPWCC1ZsTLRo9YIG0NJUS5TQ1QuSVFfRElMVVRfV0VJR0hULjk5NgEAAAAheIwOAwAAAAAAgOacMtGj1ggLC7Ey0aPWCCZDSVEuU0NULklRX1RPVEFMX0RFQlQuMjAwMC4uLi5SRVBPUlRFRAEAAAAheIwOAgAAAAMwLjUBCAAAAAUAAAABMQEAAAAKMTk0NzcxNDU3MwMAAAABOQIAAAAENDE3MwQAAAABMAcAAAAIMy84LzIwMTkIAAAACjEyLzMxLzIwMTgJAAAAATBfmJwy0aPWCETJCDPRo9YI</t>
  </si>
  <si>
    <t>Softcat</t>
  </si>
  <si>
    <t>Restated</t>
  </si>
  <si>
    <t>FY2009</t>
  </si>
  <si>
    <t>Growth Analysis</t>
  </si>
  <si>
    <t>Software revenue growth, %</t>
  </si>
  <si>
    <t>Hardware revenue growth, %</t>
  </si>
  <si>
    <t>Services revenue growth, %</t>
  </si>
  <si>
    <t>Total Revenue Growth, %</t>
  </si>
  <si>
    <t>Software gross invoiced income growth, %</t>
  </si>
  <si>
    <t>Hardware gross invoiced income growth, %</t>
  </si>
  <si>
    <t>Services gross invoiced income growth, %</t>
  </si>
  <si>
    <t>Total Gross Invoiced Income Growth, %</t>
  </si>
  <si>
    <t>Gross Profit Growth, %</t>
  </si>
  <si>
    <t>Operating Profit Growth, %</t>
  </si>
  <si>
    <t>Segmented Results - Revenue and Gross Invoiced Income (GII) by Type (FS)</t>
  </si>
  <si>
    <t>Software revenue, mm</t>
  </si>
  <si>
    <t>Hardware revenue, mm</t>
  </si>
  <si>
    <t>Services revenue, mm</t>
  </si>
  <si>
    <t>Total revenue by type, mm</t>
  </si>
  <si>
    <t>Software revenue mix, %</t>
  </si>
  <si>
    <t>Hardware revenue mix, %</t>
  </si>
  <si>
    <t>Services revenue mix, %</t>
  </si>
  <si>
    <t>Total revenue mix by type, %</t>
  </si>
  <si>
    <t>Software revenue as a % of Software GII, %</t>
  </si>
  <si>
    <t>Hardware revenue as a % of Hardware GII, %</t>
  </si>
  <si>
    <t>Services revenue as a % of Services GII, %</t>
  </si>
  <si>
    <t>Total revenue by type as a % of total GII, %</t>
  </si>
  <si>
    <t>Software gross invoiced income, mm</t>
  </si>
  <si>
    <t>Hardware gross invoiced income, mm</t>
  </si>
  <si>
    <t>Services gross invoiced income, mm</t>
  </si>
  <si>
    <t>Total gross invoiced income by type, mm</t>
  </si>
  <si>
    <t>Software gross invoiced income mix, %</t>
  </si>
  <si>
    <t>Hardware gross invoiced income mix, %</t>
  </si>
  <si>
    <t>Services gross invoiced income mix, %</t>
  </si>
  <si>
    <t>Total gross invoiced income mix by type, %</t>
  </si>
  <si>
    <t>Gross invoiced income, mm</t>
  </si>
  <si>
    <t>Income recognised as agent under IFRS 15, mm</t>
  </si>
  <si>
    <t>Total revenue, mm</t>
  </si>
  <si>
    <t>Segmented Results - Revenue and Gross Invoiced Income (GII) by Type of Business (FS)</t>
  </si>
  <si>
    <t>SMB revenue, mm</t>
  </si>
  <si>
    <t>Enterprise revenue, mm</t>
  </si>
  <si>
    <t>Public sector revenue, mm</t>
  </si>
  <si>
    <t>Total revenue by type of business, mm</t>
  </si>
  <si>
    <t>SMB revenue mix, %</t>
  </si>
  <si>
    <t>Enterprise revenue mix, %</t>
  </si>
  <si>
    <t>Public sector revenue mix, %</t>
  </si>
  <si>
    <t>Total revenue mix by type of business, %</t>
  </si>
  <si>
    <t>SMB revenue as a % of SMB GII, %</t>
  </si>
  <si>
    <t>Enterprise revenue as a % of enterprise GII, %</t>
  </si>
  <si>
    <t>Public sector revenue as a % of public sector GII, %</t>
  </si>
  <si>
    <t>Total revenue by type of business as a % of total GII, %</t>
  </si>
  <si>
    <t>SMB gross invoiced income, mm</t>
  </si>
  <si>
    <t>Enterprise gross invoiced income, mm</t>
  </si>
  <si>
    <t>Public sector gross invoiced income, mm</t>
  </si>
  <si>
    <t>Total gross invoiced income by type of business, mm</t>
  </si>
  <si>
    <t>SMB gross invoiced income mix, %</t>
  </si>
  <si>
    <t>Enterprise gross invoiced income mix, %</t>
  </si>
  <si>
    <t>Public sector gross invoiced income mix, %</t>
  </si>
  <si>
    <t>Total gross invoiced income mix by type of business, %</t>
  </si>
  <si>
    <t>Key Metrics - Operating Profit Charges (AR)</t>
  </si>
  <si>
    <t>Depreciation of tangible assets, mm</t>
  </si>
  <si>
    <t>Depreciation of right-of-use assets, mm</t>
  </si>
  <si>
    <t>Amortisation of intangible assets, mm</t>
  </si>
  <si>
    <t>Operating lease rentals, mm</t>
  </si>
  <si>
    <t>Low value asset and short-term lease expense, mm</t>
  </si>
  <si>
    <t>Foreign exchange loss, mm</t>
  </si>
  <si>
    <t>Exceptional items, mm</t>
  </si>
  <si>
    <t>Inventories expensed in the year, mm</t>
  </si>
  <si>
    <t>Movement in trade receivables provision as potentially uncollectable, recovered or written off during the year, mm</t>
  </si>
  <si>
    <t>Key Metrics - Cash Conversion (FS)</t>
  </si>
  <si>
    <t>Cash flow from operations before tax but after capital expenditure, mm</t>
  </si>
  <si>
    <t>Operating profit, mm</t>
  </si>
  <si>
    <t>Cash conversion rate, %</t>
  </si>
  <si>
    <t>Key Metrics - Customer Base (FS)</t>
  </si>
  <si>
    <t>Customer base (rolling 12 month basis), 000s</t>
  </si>
  <si>
    <t>Gross profit per customer (rolling 12 month basis), 000s</t>
  </si>
  <si>
    <t>Key Metrics - Employees (FS/IP)</t>
  </si>
  <si>
    <t>Average monthly number of employees in Sales, # of employees</t>
  </si>
  <si>
    <t>Average monthly number of employees in Services, # of employees</t>
  </si>
  <si>
    <t>Average monthly number of employees in Administration, # of employees</t>
  </si>
  <si>
    <t>Average monthly number of employees, # of employees</t>
  </si>
  <si>
    <t>Employee headcount end of period, # of employees</t>
  </si>
  <si>
    <t>Wages and salaries, mm</t>
  </si>
  <si>
    <t>Social security costs, mm</t>
  </si>
  <si>
    <t>Other pension costs, mm</t>
  </si>
  <si>
    <t>Share option charge, mm</t>
  </si>
  <si>
    <t>Total employment costs, mm</t>
  </si>
  <si>
    <t>D&amp;A Breakdown (FS)</t>
  </si>
  <si>
    <t>Depreciation of property, plant and equipment, mm</t>
  </si>
  <si>
    <t>Total depreciation, mm</t>
  </si>
  <si>
    <t>Amortisation of intangibles, mm</t>
  </si>
  <si>
    <t>Total D&amp;A, mm</t>
  </si>
  <si>
    <t>Margin Analysis</t>
  </si>
  <si>
    <t>COGS Margin, %</t>
  </si>
  <si>
    <t>Gross Margin, %</t>
  </si>
  <si>
    <t>Consensus Estimates - Gross Margin, %</t>
  </si>
  <si>
    <t>G&amp;A Margin, %</t>
  </si>
  <si>
    <t>EBIT Margin, %</t>
  </si>
  <si>
    <t>Adjusted EBIT Margin, %</t>
  </si>
  <si>
    <t>Consensus Estimates - Adjusted EBIT Margin, %</t>
  </si>
  <si>
    <t>Add back: D&amp;A Margin, %</t>
  </si>
  <si>
    <t>Add back: SBC Margin, %</t>
  </si>
  <si>
    <t>EBITDA Margin, %</t>
  </si>
  <si>
    <t>Adjusted EBITDA Margin, %</t>
  </si>
  <si>
    <t>Consensus Estimates - Adjusted EBITDA Margin, %</t>
  </si>
  <si>
    <t>Income Statement - As Reported</t>
  </si>
  <si>
    <t>Revenue</t>
  </si>
  <si>
    <t>Bank interest income</t>
  </si>
  <si>
    <t>Lease liability interest cost</t>
  </si>
  <si>
    <t>Finance cost</t>
  </si>
  <si>
    <t>Current tax for the period</t>
  </si>
  <si>
    <t>Adjustment in respect of current income tax in previous years</t>
  </si>
  <si>
    <t>Foreign tax relief/other relief</t>
  </si>
  <si>
    <t>Foreign tax suffered</t>
  </si>
  <si>
    <t>Total current tax</t>
  </si>
  <si>
    <t>Deferred tax for the period</t>
  </si>
  <si>
    <t>Adjustment in respect of deferred tax of previous periods</t>
  </si>
  <si>
    <t>Effect of changes in tax rate on deferred tax</t>
  </si>
  <si>
    <t>Total deferred tax</t>
  </si>
  <si>
    <t>Profit and total comprehensive income for the period</t>
  </si>
  <si>
    <t>IS Check</t>
  </si>
  <si>
    <t>Adjusted Numbers - As Reported</t>
  </si>
  <si>
    <t>Exceptional items</t>
  </si>
  <si>
    <t>Earnings</t>
  </si>
  <si>
    <t>Tax effect of adjusting items</t>
  </si>
  <si>
    <t>Adjusted earnings</t>
  </si>
  <si>
    <t>Revised Income Statement</t>
  </si>
  <si>
    <t>G&amp;A</t>
  </si>
  <si>
    <t>EBIT</t>
  </si>
  <si>
    <t>Consensus Estimates - Adjusted EBIT</t>
  </si>
  <si>
    <t>Add back: D&amp;A</t>
  </si>
  <si>
    <t>Add back: SBC</t>
  </si>
  <si>
    <t>Net finance expense</t>
  </si>
  <si>
    <t>EBT</t>
  </si>
  <si>
    <t>Current tax</t>
  </si>
  <si>
    <t>Deferred tax</t>
  </si>
  <si>
    <t>Net Income from Continued Operation</t>
  </si>
  <si>
    <t>Discontinued Operations</t>
  </si>
  <si>
    <t>Net Income to NCI</t>
  </si>
  <si>
    <t>Earnings to Preferred and Other Securities</t>
  </si>
  <si>
    <t>Net Income to Common Shareholders</t>
  </si>
  <si>
    <t>Adjustments for Convertible Securities</t>
  </si>
  <si>
    <t>Diluted Net Income to Common Shareholders</t>
  </si>
  <si>
    <t>Non-GAAP Adjustments</t>
  </si>
  <si>
    <t>Non-GAAP Adjustments for Dilutive Securities</t>
  </si>
  <si>
    <t>Adjusted Net Income</t>
  </si>
  <si>
    <t>Current tax rate</t>
  </si>
  <si>
    <t>Deferred tax rate</t>
  </si>
  <si>
    <t>Earnings Per Share - WAB, p</t>
  </si>
  <si>
    <t>Earnings Per Share - WAD, p</t>
  </si>
  <si>
    <t>Adjusted Earnings Per Share - WAB, p</t>
  </si>
  <si>
    <t>Adjusted Earnings Per Share - WAD, p</t>
  </si>
  <si>
    <t>Shares Outstanding - WAB</t>
  </si>
  <si>
    <t>Shares Outstanding - WAD</t>
  </si>
  <si>
    <t>Adjusted Shares Outstanding - WAB</t>
  </si>
  <si>
    <t>Adjusted Shares Outstanding - WAD</t>
  </si>
  <si>
    <t>Share Count Analysis</t>
  </si>
  <si>
    <t>Ordinary shares outstanding - EoP, mm shares</t>
  </si>
  <si>
    <t>Cash Flow Summary</t>
  </si>
  <si>
    <t>Operating Cash Flow before WC</t>
  </si>
  <si>
    <t>Change in Working Capital</t>
  </si>
  <si>
    <t>Operating Cash Flow after WC</t>
  </si>
  <si>
    <t>Cash Flow Per Diluted Share before WC, p</t>
  </si>
  <si>
    <t>Cash Flow Per Diluted Share, p</t>
  </si>
  <si>
    <t>Acquisitions</t>
  </si>
  <si>
    <t>Divestiture</t>
  </si>
  <si>
    <t>Dividend Paid</t>
  </si>
  <si>
    <t>Dividend Per Share, p</t>
  </si>
  <si>
    <t>Net Debt Issuance (Repayment)</t>
  </si>
  <si>
    <t>Net Share Issuance (Buybacks)</t>
  </si>
  <si>
    <t>SBC expense</t>
  </si>
  <si>
    <t>SBC expense as % of revenue, %</t>
  </si>
  <si>
    <t>FCF (before WC), Pre Div</t>
  </si>
  <si>
    <t>FCF (before WC), Post Div, Pre A/D</t>
  </si>
  <si>
    <t>FCF (before WC), Post Div, Post A/D</t>
  </si>
  <si>
    <t>FCF (before WC), Post Div, Debt, Buyback, A/D</t>
  </si>
  <si>
    <t>FCF, Pre Div</t>
  </si>
  <si>
    <t>FCF, Post Div, Pre A/D</t>
  </si>
  <si>
    <t>FCF, Post Div, Post A/D</t>
  </si>
  <si>
    <t>FCF, Post Div, Debt, Buyback, A/D</t>
  </si>
  <si>
    <t>Balance Sheet Summary</t>
  </si>
  <si>
    <t>Cash</t>
  </si>
  <si>
    <t>ST Debt</t>
  </si>
  <si>
    <t>LT Debt</t>
  </si>
  <si>
    <t>Debt</t>
  </si>
  <si>
    <t>Operating Lease Liabilities</t>
  </si>
  <si>
    <t>Interest Expense</t>
  </si>
  <si>
    <t>Effective Interest Rate on Debt</t>
  </si>
  <si>
    <t>Interest Income</t>
  </si>
  <si>
    <t>Effective Interest Rate on Cash</t>
  </si>
  <si>
    <t>Net Interest Expense (Income)</t>
  </si>
  <si>
    <t>Effective Net Interest Rate on Debt</t>
  </si>
  <si>
    <t>EBITDA / Net Interest Expense</t>
  </si>
  <si>
    <t>Net Debt / EBITDA</t>
  </si>
  <si>
    <t>Net Debt / Cash Flow</t>
  </si>
  <si>
    <t>Finance Expense &amp; Income</t>
  </si>
  <si>
    <t>Interest on Borrowings</t>
  </si>
  <si>
    <t>Interest on Lease Liabilities</t>
  </si>
  <si>
    <t>Interest Expense (Including Leases)</t>
  </si>
  <si>
    <t>Other Finance Costs</t>
  </si>
  <si>
    <t>Finance Costs</t>
  </si>
  <si>
    <t>Other Finance Income</t>
  </si>
  <si>
    <t>Finance Income</t>
  </si>
  <si>
    <t>Net Interest Expense (Including Leases)</t>
  </si>
  <si>
    <t>Net Other Finance Expense</t>
  </si>
  <si>
    <t>Net Finance Costs</t>
  </si>
  <si>
    <t>Avg</t>
  </si>
  <si>
    <t>Enterprise Value Components</t>
  </si>
  <si>
    <t>Noncontrolling Interest</t>
  </si>
  <si>
    <t>Preferred Shares</t>
  </si>
  <si>
    <t>Other EV Components</t>
  </si>
  <si>
    <t>Cash Flow Statement</t>
  </si>
  <si>
    <t>Depreciation of property, plant and equipment</t>
  </si>
  <si>
    <t>Depreciation of right-of-use assets</t>
  </si>
  <si>
    <t>Amortisation of intangibles</t>
  </si>
  <si>
    <t>Loss (gain) on disposal of fixed assets</t>
  </si>
  <si>
    <t>Loss (gain) on disposal of intangible assets</t>
  </si>
  <si>
    <t>Dividend equivalents paid</t>
  </si>
  <si>
    <t>Cost of equity-settled employee share schemes</t>
  </si>
  <si>
    <t>Decrease in provisions</t>
  </si>
  <si>
    <t>CFO before WC</t>
  </si>
  <si>
    <t>Increase in inventories</t>
  </si>
  <si>
    <t>Decrease (increase) in trade and other receivables</t>
  </si>
  <si>
    <t>Increase (decrease) in trade and other payables</t>
  </si>
  <si>
    <t>Net CFO</t>
  </si>
  <si>
    <t>Purchase of property, plant and equipment</t>
  </si>
  <si>
    <t>Acquisition</t>
  </si>
  <si>
    <t>Net CFI</t>
  </si>
  <si>
    <t>Purchase of own shares</t>
  </si>
  <si>
    <t>Proceed from debt issuance</t>
  </si>
  <si>
    <t>Interest expense paid</t>
  </si>
  <si>
    <t>Payment of principal portion of lease liabilities</t>
  </si>
  <si>
    <t>Payment of interest portion of lease liabilities</t>
  </si>
  <si>
    <t>Own share transaction</t>
  </si>
  <si>
    <t>Net CFF</t>
  </si>
  <si>
    <t>Net Change in Cash Balance</t>
  </si>
  <si>
    <t>Beginning Cash Balance</t>
  </si>
  <si>
    <t>Ending Cash Balance</t>
  </si>
  <si>
    <t>CF Check</t>
  </si>
  <si>
    <t>Working Capital Forecasting</t>
  </si>
  <si>
    <t>Trade and other receivables, % of LTM Sales</t>
  </si>
  <si>
    <t>Inventories, % of LTM Sales</t>
  </si>
  <si>
    <t>Trade and other payables, % of LTM Sales</t>
  </si>
  <si>
    <t>Trade and other receivables, Y/Y Change, %</t>
  </si>
  <si>
    <t>Inventories, Y/Y Change, %</t>
  </si>
  <si>
    <t>Trade and other payables, Y/Y Change, %</t>
  </si>
  <si>
    <t>D&amp;A Forecasting</t>
  </si>
  <si>
    <t>PP&amp;E BoP</t>
  </si>
  <si>
    <t>Depreciation of fixed assets</t>
  </si>
  <si>
    <t>Capex of PP&amp;E</t>
  </si>
  <si>
    <t>Other net additions to PP&amp;E</t>
  </si>
  <si>
    <t>PP&amp;E EoP</t>
  </si>
  <si>
    <t>Intangibles BoP</t>
  </si>
  <si>
    <t>Capex of intangibles</t>
  </si>
  <si>
    <t>Other net additions to intangibles</t>
  </si>
  <si>
    <t>Intangibles EoP</t>
  </si>
  <si>
    <t>Depreciation as percentage of PP&amp;E BoP, %</t>
  </si>
  <si>
    <t>Amortization as percentage of Intangibles BoP, %</t>
  </si>
  <si>
    <t>Implied life of fixed assets, yr</t>
  </si>
  <si>
    <t>Implied life of intangibles, yr</t>
  </si>
  <si>
    <t>D&amp;A of PPE and Intangibles</t>
  </si>
  <si>
    <t>Capex of PPE and Intangibles</t>
  </si>
  <si>
    <t>Percentage of capex allocated to intangible assets, %</t>
  </si>
  <si>
    <t>ROU Assets BoP</t>
  </si>
  <si>
    <t>Depreciation of ROU assets</t>
  </si>
  <si>
    <t>Additions to ROU assets</t>
  </si>
  <si>
    <t>Other changes to ROU assets</t>
  </si>
  <si>
    <t>ROU Assets EoP</t>
  </si>
  <si>
    <t>Depreciation as % of BoP ROU assets, %</t>
  </si>
  <si>
    <t>ROU Asset Life, yrs</t>
  </si>
  <si>
    <t>Lease Liabilities BoP</t>
  </si>
  <si>
    <t>Additions to lease liabilities</t>
  </si>
  <si>
    <t>Capital repayments of lease liabilities</t>
  </si>
  <si>
    <t>Net interest accretion</t>
  </si>
  <si>
    <t>Other changes to lease liabilities</t>
  </si>
  <si>
    <t>Lease Liabilities EoP</t>
  </si>
  <si>
    <t>Current lease liabilities as % of total, %</t>
  </si>
  <si>
    <t>Lease liability interest paid</t>
  </si>
  <si>
    <t>Lease liability repayment of capital</t>
  </si>
  <si>
    <t>Cash Paid on Leases</t>
  </si>
  <si>
    <t>Implied interest rate for ROU liabilities, %</t>
  </si>
  <si>
    <t>Cash payment reduction associated with principal repayment</t>
  </si>
  <si>
    <t>Cash payment increase (reduction) associated with net lease additions</t>
  </si>
  <si>
    <t>Estimated obligations added (reduced)</t>
  </si>
  <si>
    <t>PV of estimated obligations added (reduced)</t>
  </si>
  <si>
    <t>Monthly Cash Payments on Leases</t>
  </si>
  <si>
    <t>H/H monthly cash payment change, %</t>
  </si>
  <si>
    <t>Y/Y monthly cash payment change, %</t>
  </si>
  <si>
    <t>Balance Sheet</t>
  </si>
  <si>
    <t>Income tax receivable</t>
  </si>
  <si>
    <t>Non-Current Assets</t>
  </si>
  <si>
    <t>Property, plant and equipment</t>
  </si>
  <si>
    <t>Right-of-use assets</t>
  </si>
  <si>
    <t>Deferred tax asset</t>
  </si>
  <si>
    <t>Total Non-Current Assets</t>
  </si>
  <si>
    <t>Total Assets</t>
  </si>
  <si>
    <t>Short-term debt</t>
  </si>
  <si>
    <t>Non-Current Liabilities</t>
  </si>
  <si>
    <t>Long-term debt</t>
  </si>
  <si>
    <t>Other liabilities</t>
  </si>
  <si>
    <t>Total Non-Current liabilities</t>
  </si>
  <si>
    <t>Total Liabilities</t>
  </si>
  <si>
    <t>Shareholders' Equity</t>
  </si>
  <si>
    <t>Reserves for own shares</t>
  </si>
  <si>
    <t>Total SE</t>
  </si>
  <si>
    <t>NCI</t>
  </si>
  <si>
    <t>Total Liabilities &amp; SE</t>
  </si>
  <si>
    <t>BS Check</t>
  </si>
  <si>
    <t>Model Checks</t>
  </si>
  <si>
    <t>Operating profit on Revised IS = OP on CF statement</t>
  </si>
  <si>
    <t>Net Income on Reported IS = NI on Revised</t>
  </si>
  <si>
    <t>Segmented Revenue = Revenue</t>
  </si>
  <si>
    <t>Cash Flow is not Repeated</t>
  </si>
  <si>
    <t>Income Statement is not Repeated</t>
  </si>
  <si>
    <t>Balance Sheet is not Repeated</t>
  </si>
  <si>
    <t>Capex is Updated</t>
  </si>
  <si>
    <t>Margin is Updated</t>
  </si>
  <si>
    <t>Adjusted Numbers FY = Sum of Qs</t>
  </si>
  <si>
    <t>*Cash Flow Summary Signs are Correct</t>
  </si>
  <si>
    <t>*RIS NI FY = Sum of Qs</t>
  </si>
  <si>
    <t>*RIS Adjusted NI FY = Sum of Qs</t>
  </si>
  <si>
    <t>*CFO Before WC subtotal FY = Sum of Qs</t>
  </si>
  <si>
    <t>*CFO subtotal FY = Sum of Qs</t>
  </si>
  <si>
    <t>*CFI subtotal FY = Sum of Qs</t>
  </si>
  <si>
    <t>*CFF subtotal FY = Sum of Qs</t>
  </si>
  <si>
    <t>*CF Summary FY = Sum of Qs</t>
  </si>
  <si>
    <t>Other Tables</t>
  </si>
  <si>
    <t>Ticker Symbol</t>
  </si>
  <si>
    <t>SCT_GB</t>
  </si>
  <si>
    <t>SCT LN</t>
  </si>
  <si>
    <t>LON:SCT</t>
  </si>
  <si>
    <t>SCT.L-EU</t>
  </si>
  <si>
    <t>SCTS.L</t>
  </si>
  <si>
    <t>Valuation Toggle Table</t>
  </si>
  <si>
    <t>High</t>
  </si>
  <si>
    <t>Low</t>
  </si>
  <si>
    <t>Key Outputs</t>
  </si>
  <si>
    <t>KPI Data</t>
  </si>
  <si>
    <t>MO_RIS_REV</t>
  </si>
  <si>
    <t>MO_RIS_NI_NONGAAP_Diluted</t>
  </si>
  <si>
    <t>MO_RIS_EPS_WAD_Adj</t>
  </si>
  <si>
    <t>MO_RIS_EBITDA_Adj</t>
  </si>
  <si>
    <t>MO_MA_EBITDA_Adj</t>
  </si>
  <si>
    <t>MO_OS_EmployeeCount</t>
  </si>
  <si>
    <t>Consensus Estimate Table</t>
  </si>
  <si>
    <t>FY or FQ</t>
  </si>
  <si>
    <t>Period</t>
  </si>
  <si>
    <t>Stock Price Table</t>
  </si>
  <si>
    <t>Fiscal Period Start Date</t>
  </si>
  <si>
    <t>Is Historical Period</t>
  </si>
  <si>
    <t>Real-Time Off Source</t>
  </si>
  <si>
    <t>Bloomberg</t>
  </si>
  <si>
    <t>Capital IQ</t>
  </si>
  <si>
    <t>FactSet</t>
  </si>
  <si>
    <t>Refinitiv</t>
  </si>
  <si>
    <t>Last Working Day In Period</t>
  </si>
  <si>
    <t>Stock Price EoP</t>
  </si>
  <si>
    <t>FX EoP</t>
  </si>
  <si>
    <t>General Table</t>
  </si>
  <si>
    <t>Last Price</t>
  </si>
  <si>
    <t>Last Price Date</t>
  </si>
  <si>
    <t>Real-Time Stock Price</t>
  </si>
  <si>
    <t>Last Price Formula</t>
  </si>
  <si>
    <t>Apply Trade Currency Scaling</t>
  </si>
  <si>
    <t>Trade Currency</t>
  </si>
  <si>
    <t>Trade Currency Hardcoded</t>
  </si>
  <si>
    <t>GBX</t>
  </si>
  <si>
    <t>Model Sheet Currency Hardcoded</t>
  </si>
  <si>
    <t>Most Recent FX</t>
  </si>
  <si>
    <t>Most Recent FX Hardcoded</t>
  </si>
  <si>
    <t>MRFP Column Number</t>
  </si>
  <si>
    <t>Most Recent Fiscal Period (MRFP)</t>
  </si>
  <si>
    <t>H1-2023</t>
  </si>
  <si>
    <t>Current Fiscal Year</t>
  </si>
  <si>
    <t>First Forecast Fiscal Year</t>
  </si>
  <si>
    <t>KPI Count</t>
  </si>
  <si>
    <t>Data Source Index</t>
  </si>
  <si>
    <t>Canalyst</t>
  </si>
  <si>
    <t>Detailed financials (as disclosed)</t>
  </si>
  <si>
    <t>Income Statement</t>
  </si>
  <si>
    <t xml:space="preserve">For the Fiscal Period Ending
</t>
  </si>
  <si>
    <t>16 months
Jul-31-1996</t>
  </si>
  <si>
    <t>12 months
Jul-31-1997</t>
  </si>
  <si>
    <t>12 months
Jul-31-1998</t>
  </si>
  <si>
    <t>12 months
Jul-31-1999</t>
  </si>
  <si>
    <t>12 months
Jul-31-2000</t>
  </si>
  <si>
    <t>12 months
Jul-31-2001</t>
  </si>
  <si>
    <t>12 months
Jul-31-2002</t>
  </si>
  <si>
    <t>12 months
Jul-31-2003</t>
  </si>
  <si>
    <t>12 months
Jul-31-2004</t>
  </si>
  <si>
    <t>12 months
Jul-31-2005</t>
  </si>
  <si>
    <t>12 months
Jul-31-2006</t>
  </si>
  <si>
    <t>12 months
Jul-31-2007</t>
  </si>
  <si>
    <t>12 months
Jul-31-2008</t>
  </si>
  <si>
    <t>12 months
Jul-31-2009</t>
  </si>
  <si>
    <t>12 months
Jul-31-2010</t>
  </si>
  <si>
    <t>12 months
Jul-31-2011</t>
  </si>
  <si>
    <t>12 months
Jul-31-2012</t>
  </si>
  <si>
    <t>12 months
Jul-31-2013</t>
  </si>
  <si>
    <t>12 months
Jul-31-2014</t>
  </si>
  <si>
    <t>12 months
Jul-31-2015</t>
  </si>
  <si>
    <t>6 months
Jan-31-2015</t>
  </si>
  <si>
    <t>6 months
Jul-31-2015</t>
  </si>
  <si>
    <t>6 months
Jan-31-2016</t>
  </si>
  <si>
    <t>Currency</t>
  </si>
  <si>
    <t>Units</t>
  </si>
  <si>
    <t>Absolute</t>
  </si>
  <si>
    <t>Thousands</t>
  </si>
  <si>
    <t>Revenues</t>
  </si>
  <si>
    <t xml:space="preserve">  Revenues</t>
  </si>
  <si>
    <t>Expenses</t>
  </si>
  <si>
    <t xml:space="preserve">  Cost of Sales</t>
  </si>
  <si>
    <t xml:space="preserve">  Administrative Expenses</t>
  </si>
  <si>
    <t xml:space="preserve">  Interest Receivable</t>
  </si>
  <si>
    <t xml:space="preserve">  Investment Income</t>
  </si>
  <si>
    <t xml:space="preserve">  Amount Written off Investments</t>
  </si>
  <si>
    <t xml:space="preserve">  Other Interest Receivable and Similar Income</t>
  </si>
  <si>
    <t xml:space="preserve">  Interest Payable and Similar Charges</t>
  </si>
  <si>
    <t xml:space="preserve">  Finance Income</t>
  </si>
  <si>
    <t xml:space="preserve">  Interest Receivable and Similar Income</t>
  </si>
  <si>
    <t xml:space="preserve">  Exceptional Items</t>
  </si>
  <si>
    <t xml:space="preserve">  Earnings before Taxes</t>
  </si>
  <si>
    <t>Taxes and Other Expenses</t>
  </si>
  <si>
    <t xml:space="preserve">  Provision for Income Tax</t>
  </si>
  <si>
    <t xml:space="preserve">  Minority Interest (After Tax)</t>
  </si>
  <si>
    <t xml:space="preserve">  Earnings of Discontinued Operations</t>
  </si>
  <si>
    <t xml:space="preserve">  Net Income (Loss)</t>
  </si>
  <si>
    <t>Supplementary Info</t>
  </si>
  <si>
    <t xml:space="preserve">  Gross Profit/loss</t>
  </si>
  <si>
    <t xml:space="preserve">  Operating Income (Loss)</t>
  </si>
  <si>
    <t xml:space="preserve">  Basic EPS - Continuing Operations</t>
  </si>
  <si>
    <t xml:space="preserve">  Diluted EPS - Continuing Operations</t>
  </si>
  <si>
    <t xml:space="preserve">  EBIT (GAAP)</t>
  </si>
  <si>
    <t xml:space="preserve">  EBITDA (GAPP)</t>
  </si>
  <si>
    <t xml:space="preserve">Balance Sheet as of:
</t>
  </si>
  <si>
    <t xml:space="preserve">  Cash and Cash Equivalents</t>
  </si>
  <si>
    <t xml:space="preserve">  Trade and Other Receivables</t>
  </si>
  <si>
    <t xml:space="preserve">  Debtors</t>
  </si>
  <si>
    <t xml:space="preserve">  Income Tax Recoverable</t>
  </si>
  <si>
    <t xml:space="preserve">  Inventories</t>
  </si>
  <si>
    <t xml:space="preserve">  Total Current Assets</t>
  </si>
  <si>
    <t>Non Current Assets</t>
  </si>
  <si>
    <t xml:space="preserve">  Property, Plant and Equipment</t>
  </si>
  <si>
    <t xml:space="preserve">  Tangible Assets</t>
  </si>
  <si>
    <t xml:space="preserve">  Investments</t>
  </si>
  <si>
    <t xml:space="preserve">  Investment in Subsidiaries</t>
  </si>
  <si>
    <t xml:space="preserve">  Deferred Tax Assets</t>
  </si>
  <si>
    <t xml:space="preserve">  Intangible Assets</t>
  </si>
  <si>
    <t xml:space="preserve">  Total Assets</t>
  </si>
  <si>
    <t xml:space="preserve">  Trade and Other Payables</t>
  </si>
  <si>
    <t xml:space="preserve">  Bank Loans and Overdrafts</t>
  </si>
  <si>
    <t xml:space="preserve">  Income Tax Payable</t>
  </si>
  <si>
    <t xml:space="preserve">  Provisions</t>
  </si>
  <si>
    <t xml:space="preserve">  Creditors-amounts Falling Due Within One Year</t>
  </si>
  <si>
    <t xml:space="preserve">  Total Current Liabilities</t>
  </si>
  <si>
    <t>Non Current Liabilities</t>
  </si>
  <si>
    <t>Minority Interest</t>
  </si>
  <si>
    <t xml:space="preserve">  Minority Interest</t>
  </si>
  <si>
    <t>Provision for Liabilities and Charges</t>
  </si>
  <si>
    <t xml:space="preserve">  Provision for Liabilities and Charges</t>
  </si>
  <si>
    <t>Amounts Falling Due After More Than One Year</t>
  </si>
  <si>
    <t xml:space="preserve">  Amounts Falling Due After More Than One Year</t>
  </si>
  <si>
    <t xml:space="preserve">  Common Stock - Par Value</t>
  </si>
  <si>
    <t xml:space="preserve">  Additional Paid in Capital</t>
  </si>
  <si>
    <t xml:space="preserve">  Treasury Stock - Common</t>
  </si>
  <si>
    <t xml:space="preserve">  Retained Earnings</t>
  </si>
  <si>
    <t xml:space="preserve">  Capital Reserves</t>
  </si>
  <si>
    <t xml:space="preserve">  Merger Reserves</t>
  </si>
  <si>
    <t xml:space="preserve">  Other Reserves</t>
  </si>
  <si>
    <t xml:space="preserve">  Total Shareholders Equity</t>
  </si>
  <si>
    <t xml:space="preserve">  Total Liabilities &amp; Shareholders Equity</t>
  </si>
  <si>
    <t>Cash Flow</t>
  </si>
  <si>
    <t>Operating Activities</t>
  </si>
  <si>
    <t xml:space="preserve">  Operating Profit/loss</t>
  </si>
  <si>
    <t xml:space="preserve">  Depreciation</t>
  </si>
  <si>
    <t xml:space="preserve">  Amortization</t>
  </si>
  <si>
    <t xml:space="preserve">  Profit/loss on Disposal of Fixed Assets</t>
  </si>
  <si>
    <t>Write off of Investment</t>
  </si>
  <si>
    <t xml:space="preserve">  Write off of Invesfrnent</t>
  </si>
  <si>
    <t>Share Based Payments</t>
  </si>
  <si>
    <t xml:space="preserve">  Share Based Payments</t>
  </si>
  <si>
    <t xml:space="preserve">  Cost of Equity-settled Employee Share Schemes</t>
  </si>
  <si>
    <t>Frs20 Share Based Payment</t>
  </si>
  <si>
    <t xml:space="preserve">  Frs20 Share Based Payment</t>
  </si>
  <si>
    <t xml:space="preserve">  Income-taxes Paid</t>
  </si>
  <si>
    <t xml:space="preserve">  Increase in Debtor</t>
  </si>
  <si>
    <t xml:space="preserve">  Creditors</t>
  </si>
  <si>
    <t xml:space="preserve">  Changes in Trade and Other Receivables</t>
  </si>
  <si>
    <t xml:space="preserve">  Increase in Trade and Other Payables</t>
  </si>
  <si>
    <t xml:space="preserve">  Cash Flow from Operating Activities</t>
  </si>
  <si>
    <t>Investing Activities</t>
  </si>
  <si>
    <t xml:space="preserve">  Purchase of Property Plant, and Equipment</t>
  </si>
  <si>
    <t xml:space="preserve">  Capital Expenditure and Financial Investment</t>
  </si>
  <si>
    <t xml:space="preserve">  Proceeds from Asset Disposals</t>
  </si>
  <si>
    <t xml:space="preserve">  Acquisition and Disposals</t>
  </si>
  <si>
    <t xml:space="preserve">  Purchase of Intangible Fixed Assets</t>
  </si>
  <si>
    <t>Sundry</t>
  </si>
  <si>
    <t xml:space="preserve">  Sundry</t>
  </si>
  <si>
    <t xml:space="preserve">  Dividends Paid</t>
  </si>
  <si>
    <t xml:space="preserve">  Interest Paid</t>
  </si>
  <si>
    <t xml:space="preserve">  Returns on Investments and Servicing of Finance</t>
  </si>
  <si>
    <t xml:space="preserve">  I N T E Rest Element of Finance Lease Rental Payments</t>
  </si>
  <si>
    <t xml:space="preserve">  Interest Element of Factor Charges</t>
  </si>
  <si>
    <t xml:space="preserve">  Dividends Received</t>
  </si>
  <si>
    <t xml:space="preserve">  Interest Received</t>
  </si>
  <si>
    <t xml:space="preserve">  Taxation</t>
  </si>
  <si>
    <t xml:space="preserve">  Cash Flow from Investing Activities</t>
  </si>
  <si>
    <t>Financing Activities</t>
  </si>
  <si>
    <t>Capital element of finance lease rentals</t>
  </si>
  <si>
    <t xml:space="preserve">  Capital Element of Finance Lease Rentals</t>
  </si>
  <si>
    <t xml:space="preserve">  Issue of Ordinary Share Capital</t>
  </si>
  <si>
    <t xml:space="preserve">  Issue of Share Capital</t>
  </si>
  <si>
    <t xml:space="preserve">  Deferred Purchase Share Proceeds</t>
  </si>
  <si>
    <t xml:space="preserve">  Proceeds from Share Options Exercised</t>
  </si>
  <si>
    <t xml:space="preserve">  Own-share Transactions</t>
  </si>
  <si>
    <t xml:space="preserve">  Purchases of Own Shares</t>
  </si>
  <si>
    <t xml:space="preserve">  Own Share Transactions Related to Treasury Shares</t>
  </si>
  <si>
    <t xml:space="preserve">  Cash Flow from Financing Activities</t>
  </si>
  <si>
    <t>Other Adjustments</t>
  </si>
  <si>
    <t xml:space="preserve">  Cash Flow Net Changes in Cash</t>
  </si>
  <si>
    <t xml:space="preserve">
               </t>
  </si>
  <si>
    <t>Ratios</t>
  </si>
  <si>
    <t>12 months
Jul-31-1996</t>
  </si>
  <si>
    <t>Profitability</t>
  </si>
  <si>
    <t xml:space="preserve">  Return on Assets %</t>
  </si>
  <si>
    <t xml:space="preserve">  Return on Capital %</t>
  </si>
  <si>
    <t xml:space="preserve">  Return on Equity %</t>
  </si>
  <si>
    <t xml:space="preserve">  Return on Common Equity %</t>
  </si>
  <si>
    <t xml:space="preserve">  Gross Margin %</t>
  </si>
  <si>
    <t xml:space="preserve">  SG&amp;A Margin %</t>
  </si>
  <si>
    <t xml:space="preserve">  EBITDA Margin %</t>
  </si>
  <si>
    <t xml:space="preserve">  EBITA Margin %</t>
  </si>
  <si>
    <t xml:space="preserve">  EBIT Margin %</t>
  </si>
  <si>
    <t xml:space="preserve">  Earnings from Cont. Ops Margin %</t>
  </si>
  <si>
    <t xml:space="preserve">  Net Income Margin %</t>
  </si>
  <si>
    <t xml:space="preserve">  Net Income Avail. for Common Margin %</t>
  </si>
  <si>
    <t xml:space="preserve">  Normalized Net Income Margin %</t>
  </si>
  <si>
    <t xml:space="preserve">  Levered Free Cash Flow Margin %</t>
  </si>
  <si>
    <t xml:space="preserve">  Unlevered Free Cash Flow Margin %</t>
  </si>
  <si>
    <t>Asset Turnover</t>
  </si>
  <si>
    <t xml:space="preserve">  Total Asset Turnover</t>
  </si>
  <si>
    <t xml:space="preserve">  Fixed Asset Turnover</t>
  </si>
  <si>
    <t>NM</t>
  </si>
  <si>
    <t xml:space="preserve">  Accounts Receivable Turnover</t>
  </si>
  <si>
    <t xml:space="preserve">  Inventory Turnover</t>
  </si>
  <si>
    <t>Short Term Liquidity</t>
  </si>
  <si>
    <t xml:space="preserve">  Current Ratio</t>
  </si>
  <si>
    <t xml:space="preserve">  Quick Ratio</t>
  </si>
  <si>
    <t xml:space="preserve">  Cash from Ops. to Curr. Liab.</t>
  </si>
  <si>
    <t xml:space="preserve">  Avg. Days Sales Out.</t>
  </si>
  <si>
    <t xml:space="preserve">  Avg. Days Inventory Out.</t>
  </si>
  <si>
    <t xml:space="preserve">  Avg. Days Payable Out.</t>
  </si>
  <si>
    <t xml:space="preserve">  Avg. Cash Conversion Cycle</t>
  </si>
  <si>
    <t>Long Term Solvency</t>
  </si>
  <si>
    <t xml:space="preserve">  Total Debt/Equity</t>
  </si>
  <si>
    <t xml:space="preserve">  Total Debt/Capital</t>
  </si>
  <si>
    <t xml:space="preserve">  LT Debt/Equity</t>
  </si>
  <si>
    <t xml:space="preserve">  LT Debt/Capital</t>
  </si>
  <si>
    <t xml:space="preserve">  Total Liabilities/Total Assets</t>
  </si>
  <si>
    <t xml:space="preserve">  EBIT / Interest Exp.</t>
  </si>
  <si>
    <t xml:space="preserve">  EBITDA / Interest Exp.</t>
  </si>
  <si>
    <t xml:space="preserve">  (EBITDA-CAPEX) / Interest Exp.</t>
  </si>
  <si>
    <t xml:space="preserve">  Total Debt/EBITDA</t>
  </si>
  <si>
    <t xml:space="preserve">  Net Debt/EBITDA</t>
  </si>
  <si>
    <t xml:space="preserve">  Total Debt/(EBITDA-CAPEX)</t>
  </si>
  <si>
    <t xml:space="preserve">  Net Debt/(EBITDA-CAPEX)</t>
  </si>
  <si>
    <t xml:space="preserve">  Altman Z Score</t>
  </si>
  <si>
    <t>Growth Over Prior Year</t>
  </si>
  <si>
    <t xml:space="preserve">  Total Revenue</t>
  </si>
  <si>
    <t xml:space="preserve">  Gross Profit</t>
  </si>
  <si>
    <t xml:space="preserve">  EBITDA</t>
  </si>
  <si>
    <t xml:space="preserve">  EBITA</t>
  </si>
  <si>
    <t xml:space="preserve">  EBIT</t>
  </si>
  <si>
    <t xml:space="preserve">  Earnings from Cont. Ops.</t>
  </si>
  <si>
    <t xml:space="preserve">  Net Income</t>
  </si>
  <si>
    <t xml:space="preserve">  Normalized Net Income</t>
  </si>
  <si>
    <t xml:space="preserve">  Diluted EPS before Extra</t>
  </si>
  <si>
    <t xml:space="preserve">  Accounts Receivable</t>
  </si>
  <si>
    <t xml:space="preserve">  Inventory</t>
  </si>
  <si>
    <t xml:space="preserve">  Net PP&amp;E</t>
  </si>
  <si>
    <t xml:space="preserve">  Tangible Book Value</t>
  </si>
  <si>
    <t xml:space="preserve">  Common Equity</t>
  </si>
  <si>
    <t xml:space="preserve">  Cash from Ops.</t>
  </si>
  <si>
    <t xml:space="preserve">  Capital Expenditures</t>
  </si>
  <si>
    <t xml:space="preserve">  Levered Free Cash Flow</t>
  </si>
  <si>
    <t xml:space="preserve">  Unlevered Free Cash Flow</t>
  </si>
  <si>
    <t xml:space="preserve">  Dividend per Share</t>
  </si>
  <si>
    <t>Compound Annual Growth Rate Over Two Years</t>
  </si>
  <si>
    <t>Compound Annual Growth Rate Over Three Years</t>
  </si>
  <si>
    <t>Compound Annual Growth Rate Over Five Years</t>
  </si>
  <si>
    <t>Detailed financials (CapIQ standard)</t>
  </si>
  <si>
    <t>Restated
12 months
Jul-31-2004</t>
  </si>
  <si>
    <t>Restated
12 months
Jul-31-2006</t>
  </si>
  <si>
    <t>Restated
12 months
Jul-31-2012</t>
  </si>
  <si>
    <t>Restated
12 months
Jul-31-2013</t>
  </si>
  <si>
    <t>Restated
12 months
Jul-31-2014</t>
  </si>
  <si>
    <t>6 months
FH1
Jan-31-2015</t>
  </si>
  <si>
    <t>6 months
FH2
Jul-31-2015</t>
  </si>
  <si>
    <t>6 months
FH1
Jan-31-2016</t>
  </si>
  <si>
    <t xml:space="preserve"> </t>
  </si>
  <si>
    <t>Other Revenue</t>
  </si>
  <si>
    <t>Cost Of Goods Sold</t>
  </si>
  <si>
    <t>Selling General &amp; Admin Exp.</t>
  </si>
  <si>
    <t>R &amp; D Exp.</t>
  </si>
  <si>
    <t>Depreciation &amp; Amort.</t>
  </si>
  <si>
    <t>Amort. of Goodwill and Intangibles</t>
  </si>
  <si>
    <t>Other Operating Expense/(Income)</t>
  </si>
  <si>
    <t xml:space="preserve">  Other Operating Exp., Total</t>
  </si>
  <si>
    <t xml:space="preserve">  Operating Income</t>
  </si>
  <si>
    <t>Interest and Invest. Income</t>
  </si>
  <si>
    <t xml:space="preserve">  Net Interest Exp.</t>
  </si>
  <si>
    <t>Other Non-Operating Inc. (Exp.)</t>
  </si>
  <si>
    <t xml:space="preserve">  EBT Excl. Unusual Items</t>
  </si>
  <si>
    <t>Impairment of Goodwill</t>
  </si>
  <si>
    <t>Gain (Loss) On Sale Of Invest.</t>
  </si>
  <si>
    <t>Other Unusual Items</t>
  </si>
  <si>
    <t xml:space="preserve">  EBT Incl. Unusual Items</t>
  </si>
  <si>
    <t>Income Tax Expense</t>
  </si>
  <si>
    <t>Earnings of Discontinued Ops.</t>
  </si>
  <si>
    <t>Extraord. Item &amp; Account. Change</t>
  </si>
  <si>
    <t xml:space="preserve">  Net Income to Company</t>
  </si>
  <si>
    <t>Minority Int. in Earnings</t>
  </si>
  <si>
    <t>Pref. Dividends and Other Adj.</t>
  </si>
  <si>
    <t xml:space="preserve">  NI to Common Incl Extra Items</t>
  </si>
  <si>
    <t xml:space="preserve">  NI to Common Excl. Extra Items</t>
  </si>
  <si>
    <t>Per Share Items</t>
  </si>
  <si>
    <t>Basic EPS</t>
  </si>
  <si>
    <t>Basic EPS Excl. Extra Items</t>
  </si>
  <si>
    <t>Weighted Avg. Basic Shares Out.</t>
  </si>
  <si>
    <t>Diluted EPS</t>
  </si>
  <si>
    <t>Diluted EPS Excl. Extra Items</t>
  </si>
  <si>
    <t>Weighted Avg. Diluted Shares Out.</t>
  </si>
  <si>
    <t>Normalized Basic EPS</t>
  </si>
  <si>
    <t>Normalized Diluted EPS</t>
  </si>
  <si>
    <t>Dividends per Share</t>
  </si>
  <si>
    <t>Payout Ratio %</t>
  </si>
  <si>
    <t>Supplemental Items</t>
  </si>
  <si>
    <t>EBITA</t>
  </si>
  <si>
    <t>EBITDAR</t>
  </si>
  <si>
    <t>Effective Tax Rate %</t>
  </si>
  <si>
    <t>Current Domestic Taxes</t>
  </si>
  <si>
    <t>Total Current Taxes</t>
  </si>
  <si>
    <t>Deferred Domestic Taxes</t>
  </si>
  <si>
    <t>Total Deferred Taxes</t>
  </si>
  <si>
    <t>Normalized Net Income</t>
  </si>
  <si>
    <t>Interest on Long Term Debt</t>
  </si>
  <si>
    <t>Filing Date</t>
  </si>
  <si>
    <t>Restatement Type</t>
  </si>
  <si>
    <t>NC</t>
  </si>
  <si>
    <t>O</t>
  </si>
  <si>
    <t>RS</t>
  </si>
  <si>
    <t>Calculation Type</t>
  </si>
  <si>
    <t>ANNU</t>
  </si>
  <si>
    <t>REP</t>
  </si>
  <si>
    <t>Supplemental Operating Expense Items</t>
  </si>
  <si>
    <t>General and Administrative Exp.</t>
  </si>
  <si>
    <t>Net Rental Exp.</t>
  </si>
  <si>
    <t>Imputed Oper. Lease Interest Exp.</t>
  </si>
  <si>
    <t>Imputed Oper. Lease Depreciation</t>
  </si>
  <si>
    <t>Stock-Based Comp., Unallocated</t>
  </si>
  <si>
    <t xml:space="preserve">  Stock-Based Comp., Total</t>
  </si>
  <si>
    <t>Restated
Jul-31-2004</t>
  </si>
  <si>
    <t>Restated
Jul-31-2012</t>
  </si>
  <si>
    <t>Restated
Jul-31-2013</t>
  </si>
  <si>
    <t>Restated
Jul-31-2014</t>
  </si>
  <si>
    <t>FH2
Jul-31-2015</t>
  </si>
  <si>
    <t>FH1
Jan-31-2016</t>
  </si>
  <si>
    <t>ASSETS</t>
  </si>
  <si>
    <t>Cash And Equivalents</t>
  </si>
  <si>
    <t xml:space="preserve">  Total Cash &amp; ST Investments</t>
  </si>
  <si>
    <t>Accounts Receivable</t>
  </si>
  <si>
    <t>Other Receivables</t>
  </si>
  <si>
    <t>Notes Receivable</t>
  </si>
  <si>
    <t xml:space="preserve">  Total Receivables</t>
  </si>
  <si>
    <t>Prepaid Exp.</t>
  </si>
  <si>
    <t>Deferred Tax Assets, Curr.</t>
  </si>
  <si>
    <t>Other Current Assets</t>
  </si>
  <si>
    <t>Gross Property, Plant &amp; Equipment</t>
  </si>
  <si>
    <t>Accumulated Depreciation</t>
  </si>
  <si>
    <t xml:space="preserve">  Net Property, Plant &amp; Equipment</t>
  </si>
  <si>
    <t>Long-term Investments</t>
  </si>
  <si>
    <t>Goodwill</t>
  </si>
  <si>
    <t>Other Intangibles</t>
  </si>
  <si>
    <t>Deferred Tax Assets, LT</t>
  </si>
  <si>
    <t>Other Long-Term Assets</t>
  </si>
  <si>
    <t>LIABILITIES</t>
  </si>
  <si>
    <t>Accounts Payable</t>
  </si>
  <si>
    <t>Accrued Exp.</t>
  </si>
  <si>
    <t>Short-term Borrowings</t>
  </si>
  <si>
    <t>Curr. Port. of Cap. Leases</t>
  </si>
  <si>
    <t>Curr. Income Taxes Payable</t>
  </si>
  <si>
    <t>Unearned Revenue, Current</t>
  </si>
  <si>
    <t>Other Current Liabilities</t>
  </si>
  <si>
    <t>Capital Leases</t>
  </si>
  <si>
    <t>Def. Tax Liability, Non-Curr.</t>
  </si>
  <si>
    <t>Other Non-Current Liabilities</t>
  </si>
  <si>
    <t>Common Stock</t>
  </si>
  <si>
    <t>Additional Paid In Capital</t>
  </si>
  <si>
    <t>Retained Earnings</t>
  </si>
  <si>
    <t>Treasury Stock</t>
  </si>
  <si>
    <t>Comprehensive Inc. and Other</t>
  </si>
  <si>
    <t xml:space="preserve">  Total Common Equity</t>
  </si>
  <si>
    <t>Total Equity</t>
  </si>
  <si>
    <t>Total Liabilities And Equity</t>
  </si>
  <si>
    <t>Total Shares Out. on Filing Date</t>
  </si>
  <si>
    <t>Total Shares Out. on Balance Sheet Date</t>
  </si>
  <si>
    <t>Book Value/Share</t>
  </si>
  <si>
    <t>Tangible Book Value</t>
  </si>
  <si>
    <t>Tangible Book Value/Share</t>
  </si>
  <si>
    <t>Total Debt</t>
  </si>
  <si>
    <t>Debt Equivalent Oper. Leases</t>
  </si>
  <si>
    <t>Total Minority Interest</t>
  </si>
  <si>
    <t>Inventory Method</t>
  </si>
  <si>
    <t>Finished Goods Inventory</t>
  </si>
  <si>
    <t>Buildings</t>
  </si>
  <si>
    <t>Machinery</t>
  </si>
  <si>
    <t>Full Time Employees</t>
  </si>
  <si>
    <t>Accum. Allowance for Doubtful Accts</t>
  </si>
  <si>
    <t>Depreciation &amp; Amort., Total</t>
  </si>
  <si>
    <t>Other Amortization</t>
  </si>
  <si>
    <t>(Gain) Loss From Sale Of Assets</t>
  </si>
  <si>
    <t>(Gain) Loss On Sale Of Invest.</t>
  </si>
  <si>
    <t>Stock-Based Compensation</t>
  </si>
  <si>
    <t>Other Operating Activities</t>
  </si>
  <si>
    <t>Change in Acc. Receivable</t>
  </si>
  <si>
    <t>Change In Inventories</t>
  </si>
  <si>
    <t>Change in Acc. Payable</t>
  </si>
  <si>
    <t>Change in Other Net Operating Assets</t>
  </si>
  <si>
    <t>Capital Expenditure</t>
  </si>
  <si>
    <t>Sale of Property, Plant, and Equipment</t>
  </si>
  <si>
    <t>Divestitures</t>
  </si>
  <si>
    <t>Sale (Purchase) of Intangible assets</t>
  </si>
  <si>
    <t>Invest. in Marketable &amp; Equity Securt.</t>
  </si>
  <si>
    <t>Net (Inc.) Dec. in Loans Originated/Sold</t>
  </si>
  <si>
    <t>Other Investing Activities</t>
  </si>
  <si>
    <t xml:space="preserve">  Cash from Investing</t>
  </si>
  <si>
    <t>Short Term Debt Issued</t>
  </si>
  <si>
    <t>Long-Term Debt Issued</t>
  </si>
  <si>
    <t>Total Debt Issued</t>
  </si>
  <si>
    <t>Short Term Debt Repaid</t>
  </si>
  <si>
    <t>Long-Term Debt Repaid</t>
  </si>
  <si>
    <t>Total Debt Repaid</t>
  </si>
  <si>
    <t>Issuance of Common Stock</t>
  </si>
  <si>
    <t>Repurchase of Common Stock</t>
  </si>
  <si>
    <t>Common Dividends Paid</t>
  </si>
  <si>
    <t>Total Dividends Paid</t>
  </si>
  <si>
    <t>Special Dividend Paid</t>
  </si>
  <si>
    <t>Other Financing Activities</t>
  </si>
  <si>
    <t xml:space="preserve">  Cash from Financing</t>
  </si>
  <si>
    <t xml:space="preserve">  Net Change in Cash</t>
  </si>
  <si>
    <t>Cash Interest Paid</t>
  </si>
  <si>
    <t>Cash Taxes Paid</t>
  </si>
  <si>
    <t>Levered Free Cash Flow</t>
  </si>
  <si>
    <t>Unlevered Free Cash Flow</t>
  </si>
  <si>
    <t>Change in Net Working Capital</t>
  </si>
  <si>
    <t>Net Debt Issued</t>
  </si>
  <si>
    <t>Ticker Input</t>
  </si>
  <si>
    <t>sct</t>
  </si>
  <si>
    <t>Country</t>
  </si>
  <si>
    <t>ETR</t>
  </si>
  <si>
    <t>https://home.kpmg.com/xx/en/home/services/tax/tax-tools-and-resources/tax-rates-online/corporate-tax-rates-table.html</t>
  </si>
  <si>
    <t>Financials FX</t>
  </si>
  <si>
    <t>Reported</t>
  </si>
  <si>
    <t>Reported = "Reported", Trading = "Trading, USD = "USD"</t>
  </si>
  <si>
    <t>United States</t>
  </si>
  <si>
    <t>Canada</t>
  </si>
  <si>
    <t>United Kingdom</t>
  </si>
  <si>
    <t>Company Information</t>
  </si>
  <si>
    <t>France</t>
  </si>
  <si>
    <t>Germany</t>
  </si>
  <si>
    <t>Denmark</t>
  </si>
  <si>
    <t>Sweden</t>
  </si>
  <si>
    <t>Italy</t>
  </si>
  <si>
    <t>Spain</t>
  </si>
  <si>
    <t>Australia</t>
  </si>
  <si>
    <t>New Zealand</t>
  </si>
  <si>
    <t>South Korea</t>
  </si>
  <si>
    <t>Japan</t>
  </si>
  <si>
    <t>Primary Industry</t>
  </si>
  <si>
    <t>Holdings M</t>
  </si>
  <si>
    <t>Holdings $M</t>
  </si>
  <si>
    <t>Holdings %</t>
  </si>
  <si>
    <t>Top Holders</t>
  </si>
  <si>
    <t>Latest Fiscal Year</t>
  </si>
  <si>
    <t>Chairman</t>
  </si>
  <si>
    <t>Latest Fiscal Quarter</t>
  </si>
  <si>
    <t>CEO</t>
  </si>
  <si>
    <t>Country of Incorporation</t>
  </si>
  <si>
    <t>Other</t>
  </si>
  <si>
    <t>Valuation &amp; Peformance</t>
  </si>
  <si>
    <t>Multiples</t>
  </si>
  <si>
    <t>Fiscal Year Ending,</t>
  </si>
  <si>
    <t>Stock Performance</t>
  </si>
  <si>
    <t>Trading</t>
  </si>
  <si>
    <t>Share Price</t>
  </si>
  <si>
    <t>EV / Revenue</t>
  </si>
  <si>
    <t>YTD</t>
  </si>
  <si>
    <t>x Shares O/S</t>
  </si>
  <si>
    <t>EV / EBITDA</t>
  </si>
  <si>
    <t>1 Month</t>
  </si>
  <si>
    <t>Market Cap</t>
  </si>
  <si>
    <t>EV / EBITDA - Capex</t>
  </si>
  <si>
    <t>3 Month</t>
  </si>
  <si>
    <t>Plus: Total Debt</t>
  </si>
  <si>
    <t>EV / EBIT</t>
  </si>
  <si>
    <t>1 Year</t>
  </si>
  <si>
    <t>Plus: Preferred Stock</t>
  </si>
  <si>
    <t>P / E</t>
  </si>
  <si>
    <t>Plus: Minority Interest</t>
  </si>
  <si>
    <t>P / Recurring FCF</t>
  </si>
  <si>
    <t>3-Year TSR CAGR</t>
  </si>
  <si>
    <t>Less: Cash &amp; ST Investments</t>
  </si>
  <si>
    <t>P / Realized FCF</t>
  </si>
  <si>
    <t>5-Year TSR CAGR</t>
  </si>
  <si>
    <t>10-Year TSR CAGR</t>
  </si>
  <si>
    <t>Consensus P / E</t>
  </si>
  <si>
    <t>Forward Estimates</t>
  </si>
  <si>
    <t>LTM</t>
  </si>
  <si>
    <t>5 yr CAGR</t>
  </si>
  <si>
    <t>10 yr CAGR</t>
  </si>
  <si>
    <t>Y/Y % change</t>
  </si>
  <si>
    <t>Margin</t>
  </si>
  <si>
    <t>Incremental</t>
  </si>
  <si>
    <t>Plus: SBC</t>
  </si>
  <si>
    <t>EBITDA (before SBC)</t>
  </si>
  <si>
    <t>Less: MI Expense</t>
  </si>
  <si>
    <t>Net Income to Common</t>
  </si>
  <si>
    <t>/ Shares O/S</t>
  </si>
  <si>
    <t>Diluted EPS (before SBC)</t>
  </si>
  <si>
    <r>
      <rPr>
        <i/>
        <u/>
        <sz val="8"/>
        <color theme="1"/>
        <rFont val="Arial"/>
        <family val="2"/>
      </rPr>
      <t>Memo</t>
    </r>
    <r>
      <rPr>
        <i/>
        <sz val="8"/>
        <color theme="1"/>
        <rFont val="Arial"/>
        <family val="2"/>
      </rPr>
      <t>:</t>
    </r>
  </si>
  <si>
    <t>Consensus EPS</t>
  </si>
  <si>
    <t>EBITDA (pre-SBC)</t>
  </si>
  <si>
    <t>Less: SBC</t>
  </si>
  <si>
    <t>Less: Interest</t>
  </si>
  <si>
    <t>Less: Taxes</t>
  </si>
  <si>
    <t>Less: Capex</t>
  </si>
  <si>
    <t>Less: Purchase of Intangibles</t>
  </si>
  <si>
    <t>Recurring FCF per Share</t>
  </si>
  <si>
    <t>Plus/Less: Tax Items</t>
  </si>
  <si>
    <t>Plus/Less: Other</t>
  </si>
  <si>
    <t>Leverage</t>
  </si>
  <si>
    <t>/ EBITDA</t>
  </si>
  <si>
    <t>/ EBITDA - Capex</t>
  </si>
  <si>
    <t>Supplemental</t>
  </si>
  <si>
    <t>Wtd. Avg. Interest Rate</t>
  </si>
  <si>
    <t xml:space="preserve">n/a </t>
  </si>
  <si>
    <t>Effective Tax Rate - actual</t>
  </si>
  <si>
    <t>Capex / Sales</t>
  </si>
  <si>
    <t>Cash Flow from Ops</t>
  </si>
  <si>
    <t>Amortization of Intangible Assets</t>
  </si>
  <si>
    <t>Share Repurchases</t>
  </si>
  <si>
    <t>Common Dividends</t>
  </si>
  <si>
    <t>Special Dividends</t>
  </si>
  <si>
    <t>LTM
12 months
Jan-31-2016</t>
  </si>
  <si>
    <t>-</t>
  </si>
  <si>
    <t>FH1
Jan-31-2015</t>
  </si>
  <si>
    <t>NV</t>
  </si>
  <si>
    <t>% Organic CC</t>
  </si>
  <si>
    <t>LSE:SCT</t>
  </si>
  <si>
    <t>允䅁䩁䅕䅁佁䅁䅁睉䙂䙁䅉杕偂䙁䅉䅁䕃䅁䅁䅋䅁䍁䅍兓佂䙁䅙兑䵂䕁䅫䅒杁䕁䅍睔乂䙁䅁兑佂䙁䅫䅉䩂䕁䅑䅁元䅁䅁䅅䅁䍁䅑睒䍂䙁䅧睒䍂䙁䅁䅁䑁䅁䅁䅅䅁䍁䅑兖呂䕁䅑兑噂䕁䅑䅁䡃䅁䅁䅅䅁䍁䅑兖呂䕁䅑睑䉂䕁䅑䅁䭃䅁䅁䅅䅁䍁䅑兖呂䕁䅑兒噂䙁䅉䅁䥃䅁䅁䅅䅁䍁䅑兖呂䕁䅑睒䍂䙁䅁䅁䩂䅁䅁䅅䅁䍁䅑兖呂䕁䅑杓兂䙁䅫䅁䩃䅁䅁䅅䅁䍁䅑兖呂䕁䅑兖呂䕁䅑䅁䙁䅁䅁䅏䅁䍁䅧兓畂䡁䅙兙獂䝁䅫䅚杁䕁䅅督杁䕁䄸杚杁䙁䅑兡瑂䝁䅕䅉兂䝁䅕杣灂䝁䄸䅚灁䅁䅁公䅁䉁䄴䅁潁䕁䅫杢㉂䝁䅅䅢灂䝁䅑䅉䕂䝁䅅䅤求䍁䅫䅁䱁䅁䅁杋䅁䍁䅧兓畂䡁䅙兙獂䝁䅫䅚杁䕁䅫䅚求䝁䄴䅤灂䝁䅙兡求䡁䅉克䅁䕁䅧䅁畁䅁䅁䅋䩂䝁䄴杤桂䝁䅷兡歂䍁䅁睕求䝁䅍睢畂䝁䅑䅉兂䝁䅅杣あ䡁䅫克䅁䥁䅕䅁坁䅁䅁䅍㕁䍁䄸杍㕁䍁䄸杍睁䑁䅉䅎䅁䥁䄸䅁䕁䅁䅁免䅁䕁䄸䅁啁䅁䅁免睁䍁䄸免癁䑁䅉䅍硁䑁䅣䅁䡁䅁䅁䅆䅁䑁䅅䅍癁䑁䅉睌祁䑁䅁免㉁䅁䅁免䅁䉁䅑䅁硁䑁䅁睌祁䍁䄸杍睁䑁䅉杍䅁䕁䅁䅁啁䅁䅁免睁䍁䄸睍癁䑁䅉䅍祁䑁䅅䅁㡁䅁䅁䅆䅁䑁䅅䅍癁䑁䅑睌祁䑁䅁免ㅁ䅁䅁睌䅁䉁䅙䅁硁䑁䅉睌穁䑁䅅睌祁䑁䅁䅍㕁䅁䅁睑䅁䉁䅙䅁硁䑁䅉睌穁䑁䅅睌祁䑁䅁免睁䅁䅁䅒䅁䉁䅙䅁硁䑁䅉睌穁䑁䅅睌祁䑁䅁免硁䅁䅁䅃䅁䉁䅙䅁硁䑁䅉睌穁䑁䅅睌祁䑁䅁免祁䅁䅁兒䅁䉁䅙䅁硁䑁䅉睌穁䑁䅅睌祁䑁䅁免穁䅁䅁杋䅁䉁䅙䅁硁䑁䅉睌穁䑁䅅睌祁䑁䅁免ぁ䅁䅁䅌䅁䉁䅙䅁硁䑁䅉睌穁䑁䅅睌祁䑁䅁免ㅁ䅁䅁兄䅁䉁䅙䅁硁䑁䅉睌穁䑁䅅睌祁䑁䅁免㉁䅁䅁杍䅁䉁䅙䅁硁䑁䅉睌穁䑁䅅睌祁䑁䅁免㍁䅁䅁充䅁䉁䅙䅁硁䑁䅉睌穁䑁䅅睌祁䑁䅁免㑁䅁䅁睎䅁䉁䅙䅁硁䑁䅉睌穁䑁䅅睌祁䑁䅁免㕁䅁䅁克䅁䉁䅙䅁硁䑁䅉睌穁䑁䅅睌祁䑁䅁杍睁䅁䅁兎䅁䉁䅙䅁硁䑁䅉睌穁䑁䅅睌祁䑁䅁杍硁䅁䅁児䅁䉁䅙䅁硁䑁䅉睌穁䑁䅅睌祁䑁䅁杍祁䅁䅁兑䅁䅁䅑䅁祁䅁䅁睤䅁䅁䅑䅁穁䅁䅁入䅁䉁䅑䅁穁䍁䄸杍㕁䍁䄸杍睁䑁䅉䅍䅁䑁䅧䅁啁䅁䅁睍癁䑁䅍䅍癁䑁䅉䅍硁䑁䅑䅁牁䅁䅁䅆䅁䑁䅍睌穁䑁䅅睌祁䑁䅁免穁䅁䅁杈䅁䉁䅑䅁穁䍁䄸睍硁䍁䄸杍睁䑁䅅兏䅁䉁䅉䅁十䅁䅁䅎癁䑁䅅睌祁䑁䅁免㑁䅁䅁䅎䅁䉁䅉䅁ぁ䍁䄸杍癁䑁䅉䅍硁䑁䅣䅁穁䅁䅁杅䅁䑁䅑睌祁䍁䄸杍睁䑁䅉睍䅁䕁䅉䅁十䅁䅁䅎癁䑁䅍睌祁䑁䅁免㉁䅁䅁兊䅁䉁䅉䅁ぁ䍁䄸睍癁䑁䅉䅍祁䑁䅉䅁⭁䅁䅁杅䅁䑁䅑睌ぁ䍁䄸杍睁䑁䅉免䅁䉁䅧䅁十䅁䅁䅎癁䑁䅕睌祁䑁䅁免ㅁ䅁䅁兌䅁䉁䅑䅁㉁䍁䄸杍㑁䍁䄸杍睁䑁䅉䅍䅁䑁䅫䅁啁䅁䅁李癁䑁䅉兏癁䑁䅉䅍硁䑁䅑䅁婁䅁䅁䅆䅁䑁䅙睌穁䑁䅁睌祁䑁䅁免穁䅁䅁睊䅁䉁䅑䅁㉁䍁䄸睍睁䍁䄸杍睁䑁䅅兏䅁䉁䅙䅁十䅁䅁睎癁䑁䅅睌祁䑁䅁免㑁䅁䅁李䅁䉁䅉䅁㍁䍁䄸杍癁䑁䅉䅍硁䑁䅣䅁噁䅁䅁杅䅁䑁䅣睌穁䍁䄸杍睁䑁䅅李䅁䑁䅁䅁十䅁䅁睎癁䑁䅍睌祁䑁䅁杍祁䅁䅁睐䅁䉁䅑䅁㍁䍁䄸睍硁䍁䄸杍睁䑁䅁兏䅁䕁䅙䅁十䅁䅁睎癁䑁䅑睌祁䑁䅁杍硁䅁䅁睏䅁䉁䅉䅁㍁䍁䄸兎癁䑁䅉䅍硁䑁䅕䅁畁䅁䅁䅆䅁䑁䅫睌祁䑁䅣睌祁䑁䅁杍睁䅁䅁杏䅁䉁䅑䅁㕁䍁䄸杍㑁䍁䄸杍睁䑁䅅䅎䅁䅁䅙䅁啁䅁䅁兏癁䑁䅉兏癁䑁䅉䅍硁䑁䅍䅁潁䅁䅁䅆䅁䑁䅫睌祁䑁䅫睌祁䑁䅁免㕁䅁䅁睅䅁䉁䅑䅁㕁䍁䄸睍睁䍁䄸杍睁䑁䅅䅏䅁䍁䅁䅁獁䅁䅁村桂䝁䅫䅢獂䝁䅫党杁䕁䅣兡浂䝁䅙睢祂䝁䅑䅉流䍁䅁睑療䍁䄴䅁啃䅁䅁䅉䅁䕁䅉䅢桂䝁䅍睡卂䝁䄸睙牂䍁䅷䅉䩂䝁䄴睙畁䅁䅁䅣䅁䅁䅑䅁䑂䅁䅁杖䅁䙁䅁䅁䑂䝁䅅䅣灂䡁䅑兙獂䍁䅁杕求䡁䅍党桂䡁䅉睙潂䍁䅁兙畂䝁䅑䅉乂䝁䅅杢桂䝁䅣党瑂䝁䅕杢あ䍁䅁睑療䝁䄰䅣桂䝁䄴入䅁䙁䄰䅁楁䅁䅁睑潂䝁䅅杣獂䡁䅑睢畂䍁䅷䅉䡂䡁䅉兙潂䝁䅅兢䅁䡁䅙䅁䥁䅁䅁睒䍂䙁䅁䅁㡂䅁䅁䅋䅁䕁䅣兓䑂䍁䅁䅕祂䝁䅫杤桂䡁䅑党杁䕁䅷兡瑂䝁䅫䅤求䝁䅑䅁䵃䅁䅁杅䅁䕁䅫兕硁䑁䅁兏㍁䑁䅧睍䅁䙁䅍䅁慁䅁䅁兓剂䑁䅅䅏穁䑁䅅李穁䑁䅕兏㍁䑁䅑䅁煂䅁䅁杆䅁䕁䅫兕祁䑁䅙李ㅁ䑁䅑䅍㑁䑁䅕䅁牂䅁䅁杆䅁䕁䅫兕祁䑁䅣免祁䑁䅫免㑁䑁䅫䅁瑂䅁䅁杅䅁䕁䅫兕ぁ䑁䅁睍ぁ䑁䅅睍䅁䝁䄸䅁啁䅁䅁兓剂䑁䅑䅏ぁ䑁䅧兏㉁䑁䅅䅁呃䅁䅁䅇䅁䕁䅫兕ㅁ䑁䅕睎㕁䑁䅕睍祁䑁䅉免䅁䝁䅕䅁十䅁䅁兓剂䑁䅣兏㉁䑁䅧睍睁䅁䅁睩䅁䍁䅁䅁䩂䙁䅅睘䍂䕁䄸兑卂䕁䅑睘乂䕁䅕兔䍂䕁䅕杕䅁䕁䄴䅁流䅁䅁兓剂䙁䄸村偂䕁䅅杕䕂䙁䄸兔䙂䕁䄰村䙂䙁䅉睘䩂䕁䅑䅁歂䅁䅁䅍䅁䕁䅫兕時䕁䅉兖呂䕁䅫杔䙂䙁䅍睕時䕁䅑兒呂䕁䅍杕䩂䙁䅁䅖䩂䕁䄸杔䅁䙁䅧䅁十䅁䅁兓剂䙁䄸睑䉂䙁䅁兒奂䅁䅁元䅁䉁䅯䅁䩂䙁䅅睘䑂䕁䅅䅕䙂䙁䅧睘䙂䙁䅍䅖䅁䙁䅳䅁流䅁䅁兓剂䙁䄸睑䉂䙁䅍䅓時䕁䅅睑剂䙁䅕兓卂䕁䅕睘䑂䕁䅙䅁允䅁䅁杇䅁䕁䅫兕時䕁䅍兑呂䕁䅧睘偂䙁䅁兒卂䅁䅁光䅁䍁䅑䅁䩂䙁䅅睘䑂䕁䅅睕䥂䙁䄸睕啂䙁䄸兓佂䙁䅙兒呂䙁䅑䅁摁䅁䅁䅈䅁䕁䅫兕時䕁䅍兑呂䕁䅧睘啂䕁䅅䅗䙂䙁䅍䅁楁䅁䅁䅊䅁䕁䅫兕時䕁䅍䅔偂䙁䅍兒兂䙁䅉兓䑂䕁䅕睘䉂䕁䅑杓䅁䅁䅷䅁楁䅁䅁兓剂䙁䄸睑偂䕁䄰兔偂䕁䄴睘䕂䕁䅫杖時䕁䅍杒䅁䍁䅍䅁捁䅁䅁兓剂䙁䄸睑偂䕁䄰兔偂䕁䄴睘卂䕁䅕䅕䅁䍁䅑䅁杁䅁䅁兓剂䙁䄸睑偂䕁䄰䅕䉂䕁䄴兗時䕁䄴兑乂䕁䅕䅁浂䅁䅁䅊䅁䕁䅫兕時䕁䅍睔乂䙁䅁兑佂䙁䅫睘啂䕁䅫睑䱂䕁䅕杕䅁䕁䅷䅁歁䅁䅁兓剂䙁䄸睑偂䙁䅕杔啂䙁䅉兗時䕁䄸杒時䕁䅫杔䑂䅁䅁督䅁䉁䅉䅁䩂䙁䅅睘䕂䕁䅅睘䑂䕁䅙䅁佁䅁䅁䅆䅁䕁䅫兕時䕁䅑兑時䕁䅕睕啂䅁䅁杘䅁䍁䅁䅁䩂䙁䅅睘䕂䕁䅫䅔噂䙁䅑睘塂䕁䅕兓䡂䕁䅧䅖䅁䉁䅣䅁啁䅁䅁兓剂䙁䄸兒䍂䕁䅫䅖䕂䕁䅅䅁扁䅁䅁䅈䅁䕁䅫兕時䕁䅕村䩂䙁䅑䅒䉂䙁䄸兒呂䙁䅑䅁⽂䅁䅁杋䅁䕁䅫兕時䕁䅕杒䝂䕁䅕睑啂䕁䅫杖䙂䙁䄸䅖䉂䙁䅧睘䙂䙁䅍䅖䅁䝁䅉䅁流䅁䅁兓剂䙁䄸兒䝂䕁䅙兒䑂䙁䅑睘啂䕁䅅䅗時䙁䅉兑啂䕁䅕䅁晁䅁䅁杆䅁䕁䅫兕時䕁䅕䅕呂䙁䄸兒呂䙁䅑䅁慂䅁䅁䅋䅁䕁䅫兕時䕁䅕睕啂䙁䄸兑䑂䙁䅑睘䙂䙁䅁睕時䕁䄴睔卂䕁䄰䅁䍃䅁䅁杊䅁䕁䅫兕時䕁䅙兓䵂䕁䅫杔䡂䙁䄸睑噂䙁䅉杕䙂䕁䄴睑婂䅁䅁睥䅁䅁䅷䅁䩂䙁䅅睘䝂䙁䅅䅁⭂䅁䅁杋䅁䕁䅫兕時䕁䅣睖時䕁䅫杔啂䕁䅅杔時䕁䅅兔偂䙁䅉䅖時䕁䅍杒䅁䙁䅅䅁杁䅁䅁兓剂䙁䄸䅓偂䕁䅷䅒䙂䙁䅉睘䑂䕁䅫兕䩂䕁䅑䅁卂䅁䅁杈䅁䕁䅫兕時䕁䅧睔䵂䕁䅑兒卂䙁䄸杔䉂䕁䄰兒䅁䙁䅷䅁楁䅁䅁兓剂䙁䄸䅓偂䕁䅷䅒䙂䙁䅉睘呂䕁䅧兑卂䕁䅕睕䅁䥁䅍䅁潁䅁䅁兓剂䙁䄸兓佂䙁䅑兒卂䕁䅕睕啂䙁䄸兒奂䙁䅁睘䙂䙁䅍䅖䅁䥁䅅䅁楁䅁䅁兓剂䙁䄸䅔䉂䙁䅍䅖呂䕁䅅䅔䙂䙁䅁杕䩂䕁䅍兒䅁䅁䅑䅁睁䅁䅁兓剂䙁䄸兔䩂䕁䄴睔卂䕁䅫䅖婂䙁䄸兓佂䙁䅑兒卂䕁䅕睕啂䙁䄸兓呂䅁䅁䅙䅁䑁䅙䅁䩂䙁䅅睘乂䕁䅫杔偂䙁䅉兓啂䙁䅫睘䩂䕁䄴䅖䙂䙁䅉兒呂䙁䅑睘啂䕁䄸䅖䉂䕁䅷䅁潂䅁䅁䅉䅁䕁䅫兕時䕁䄴兒啂䙁䄸䅒䙂䕁䅉䅖時䕁䅕睕啂䅁䅁䅧䅁䍁䅧䅁䩂䙁䅅睘佂䕁䅕䅖時䕁䅫杔啂䕁䅕杕䙂䙁䅍䅖時䕁䅕䅗兂䅁䅁睖䅁䉁䅑䅁䩂䙁䅅睘佂䕁䅫睘䙂䙁䅍䅖䅁䕁䅳䅁捁䅁䅁兓剂䙁䄸䅕䙂䙁䅉兓偂䕁䅑䅒䉂䙁䅑兒䅁䅁䅉䅁敁䅁䅁兓剂䙁䄸䅕卂䕁䅕杒時䕁䅕兕噂䕁䅫䅖婂䅁䅁兖䅁䍁䅧䅁䩂䙁䅅睘兂䙁䅉兓乂䕁䅅杕婂䙁䄸兓佂䕁䅑兖呂䙁䅑杕婂䅁䅁兣䅁䍁䅁䅁䩂䙁䅅睘兂䙁䅉睔䝂䕁䅕睕呂䕁䅫睔佂䕁䅅䅔䅁䡁䅕䅁流䅁䅁兓剂䙁䄸䅕卂䕁䄸杒䙂䙁䅍睕䩂䕁䄸杔䉂䕁䅷睘䩂䕁䅑䅁灂䅁䅁杈䅁䕁䅫兕時䙁䅉兒坂䕁䅕杔噂䕁䅕睘䙂䙁䅍䅖䅁䝁䅍䅁楁䅁䅁兓剂䙁䄸睕䉂䕁䅷兒時䕁䅫杔啂䕁䅅杔時䕁䅍杒䅁䙁䅑䅁歁䅁䅁兓剂䙁䄸睕兂䕁䅕睑䩂䕁䅅䅔時䕁䅑兓坂䙁䄸睑䝂䅁䅁杊䅁䍁䅑䅁䩂䙁䅅睘呂䙁䅑睔䑂䕁䅳睘䍂䕁䅅睕䙂䕁䅑睘䑂䕁䅙䅁啁䅁䅁䅈䅁䕁䅫兕時䙁䅑睔啂䕁䅅䅔時䕁䅑兒䍂䙁䅑䅁捁䅁䅁杇䅁䕁䅫兕時䙁䅑睔啂䕁䅅䅔時䙁䅉兒坂䅁䅁杇䅁䍁䅧䅁䩂䙁䅅睘啂䙁䅉兑䕂䕁䅫杔䡂䙁䄸睑噂䙁䅉杕䙂䕁䄴睑婂䅁䅁兦䅁䕁䅉䅁䩂䙁䅑䅉䑂䝁䄸杢穂䡁䅕䅢あ䝁䅫杢湂䍁䅁兙畂䝁䅑䅉偂䡁䅑䅡求䡁䅉䅉呂䝁䅕杣㉂䝁䅫睙求䡁䅍䅁祂䅁䅁䅍䅁䕁䅳党獂䝁䅷入獁䍁䅁䅕求䡁䅑党祂䍁䅁䅒桂䡁䅙兡歂䍁䅁杓療䝁䅧杢䅁䝁䅷䅁允䅁䅁䅔偂䕁䄴杏呂䕁䅍䅖䅁䕁䅣䅁十䅁䅁䅔呂䕁䅕杏杁䙁䅍睑啂䅁䅁八䅁䉁䅁䅁䵂䙁䅍兒㙁䙁䅍睑啂䅁䅁兔䅁䕁䅉䅁乂䝁䅅睤求䡁䅉䅉䩂䝁䄴杤求䡁䅍䅤瑂䝁䅕杢あ䍁䅁兔桂䝁䄴兙湂䝁䅕兢求䝁䄴䅤杁䕁䅷䅤歂䍁䄴䅁畂䅁䅁䅌䅁䕁䄰党橂䝁䅳䅢求䝁䄴杙ㅂ䡁䅉睚潂䍁䅷䅉䱂䝁䅅䅤潂䡁䅉入畂䅁䅁䅥䅁䅁䅙䅁佂䕁䅅䅁偁䅁䅁杉䅁䙁䅁兤獂䝁䅫督橂䝁䅫兙畂䝁䄸䅌杁䕁䅅杢畂䝁䅅䅁㙂䅁䅁杅䅁䙁䅉党睂䝁䄸杣あ䝁䅕䅚䅁䅁䅯䅁敁䅁䅁睕兂䙁䄸䅕卂䕁䅫睑䙂䙁䄸睑䵂䕁䄸睕䙂䅁䅁杪䅁䉁䅧䅁呂䝁䄸杚あ䝁䅍兙あ䍁䅁䅣獂䝁䅍䅁湂䅁䅁杹䅕䙁䅍睢浂䡁䅑睙桂䡁䅑䅉睂䝁䅷睙杁䝁䄸䅣求䡁䅉兙あ䝁䅕督杁䝁䅅督杁䝁䅅䅉㉂䝁䅅䅢ㅂ䝁䅕兌桂䝁䅑䅚求䝁䅑䅉䩂䙁䅑䅉祂䝁䅕督求䝁䅷䅢求䡁䅉䅉桂䝁䄴䅚杁䕁䅫䅖杁䝁䅫杢浂䡁䅉兙穂䡁䅑杣ㅂ䝁䅍䅤ㅂ䡁䅉党杁䡁䅍睢獂䡁䅕䅤灂䝁䄸杢穂䍁䅁䅣祂䝁䄸杤灂䝁䅑党祂䍁䅁兡畂䍁䅁䅤潂䝁䅕䅉噂䝁䄴兡あ䝁䅕䅚杁䕁䅳兡畂䝁䅣䅚療䝁䄰杌杁䙁䅑䅡求䍁䅁睙療䝁䄰䅣桂䝁䄴入杁䝁䅅䅚㉂䝁䅫睙求䡁䅍䅌杁䡁䅁杣療䝁䅍兤祂䝁䅕督獁䍁䅁䅚求䡁䅍兡湂䝁䄴督獁䍁䅁兡瑂䡁䅁䅢求䝁䄰党畂䡁䅑督獁䍁䅁兙畂䝁䅑䅉瑂䝁䅅杢桂䝁䅣党穂䍁䅁䅤求䝁䅍䅡畂䝁䄸䅢療䝁䅣入獁䍁䅁督ㅂ䝁䅍䅡杁䝁䅅督杁䡁䅍睢浂䡁䅑睤桂䡁䅉党杁䝁䅷兡橂䝁䅕杢穂䝁䅫杢湂䍁䅷䅉㍂䝁䄸杣牂䡁䅁䅢桂䝁䅍党杁䡁䅑党橂䝁䅧杢療䝁䅷睢湂䡁䅫䅌杁䝁䄴党あ䡁䅣睢祂䝁䅳兡畂䝁䅣䅌杁䡁䅍党橂䡁䅕杣灂䡁䅑入獁䍁䅁兙畂䝁䅑䅉橂䝁䅷睢ㅂ䝁䅑䅉桂䝁䄴䅚杁䝁䅑兙あ䝁䅅睙求䝁䄴䅤求䡁䅉䅉浂䝁䄸杣杁䝁䅉兤穂䝁䅫杢求䡁䅍督求䡁䅍䅉桂䝁䄴䅚杁䡁䅁兤楂䝁䅷兡橂䍁䅁督求䝁䅍䅤療䡁䅉䅉療䡁䅉睚桂䝁䄴兡㙂䝁䅅䅤灂䝁䄸杢穂䍁䄴䅉䩂䡁䅑䅉桂䝁䅷督療䍁䅁睢浂䝁䅙党祂䡁䅍䅉睂䡁䅕杙獂䝁䅫睙杁䝁䅍䅢療䡁䅕䅚獁䍁䅁睙療䝁䅷䅢桂䝁䅉睢祂䝁䅅䅤灂䝁䄸杢獁䍁䅁睙療䝁䄴杢求䝁䅍䅤灂䡁䅙兡あ䡁䅫䅌杁䝁䅑兙あ䝁䅅䅉橂䝁䅕杢あ䡁䅉党杁䝁䅅杢歂䍁䅁䅣祂䝁䅫杤桂䡁䅑党杁䝁䅍䅢療䡁䅕䅚獁䍁䅁䅚求䡁䅙兡橂䝁䅕督獁䍁䅁兙畂䝁䅑䅉浂䝁䅫杢桂䝁䄴睙灂䝁䅅䅢杁䡁䅍睢獂䡁䅕䅤灂䝁䄸杢杁䡁䅍党祂䡁䅙兡橂䝁䅕督畁䍁䅁兓畂䍁䅁兙歂䝁䅑兡あ䝁䅫睢畂䍁䅷䅉あ䝁䅧党杁䝁䅍睢瑂䡁䅁兙畂䡁䅫䅉睂䡁䅉睢㉂䝁䅫䅚求䡁䅍䅉䩂䙁䅑䅉桂䡁䅍督求䡁䅑䅉瑂䝁䅅杢桂䝁䅣党瑂䝁䅕杢あ䍁䅷䅉獂䝁䅫杚求䝁䅍入橂䝁䅷党杁䡁䅍睢獂䡁䅕䅤灂䝁䄸杢穂䍁䅷䅉瑂䝁䄸䅚求䡁䅉杢杁䝁䄰兙畂䝁䅅睚求䝁䄰党畂䡁䅑䅌杁䡁䅍党橂䡁䅕杣灂䡁䅑入獁䍁䅁督療䝁䅙䅤㍂䝁䅅杣求䍁䅁䅢灂䝁䅍党畂䡁䅍兡畂䝁䅣䅌杁䡁䅍兤睂䡁䅁䅢㕂䍁䅁睙潂䝁䅅兡畂䍁䅁睢睂䝁䅕杣桂䡁䅑兡療䝁䄴䅌杁䝁䅅杢歂䍁䅁杤灂䡁䅉䅤ㅂ䝁䅅䅢杁䝁䅑党穂䝁䅳䅤療䡁䅁䅉桂䝁䄴䅚杁䝁䅅䅣睂䝁䅷兡橂䝁䅅䅤灂䝁䄸杢畁䍁䅁睕療䝁䅙䅤橂䝁䅅䅤杁䡁䅁䅢橂䍁䅁睤桂䡁䅍䅉灂䝁䄴睙療䡁䅉䅣療䡁䅉兙あ䝁䅕䅚杁䝁䅫杢杁䑁䅅兏㑁䑁䅣䅉桂䝁䄴䅚杁䝁䅫督杁䝁䅧党桂䝁䅑兣ㅂ䝁䅅杣あ䝁䅕杣求䝁䅑䅉灂䝁䄴䅉乂䝁䅅杣獂䝁䄸睤獁䍁䅁䅤潂䝁䅕䅉噂䝁䄴兡あ䝁䅕䅚杁䕁䅳兡畂䝁䅣䅚療䝁䄰杌䅁䥁䅙䅁㡁杂䅁睕療䝁䅙䅤橂䝁䅅䅤杁䡁䅁䅢橂䍁䅁睢睂䝁䅕杣桂䡁䅑党穂䍁䅁兙穂䍁䅁兙杁䡁䅙兙獂䡁䅕党瑁䝁䅅䅚歂䝁䅕䅚杁䕁䅫䅖杁䡁䅉党穂䝁䅕䅢獂䝁䅕杣杁䝁䅅杢歂䍁䅁兓啂䍁䅁兡畂䝁䅙杣桂䡁䅍䅤祂䡁䅕睙あ䡁䅕杣求䍁䅁督療䝁䅷兤あ䝁䅫睢畂䡁䅍䅉睂䡁䅉睢㉂䝁䅫䅚求䡁䅉䅉灂䝁䄴䅉あ䝁䅧党杁䙁䅕杢灂䡁䅑党歂䍁䅁睓灂䝁䄴睚歂䝁䄸兢畁䍁䅁䅖潂䝁䅕䅉橂䝁䄸兢睂䝁䅅杢㕂䍁䅁兙歂䡁䅙兡橂䝁䅕督獁䍁䅁䅣祂䝁䄸睙ㅂ䡁䅉党穂䍁䅷䅉歂䝁䅕督灂䝁䅣杢穂䍁䅷䅉灂䝁䄰䅣獂䝁䅕兢求䝁䄴䅤穂䍁䅷䅉桂䝁䄴䅚杁䝁䄰兙畂䝁䅅睚求䡁䅍䅉あ䝁䅕睙潂䝁䄴睢獂䝁䄸睚㕂䍁䅷䅉穂䡁䅕睙潂䍁䅁兙穂䍁䅁督療䝁䅙䅤㍂䝁䅅杣求䍁䅁䅢灂䝁䅍党畂䡁䅍兡畂䝁䅣䅌杁䡁䅣睢祂䝁䅳䅣獂䝁䅅睙求䍁䅁䅤求䝁䅍䅡畂䝁䄸䅢療䝁䅣入獁䍁䅁杢求䡁䅑睤療䡁䅉睡灂䝁䄴睚獁䍁䅁督求䝁䅍兤祂䝁䅫䅤㕂䍁䅷䅉桂䝁䄴䅚杁䝁䅍䅢療䡁䅕䅚杁䝁䅅杢歂䍁䅁䅚桂䡁䅑兙橂䝁䅕杢あ䝁䅕杣杁䝁䅙睢祂䍁䅁杙ㅂ䡁䅍兡畂䝁䅕督穂䝁䅕督杁䝁䅅杢歂䍁䅁䅣ㅂ䝁䅉䅢灂䝁䅍䅉穂䝁䅕睙あ䝁䄸杣杁䝁䄸杣湂䝁䅅杢灂䡁䅯兙あ䝁䅫睢畂䡁䅍杌杁䕁䅫䅤杁䝁䅅䅢穂䝁䄸䅉療䝁䅙杚求䡁䅉督杁䡁䅁兤楂䝁䅷兡橂䍁䅁睙獂䝁䄸兤歂䍁䅷䅉橂䝁䄸䅢獂䝁䅅杙療䡁䅉兙あ䝁䅫睢畂䍁䅷䅉畂䝁䅕䅤㍂䝁䄸杣牂䝁䅫杢湂䍁䅁兙畂䝁䅑䅉橂䝁䄸杢畂䝁䅕睙あ䝁䅫杤灂䡁䅑入獁䍁䅁䅚桂䡁䅑兙杁䝁䅍党畂䡁䅑杣求䍁䅁兙畂䝁䅑䅉睂䡁䅉兡㉂䝁䅅䅤求䍁䅁睙獂䝁䄸兤歂䍁䅷䅉歂䝁䅕杤灂䝁䅍党穂䍁䅷䅉桂䝁䄴䅚杁䝁䅙兡畂䝁䅅杢橂䝁䅫兙獂䍁䅁督療䝁䅷兤あ䝁䅫睢畂䍁䅁督求䡁䅉杤灂䝁䅍党穂䍁䄴䅉䩂䝁䄴䅉桂䝁䅑䅚灂䡁䅑兡療䝁䄴䅌杁䡁䅑䅡求䍁䅁睙療䝁䄰䅣桂䝁䄴入杁䡁䅁杣療䡁䅙兡歂䝁䅕督杁䙁䅍睢浂䡁䅑睙桂䡁䅑䅉灂䝁䄴䅤求䝁䅷䅢灂䝁䅣党畂䝁䅍党杁䡁䅍党祂䡁䅙兡橂䝁䅕督獁䍁䅁䅢灂䝁䅙党橂䡁䅫睙獂䝁䅕䅉穂䝁䄸䅢ㅂ䡁䅑兡療䝁䄴督獁䍁䅁兢療䝁䅑党祂䝁䄴䅉瑂䝁䅅杢桂䝁䅣党瑂䝁䅕杢あ䍁䅷䅉穂䝁䅕睙ㅂ䡁䅉兡あ䡁䅫䅌杁䡁䅍睢浂䡁䅑睤桂䡁䅉党杁䝁䅷兡橂䝁䅕杢穂䝁䅫杢湂䍁䅷䅉穂䡁䅕䅣睂䝁䅷入杁䝁䅍䅡桂䝁䅫杢杁䝁䄸䅣求䡁䅉兙あ䝁䅫睢畂䍁䅷䅉桂䝁䄴䅚杁䡁䅙兡祂䡁䅑兤桂䝁䅷䅉歂䝁䅕督牂䡁䅑睢睂䍁䅁兙畂䝁䅑䅉桂䡁䅁䅣獂䝁䅫睙桂䡁䅑兡療䝁䄴䅌杁䝁䅅督杁䡁䅣党獂䝁䅷䅉桂䡁䅍䅉䩂䙁䅑䅉穂䝁䅕杣㉂䝁䅫睙求䍁䅁䅣祂䝁䄸杤灂䝁䅑党祂䍁䄴䅉呂䝁䄸杚あ䝁䅍兙あ䍁䅁䅣獂䝁䅍䅉㍂䝁䅅督杁䝁䅫杢橂䝁䄸杣睂䝁䄸杣桂䡁䅑党歂䍁䅁兡畂䍁䅁免㕁䑁䅧睎杁䝁䅅杢歂䍁䅁兡穂䍁䅁䅡求䝁䅅䅚硂䡁䅕兙祂䡁䅑党祂䝁䅕䅚杁䝁䅫杢杁䕁䄰兙祂䝁䅷睢㍂䍁䅷䅉あ䝁䅧党杁䙁䅕杢灂䡁䅑党歂䍁䅁睓灂䝁䄴睚歂䝁䄸兢畁䅁䅁杫䅁䵁䙧䅁呂䝁䄸杚あ䝁䅍兙あ䍁䅁䅣獂䝁䅍䅉睂䡁䅉兡瑂䝁䅅杣灂䝁䅷入杁䝁䅅睙あ䡁䅍䅉桂䡁䅍䅉桂䍁䅁杤桂䝁䅷兤求䍁䄰兙歂䝁䅑党歂䍁䅁兓啂䍁䅁杣求䡁䅍党獂䝁䅷党祂䍁䅁兙畂䝁䅑䅉䩂䙁䅑䅉灂䝁䄴杚祂䝁䅅督あ䡁䅉兤橂䡁䅑兤祂䝁䅕䅉穂䝁䄸䅢ㅂ䡁䅑兡療䝁䄴督杁䡁䅁杣療䡁䅙兡歂䝁䅕杣杁䝁䅫杢杁䡁䅑䅡求䍁䅁兖畂䝁䅫䅤求䝁䅑䅉䱂䝁䅫杢湂䝁䅑睢瑂䍁䄴䅉啂䝁䅧党杁䝁䅍睢瑂䡁䅁兙畂䡁䅫䅉桂䝁䅑杤灂䝁䅍党穂䍁䅷䅉睂䡁䅉睢橂䡁䅕杣求䡁䅍䅌杁䝁䅑党穂䝁䅫睚畂䡁䅍䅌杁䝁䅫兢睂䝁䅷党瑂䝁䅕杢あ䡁䅍䅌杁䝁䅅杢歂䍁䅁兢桂䝁䄴兙湂䝁䅕督杁䡁䅑党橂䝁䅧杢療䝁䅷睢湂䡁䅫䅌杁䡁䅍兤橂䝁䅧䅉桂䡁䅍䅉穂䝁䄸杚あ䡁䅣兙祂䝁䅕䅉獂䝁䅫睙求䝁䄴督灂䝁䄴睚獁䍁䅁睤療䡁䅉睡睂䝁䅷兙橂䝁䅕䅉あ䝁䅕睙潂䝁䄴睢獂䝁䄸睚㕂䍁䅷䅉畂䝁䅕䅤㍂䝁䄸杣牂䝁䅫杢湂䍁䅷䅉穂䝁䅕睙ㅂ䡁䅉兡あ䡁䅫䅌杁䝁䅅杢歂䍁䅁睙獂䝁䄸兤歂䍁䅁兙畂䝁䅑䅉歂䝁䅅䅤桂䝁䅍党畂䡁䅑党祂䍁䅁杚療䡁䅉䅉楂䡁䅕督灂䝁䄴党穂䡁䅍党穂䍁䅁兙畂䝁䅑䅉睂䡁䅕杙獂䝁䅫睙杁䡁䅍党橂䡁䅑睢祂䍁䅁睢祂䝁䅣兙畂䝁䅫来桂䡁䅑兡療䝁䄴督畁䍁䅁兓あ䍁䅁兙獂䡁䅍睢杁䝁䄸杚浂䝁䅕杣穂䍁䅁睙獂䝁䄸兤歂䍁䅷䅉橂䝁䄸䅢獂䝁䅅杙療䡁䅉兙あ䝁䅫睢畂䍁䅷䅉橂䝁䄸杢畂䝁䅕睙あ䝁䅫杤灂䡁䅑入獁䍁䅁䅚桂䡁䅑兙杁䝁䅍党畂䡁䅑杣求䍁䅁兙畂䝁䅑䅉睂䡁䅉兡㉂䝁䅅䅤求䍁䅁睙獂䝁䄸兤歂䍁䅷䅉歂䝁䅕杤灂䝁䅍党穂䍁䅷䅉桂䝁䄴䅚杁䝁䅙兡畂䝁䅅杢橂䝁䅫兙獂䍁䅁督療䝁䅷兤あ䝁䅫睢畂䍁䅁督求䡁䅉杤灂䝁䅍党穂䍁䄴䅉䩂䝁䄴䅉桂䝁䅑䅚灂䡁䅑兡療䝁䄴䅌杁䡁䅑䅡求䍁䅁睙療䝁䄰䅣桂䝁䄴入杁䡁䅁杣療䡁䅙兡歂䝁䅕督杁䕁䅫䅖杁䝁䅅督穂䝁䅕䅤杁䝁䄰兙畂䝁䅅睚求䝁䄰党畂䡁䅑䅌杁䝁䅷兡浂䝁䅕睙㕂䝁䅍䅢求䍁䅁督療䝁䅷兤あ䝁䅫睢畂䡁䅍䅌杁䝁䄰睢歂䝁䅕杣畂䍁䅁兢桂䝁䄴兙湂䝁䅕兢求䝁䄴䅤獁䍁䅁督求䝁䅍兤祂䝁䅫䅤㕂䍁䅷䅉穂䝁䄸杚あ䡁䅣兙祂䝁䅕䅉獂䝁䅫睙求䝁䄴督灂䝁䄴睚獁䍁䅁督ㅂ䡁䅁䅣獂䡁䅫䅉橂䝁䅧兙灂䝁䄴䅉療䡁䅁党祂䝁䅅䅤灂䝁䄸杢獁䍁䅁兙畂䝁䅑䅉㉂䝁䅫杣あ䡁䅕兙獂䍁䅁䅚求䡁䅍睡あ䝁䄸䅣杁䝁䅅杢歂䍁䅁兙睂䡁䅁䅢灂䝁䅍兙あ䝁䅫睢畂䍁䄴䅉呂䝁䄸杚あ䝁䅍兙あ䍁䅁䅣獂䝁䅍䅉㍂䝁䅅督杁䝁䅫杢橂䝁䄸杣睂䝁䄸杣桂䡁䅑党歂䍁䅁兡畂䍁䅁免㕁䑁䅧睎杁䝁䅅杢歂䍁䅁兡穂䍁䅁䅡求䝁䅅䅚硂䡁䅕兙祂䡁䅑党祂䝁䅕䅚杁䝁䅫杢杁䕁䄰兙祂䝁䅷睢㍂䍁䅷䅉あ䝁䅧党杁䙁䅕杢灂䡁䅑党歂䍁䅁睓灂䝁䄴睚歂䝁䄸兢畁䅁䅁兗䅁䉁䅁䅁啂䡁䅉兙歂䝁䅫杢湂䅁䅁兙䅁䅁䅧䅁噂䙁䅍䅒䅁䙁䄸䅁敁䅁䅁兖畂䝁䅫䅤求䝁䅑䅉䱂䝁䅫杢湂䝁䅑睢瑂䅁䅁䅤䅁䉁䅯䅁塂䝁䅅䅤あ䍁䅷䅉䡂䡁䅉兙求䝁䄰党䅁䙁䅁䅁楁䅁䅁兡硂䙁䄸䅢桂䡁䅍䅤穂䝁䅅䅢求䡁䅁杣灂䝁䅍党䅁䕁䅯䅁䥁䅁䅁督橂䡁䅑䅁䉁䅁䅁䅅䅁䡁䅍睢浂䡁䅑睙桂䡁䅉䅁乃䅁䅁杓䅁䅁杷允䅁䅁䅕䅁䑁䝁䅣䅁䭁䅁䅍䅁䭁䅁䅑䅁䙁䅁䅁䅁杄畹䅒兂䅁䅁䅁佷歈䅑䅅䅁䉁䅁䅁兂䅁䅁䅁䅁婂䅑杷允䅁䅁䅕䅁䑁䝁䅣䅁䭁䅁䅍䅁䭁䅁䅑䅁䙁䅁䅁䅁䅃伫䅒兂䅁䅁䅁䅙氯䅑䅅䅁䉁䅁䅁兂䅁䅁䅁䅁婂䅑杷允䅁䅁䅍䅁䑁䝁䅑䅁䭁䅁䅅䅁䭁䅁䅑䅁䉁䅁䅁允䅁䅁䅕䥘䌯匹捧歍䵁䅉䅅䅁䙁䅁䅁睁湂䅁䅁权䑁䅁䅁权䕁䅁䅁兂䅁䅁䅁乷決䅑䅕䅁䅁䭁穄唵䉁䅁䅁允䅁䅁䅕䅁䅁䅁䅁啗䵁䅉䅅䅁䙁䅁䅁睁湂䅁䅁权䑁䅁䅁权䕁䅁䅁兂䅁䅁䅁偧歪䅑䅕䅁䅁䅁流唵䉁䅁䅁允䅁䅁䅕䅁䅁䅁䅁啗䵁䅉䅅䅁䙁䅁䅁睁湂䅁䅁权䑁䅁䅁权䕁䅁䅁兂䅁䅁䅁䙷汐䅑䅕䅁䅁䝁䉃唵䉁䅁䅁允䅁䅁䅕䅁䅁䅁䅁啗䵁䅉䅅䅁䙁䅁䅁睁湂䅁䅁权䑁䅁䅁权䕁䅁䅁兂䅁䅁䅁䙷汐䅑䅕䅁䅁䭁煂唵䉁䅁䅁允䅁䅁䅕䅁䅁䅁䅁啗䵁䅉䅅䅁䑁䅁䅁睁歂䅁䅁权䉁䅁䅁权䵁䅁䅁允䅁䅁䅅䅁䙁䙁偹癷潕䑈䅊䍄䉁䅁䅁兂䅁䅁䅍睚䅁䅁䅯睁䅁䅁䅯䅂䅁䅁䅕䅁䅁䥁浄〴䙁䅁䅁䅁杁但䅒允䅁䅁䅅䅁䙁䅁䅁䅁䅁䙁䅬䍄䉁䅁䅁兂䅁䅁䅍睚䅁䅁䅯睁䅁䅁䅯䅂䅁䅁䅕䅁䅁䵁煂唵䙁䅁䅁䅁杂敧䅖允䅁䅁䅅䅁䙁䅁䅁䅁䅁䙁䅬䍄䉁䅁䅁兂䅁䅁䅍睚䅁䅁䅯睁䅁䅁䅯䅂䅁䅁䅕䅁䅁䍁摃䔵䙁䅁䅁䅁䅄畹䅒允䅁䅁䅅䅁䙁䅁䅁䅁䅁䙁䅬䍄䉁䅁䅁兂䅁䅁䅍睚䅁䅁䅯睁䅁䅁䅯䅂䅁䅁䅕䅁䅁䥁偁唵䙁䅁䅁䅁䅁畊䅖允䅁䅁䅅䅁䙁䅁䅁䅁䅁䙁䅬䍄䉁䅁䅁兂䅁䅁䅍睚䅁䅁䅯睁䅁䅁䅯䅂䅁䅁䅕䅁䅁䥁䉃唵䙁䅁䅁䅁䅁⭲䅖允䅁䅁䅅䅁䙁䅁䅁䅁䅁䙁䅬䍄䉁䅁䅁兂䅁䅁䅍睚䅁䅁䅯睁䅁䅁䅯䅂䅁䅁䅕䅁䅁䕁啁䔵䙁䅁䅁䅁䅄救䅒允䅁䅁䅅䅁䙁䅁䅁䅁䅁䙁䅬䍄䉁䅁䅁兂䅁䅁䅍睚䅁䅁䅯睁䅁䅁䅯䅂䅁䅁䅕䅁䅁䍁流唵䙁䅁䅁䅁权⭕䅖允䅁䅁䅅䅁䙁䅁䅁䅁䅁䙁䅬䍄䉁䅁䅁兂䅁䅁䅍睚䅁䅁䅯睁䅁䅁䅯䅂䅁䅁䅕䅁䅁佁桄䔵䙁䅁䅁䅁杂伫䅒允䅁䅁䅅䅁䙁䅁䅁䅁䅁䙁䅬䍄䉁䅁䅁兂䅁䅁䅍睚䅁䅁䅯睁䅁䅁䅯䅂䅁䅁䅕䅁䅁䍁流唵䙁䅁䅁䅁䅁敐䅖允䅁䅁䅅䅁䙁䅁䅁䅁䅁䙁䅬䍄䉁䅁䅁兂䅁䅁䅍睚䅁䅁䅯睁䅁䅁䅯䅂䅁䅁䅕䅁䅁䍁㥁唵䙁䅁䅁䅁权⭕䅖允䅁䅁䅅䅁䙁䅁䅁䅁䅁䙁䅬䍄䉁䅁䅁兂䅁䅁䅍睚䅁䅁䅯睁䅁䅁䅯䅂䅁䅁䅕䅁䅁䥁䉃唵䙁䅁䅁䅁杂佭䅖允䅁䅁䅅䅁䙁䅁䅁䅁䅁䙁䅬䍄䉁䅁䅁兂䅁䅁䅍睚䅁䅁䅯睁䅁䅁䅯䅂䅁䅁䅕䅁䅁䥁奃唵䙁䅁䅁䅁䅁⭲䅖允䅁䅁䅅䅁䙁䅁䅁䅁䅁䙁䅬䍄䉁䅁䅁䅃䅁䅁䅍䅚䅁䅁䅯允䅁䅁䅯睖䅁䅁䅕䅁䅁䅁䅂の䙁䅁䅁䅁䅂敉䅚权䕁䅁䅋权䕁䅁䅋权䭁䅁䅁允䅁䅁䅅䅁䙁偁唷佥浫免䅎䍄䉁䅁䅁兂䅁䅁䅍睚䅁䅁䅯兓䅁䅁䅯杓䅁䅁䅕䅁䅁䝁捂欵䙁䅁䅁䅁䅃佘䅚允䅁䅁䅅䅁䙁䕁⼹䡆晱偔⽕䍄䉁䅁䅁兂䅁䅁䅍睚䅁䅁䅯睁䅁䅁䅯䅂䅁䅁䅕䅁䅁䍁癃唵䙁䅁䅁䅁䅁畸䅖允䅁䅁䅅䅁䙁䅁䅁䅁䅁䙁䅬䍄䉁䅁䅁兂䅁䅁䅍睚䅁䅁䅯睁䅁䅁䅯䅂䅁䅁䅕䅁䅁䍁䝄唵䙁䅁䅁䅁权伳䅖允䅁䅁䅅䅁䙁䅁䅁䅁䅁䙁䅬䍄䉁䅁䅁兂䅁䅁䅍睚䅁䅁䅯睁䅁䅁䅯䅂䅁䅁䅕䅁䅁䝁䭁欵䙁䅁䅁䅁䅁住䅚允䅁䅁䅅䅁䙁䅁䅁䅁䅁䙁䅬䍄䉁䅁䅁睁䅁䅁䅍䅚䅁䅁䅯睁䅁䅁䅯䅂䅁䅁䅅䅁䉁䅁䅁兂䅁䅁䅁䅁婂䅑杷允䅁䅁䅕䅁䑁䝁䅣䅁䭁䅁䅍䅁䭁䅁䅑䅁䙁䅁䅁䅁䅄⬸䅖兂䅁䅁䅁䅑浲䅑䅅䅁䉁䅁䅁兂䅁䅁䅁䅁婂䅑杷允䅁䅁䅕䅁䑁䝁䅣䅁䭁䅁䅍䅁䭁䅁䅑䅁䙁䅁䅁䅁权敘䅎权䝂䅁䅁允䅁䅁䅅䅁䙁䅁䅁䅁䅁䙁䅬䍄䉁䅁䅁兂䅁䅁䅍睚䅁䅁䅯睁䅁䅁䅯䅂䅁䅁䅕䅁䅁䵁捄唵䙁䅁䅁䅁䅂畃䅚允䅁䅁䅅䅁䙁䅁䅁䅁䅁䙁䅬䍄䉁䅁䅁兂䅁䅁䅍睚䅁䅁䅯睁䅁䅁䅯䅂䅁䅁䅕䅁䅁䕁䱃〴䙁䅁䅁䅁䅄併䅎允䅁䅁䅅䅁䙁䅁䅁䅁䅁䙁䅬䍄䉁䅁䅁兂䅁䅁䅍睚䅁䅁䅯睁䅁䅁䅯䅂䅁䅁䅕䅁䅁佁㑃〴䙁䅁䅁䅁杂电䅎允䅁䅁䅅䅁䙁䅁䅁䅁䅁䙁䅬䍄䉁䅁䅁兂䅁䅁䅍睚䅁䅁䅯睁䅁䅁䅯䅂䅁䅁䅕䅁䅁佁䉂䔵䙁䅁䅁䅁杂⭢䅒允䅁䅁䅅䅁䙁䅁䅁䅁䅁䙁䅬䍄䉁䅁䅁兂䅁䅁䅍睚䅁䅁䅯睁䅁䅁䅯䅂䅁䅁䅕䅁䅁䥁療䔵䙁䅁䅁䅁䅁敮䅒允䅁䅁䅅䅁䙁䅁䅁䅁䅁䙁䅬䍄䉁䅁䅁兂䅁䅁䅍睚䅁䅁䅯睁䅁䅁䅯䅂䅁䅁䅕䅁䅁佁䭄䔵䙁䅁䅁䅁杂伫䅒允䅁䅁䅅䅁䙁䅁䅁䅁䅁䙁䅬䍄䉁䅁䅁兂䅁䅁䅍睚䅁䅁䅯睁䅁䅁䅯䅂䅁䅁䅕䅁䅁䍁癃唵䙁䅁䅁䅁权伳䅖允䅁䅁䅅䅁䙁䅁䅁䅁䅁䙁䅬䍄䉁䅁䅁兂䅁䅁䅍睚䅁䅁䅯睁䅁䅁䅯䅂䅁䅁䅕䅁䅁䝁䭁欵䙁䅁䅁䅁䅂敉䅚允䅁䅁䅅䅁䙁䅁䅁䅁䅁䙁䅬䍄䉁䅁䅁兂䅁䅁䅍睚䅁䅁䅯睁䅁䅁䅯䅂䅁䅁䅕䅁䅁䝁桁欵䙁䅁䅁䅁䅁住䅚允䅁䅁䅅䅁䙁䅁䅁䅁䅁䙁䅬䍄䉁䅁䅁兂䅁䅁䅍䅚䅁䅁䅯允䅁䅁䅯杁䅁䅁䅕䅁䅁䅁潁な䙁䅁䅁䅁权佘䅚允䅁䅁䅅䅁䙁䅁䅁䅁䅁⭲䅖䍄䉁䅁䅁䅃䅁䅁䅍䅚䅁䅁䅯允䅁䅁䅯杄䅁䅁䅕䅁䅁䅁䅂の䙁䅁䅁䅁䅂敉䅚权䕁䅁䅋权䕁䅁䅋权䭁䅁䅁允䅁䅁䅅䅁䙁䵁䱤㑎䉬䉙䅎䍄䉁䅁䅁䅃䅁䅁䅍䅚䅁䅁䅯允䅁䅁䅯䅅䅁䅁䅕䅁䅁䅁䅂の䙁䅁䅁䅁䅂敉䅚权䕁䅁䅋权䕁䅁䅋权䭁䅁䅁允䅁䅁䅅䅁䭁䅁䄸䅁䵁䅉䅅䅁䙁䅁䅁睁歂䅁䅁权䉁䅁䅁权䍁䅁䅁兂䅁䅁䅁䕁偃䅑䅕䅁䅁䭁捂欵䉁䅁䅁允䅁䅁䅕䅁䅁䅁㑁欵䵁䅉䅅䅁䙁䅁䅁睁歂䅁䅁权䉁䅁䅁权䍁䅁䅁兂䅁䅁䅁䅁偃䅑䅕䅁䅁䭁捂欵䉁䅁䅁允䅁䅁䅕䅁䅁䵁䭄䔵䵁䅉䅅䅁䥁䅁䅁睁歂䅁䅁权䉁䅁䅁权啁䅁䅁兂䅁䅁䅁䕁晃䅑䅕䅁䅁䕁桁欵䭁䅁䅑潁䭁䅁䅑潁䭁䅁䅯䅁䉁䅁䅁允䅁䅁䅕祇搯䅊䉡ぃ䵁䅉䅅䅁䙁䅁䅁睁歂䅁䅁权䉁䅁䅁权䍁䅁䅁兂䅁䅁䅁䕁⽂䅑䅕䅁䅁䭁捂欵䉁䅁䅁允䅁䅁䅕䅁䅁䅁偂欵䵁䅉䅅䅁䙁䅁䅁睁歂䅁䅁权䉁䅁䅁权塁䅁䅁兂䅁䅁䅁䕁晃䅑䅕䅁䅁䕁桁欵䉁䅁䅁允䅁䅁䅕兊䉡啬呍啡䵁䅉䅅䅁䥁䅁䅁睁歂䅁䅁权䉁䅁䅁权捁䅁䅁兂䅁䅁䅁䕁晃䅑䅕䅁䅁䕁桁欵䭁䅁䅑潁䭁䅁䅑潁䭁䅁䅯䅁䉁䅁䅁允䅁䅁䅕浗㝑〳丫啉䵁䅉䅅䅁䙁䅁䅁睁歂䅁䅁权䉁䅁䅁权䍁䅁䅁兂䅁䅁䅁䉁偩䅑䅕䅁䅁䭁捂欵䉁䅁䅁允䅁䅁䅕䅁䅁䭁呂唵䵁䅉䅅䅁䙁䅁䅁睁歂䅁䅁权䉁䅁䅁权䍁䅁䅁兂䅁䅁䅁䑁偃䅑䅕䅁䅁䭁捂欵䉁䅁䅁允䅁䅁䅕䅁䅁䭁捄唵䵁䅉䅅䅁䙁䅁䅁睁歂䅁䅁权䉁䅁䅁权䍁䅁䅁兂䅁䅁䅁䕁晃䅑䅕䅁䅁䭁捂欵䉁䅁䅁允䅁䅁䅕䅁䅁䅁偂欵䵁䅉䅅䅁䕁䅁䅁睁歂䅁䅁权䉁䅁䅁权䕁䅁䅁兂䅁䅁䅁䍁洯䅑䅅䅁䉁䅁䅁兂㉄䙋偹癷睕䅑杷允䅁䅁䅕䅁䑁䝁䅑䅁䭁䅁䅅䅁䭁䅁䅉䅁䙁䅁䅁䅁䅁䥃䄹兂䅁䅁䅁䙯浺䅑䅅䅁䉁䅁䅁兂䅁䅁䅁偙歪䅑杷允䅁䅁䅑䅁䑁䝁䅑䅁䭁䅁䅅䅁䭁䅁䅷䅁䙁䅁䅁䅁䅃佥䅖允䅁䅁䅅䅁䙁乁婐敹潁卷䅖䍄䉁䅁䅁䅃䅁䅁䅍䅚䅁䅁䅯允䅁䅁䅯䅊䅁䅁䅕䅁䅁䅁䅂の䙁䅁䅁䅁䅂敉䅚权䕁䅁䅋权䕁䅁䅋权䭁䅁䅁允䅁䅁䅅䅁䭁䅁䄸䅁䵁䅉䅅䅁䕁䅁䅁睁歂䅁䅁权䉁䅁䅁权䵁䅁䅁兂䅁䅁䅁乷汐䅑䅅䅁䉁䅁䅁兂ㅁ䩋䡯䙳潁䅑杷允䅁䅁䅑䅁䑁䝁䅑䅁䭁䅁䅅䅁䭁䅁䅑䅁䙁䅁䅁䅁杁⭓䅚允䅁䅁䅅䅁䙁䡁啳歲桦楥䄵䍄䉁䅁䅁䅂䅁䅁䅍䅚䅁䅁䅯允䅁䅁䅯䅂䅁䅁䅕䅁䅁佁奂欵䉁䅁䅁允䅁䅁䅕歲桦桥畓が䵁䅉䅅䅁䕁䅁䅁睁歂䅁䅁权䉁䅁䅁权䕁䅁䅁兂䅁䅁䅁䙙浈䅑䅅䅁䉁䅁䅁兂乄䵺䵺䅺睷䅑杷允䅁䅁䅑䅁䑁䝁䅑䅁䭁䅁䅅䅁䭁䅁䅷䅁䙁䅁䅁䅁杂佬䅒允䅁䅁䅅䅁䭁䅁䄸䅁䵁䅉䅅䅁䙁䅁䅁睁歂䅁䅁权䉁䅁䅁权䍁䅁䅁兂䅁䅁䅁偁佃䅑䅕䅁䅁䭁捂欵䉁䅁䅁允䅁䅁䅕䅁䅁䝁療䔵䵁䅉䅅䅁䙁䅁䅁睁歂䅁䅁权䉁䅁䅁权䍁䅁䅁兂䅁䅁䅁偁佩䅑䅕䅁䅁䭁捂欵䉁䅁䅁允䅁䅁䅕䅁䅁䅁摃䔵䵁䅉䅅䅁䙁䅁䅁睁歂䅁䅁权䉁䅁䅁权䍁䅁䅁兂䅁䅁䅁䉁偃䅑䅕䅁䅁䭁捂欵䉁䅁䅁允䅁䅁䅕䅁䅁䅁流唵䵁䅉䅅䅁䙁䅁䅁睁歂䅁䅁权䉁䅁䅁权䍁䅁䅁兂䅁䅁䅁䍁偃䅑䅕䅁䅁䭁捂欵䉁䅁䅁允䅁䅁䅕䅁䅁䝁䉃唵䵁䅉䅅䅁䙁䅁䅁睁歂䅁䅁权䉁䅁䅁权䍁䅁䅁兂䅁䅁䅁䑁偩䅑䅕䅁䅁䭁捂欵䉁䅁䅁允䅁䅁䅕䅁䅁䕁䭁欵䵁䅉䅅䅁䥁䅁䅁睁歂䅁䅁权䉁䅁䅁权杂䅁䅁兂䅁䅁䅁䕁晃䅑䅯䅂䍁䅧䅯䅂䍁䅧䅯䅂䍁䅧䅯权䅁䅁䅅䅁䉁䅁䅁权偁䅁䅁䍄䉁䅁䅁䅃䅁䅁䅍䅚䅁䅁䅯允䅁䅁䅯光䅁䅁䅕䅁䅁䅁䅂の䙁䅁䅁䅁䅂敉䅚权䕁䅁䅋权䕁䅁䅋权䭁䅁䅁允䅁䅁䅅䅁䙁䩁䕺䱉祂䙵䅤䍄䉁䅁䅁䅃䅁䅁䅍䅚䅁䅁䅯允䅁䅁䅯杉䅁䅁䅕䅁䅁䅁䅂の䙁䅁䅁䅁䅂敉䅚权䕁䅁䅋权䕁䅁䅋权䭁䅁䅁允䅁䅁䅅䅁䙁䑁積積積ぉ䅆䍄䉁䅁䅁兂䅁䅁䅍睚䅁䅁䅯兓䅁䅁䅯杓䅁䅁䅕䅁䅁䅁䱂欵䙁䅁䅁䅁杁⭓䅚允䅁䅁䅅䅁䙁䅁浸煴㙗療⽑䍄䉁䅁䅁䅃䅁䅁䅍䅚䅁䅁䅯允䅁䅁䅯杊䅁䅁䅕䅁䅁䅁䅂の䙁䅁䅁䅁䅂敉䅚权䕁䅁䅋权䕁䅁䅋权䭁䅁䅁允䅁䅁䅅䅁䙁䱁祂䩡瑈䑈䅮䍄䉁䅁䅁䅃䅁䅁䅍䅚䅁䅁䅯允䅁䅁䅯睉䅁䅁䅕䅁䅁䅁䅂の䙁䅁䅁䅁䅂敉䅚权䕁䅁䅋权䕁䅁䅋权䭁䅁䅁允䅁䅁䅅䅁䙁偁周㘴扗䔹䅪䍄䉁䅁䅁䅃䅁䅁䅍䅚䅁䅁䅯允䅁䅁䅯睈䅁䅁䅕䅁䅁䅁䅂の䙁䅁䅁䅁䅂敉䅚权䕁䅁䅋权䕁䅁䅋权䭁䅁䅁允䅁䅁䅅䅁䙁䑁剑橎㥹樸䅚䍄䉁䅁䅁䅃䅁䅁䅍䅚䅁䅁䅯允䅁䅁䅯先䅁䅁䅕䅁䅁䅁䅂の䙁䅁䅁䅁䅂敉䅚权䕁䅁䅋权䕁䅁䅋权䭁䅁䅁允䅁䅁䅅䅁䙁䥁牘払敧噈䅸䍄䉁䅁䅁䅃䅁䅁䅍䅚䅁䅁䅯允䅁䅁䅯元䅁䅁䅕䅁䅁䅁䅂の䙁䅁䅁䅁䅂敉䅚权䕁䅁䅋权䕁䅁䅋权䭁䅁䅁允䅁䅁䅅䅁䙁䑁䥅䉲慸䅚䅈䍄䉁䅁䅁䅃䅁䅁䅍䅚䅁䅁䅯允䅁䅁䅯睇䅁䅁䅕䅁䅁䅁䅂の䙁䅁䅁䅁䅂敉䅚权䕁䅁䅋权䕁䅁䅋权䭁䅁䅁允䅁䅁䅅䅁䙁偁周㘴扗䝚䅊䍄䉁䅁䅁䅃䅁䅁䅍䅚䅁䅁䅯允䅁䅁䅯杇䅁䅁䅕䅁䅁䅁䅂の䙁䅁䅁䅁䅂敉䅚权䕁䅁䅋权䕁䅁䅋权䭁䅁䅁允䅁䅁䅅䅁䙁䕁㍷啩杆䥙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</si>
</sst>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3">
    <numFmt numFmtId="5" formatCode="&quot;$&quot;#,##0_);\(&quot;$&quot;#,##0\)"/>
    <numFmt numFmtId="6" formatCode="&quot;$&quot;#,##0_);[Red]\(&quot;$&quot;#,##0\)"/>
    <numFmt numFmtId="7" formatCode="&quot;$&quot;#,##0.00_);\(&quot;$&quot;#,##0.00\)"/>
    <numFmt numFmtId="8" formatCode="&quot;$&quot;#,##0.00_);[Red]\(&quot;$&quot;#,##0.00\)"/>
    <numFmt numFmtId="41" formatCode="_(* #,##0_);_(* \(#,##0\);_(* &quot;-&quot;_);_(@_)"/>
    <numFmt numFmtId="44" formatCode="_(&quot;$&quot;* #,##0.00_);_(&quot;$&quot;* \(#,##0.00\);_(&quot;$&quot;* &quot;-&quot;??_);_(@_)"/>
    <numFmt numFmtId="43" formatCode="_(* #,##0.00_);_(* \(#,##0.00\);_(* &quot;-&quot;??_);_(@_)"/>
    <numFmt numFmtId="164" formatCode="_(* #,##0.0_);_(* \(#,##0.0\)_)\ ;_(* 0_)"/>
    <numFmt numFmtId="165" formatCode="_(* #,##0.0#_);_(* \(#,##0.0#\)_)\ ;_(* 0_)"/>
    <numFmt numFmtId="166" formatCode="_(#,##0.0%_);_(\(#,##0.0%\)_);_(#,##0.0%_)"/>
    <numFmt numFmtId="167" formatCode="mmm\-dd\-yyyy"/>
    <numFmt numFmtId="168" formatCode="_(* #,##0_);_(* \(#,##0\)_)\ ;_(* 0_)"/>
    <numFmt numFmtId="169" formatCode="#,##0.0\x"/>
    <numFmt numFmtId="170" formatCode="#,##0.0%_);\(#,##0.0%\)"/>
    <numFmt numFmtId="171" formatCode="_(* #,##0.00_);_(* \(#,##0.00\);_(* &quot;-&quot;_);_(@_)"/>
    <numFmt numFmtId="172" formatCode="#,##0.00%_);\(#,##0.00%\)"/>
    <numFmt numFmtId="173" formatCode="#,##0.0\x_);\(#,##0.0\x\)"/>
    <numFmt numFmtId="174" formatCode="_(* #,##0.0_);_(* \(#,##0.0\);_(* &quot;-&quot;_);_(@_)"/>
    <numFmt numFmtId="175" formatCode="0.0%"/>
    <numFmt numFmtId="176" formatCode="[$£-809]#,##0"/>
    <numFmt numFmtId="177" formatCode="_(* #,##0_);_(* \(#,##0\);_(* &quot;-&quot;??_);_(@_)"/>
    <numFmt numFmtId="178" formatCode="_(* #,##0.0%_);_(* \(#,##0.0%\);_(* &quot;-&quot;?_);_(* @_)"/>
    <numFmt numFmtId="179" formatCode="[$£-809]#,##0.00"/>
    <numFmt numFmtId="180" formatCode="_(* #,##0.0\x_);_(* \(#,##0.0\x\);_(* &quot;-&quot;?_);_(* @_)"/>
    <numFmt numFmtId="181" formatCode="[$£-809]#,##0;\-[$£-809]#,##0"/>
    <numFmt numFmtId="182" formatCode="[$£-809]#,##0.00;\-[$£-809]#,##0.00"/>
    <numFmt numFmtId="183" formatCode="_(* #,##0.0_);_(* \(#,##0.0\);_(* &quot;-&quot;??_);_(@_)"/>
    <numFmt numFmtId="184" formatCode="0.0"/>
    <numFmt numFmtId="185" formatCode="_(* #,##0.0_);_(* \(#,##0.0\)_)\ ;_(* 0.0_)"/>
    <numFmt numFmtId="186" formatCode="_(* #,##0.0_);_(* \(#,##0.0\);_(* &quot;-&quot;??_);@"/>
    <numFmt numFmtId="187" formatCode="_(* #,##0.0_);_(* \(#,##0.0\);_(* &quot;-&quot;??_);_(&quot;Ticker :   &quot;@_)"/>
    <numFmt numFmtId="188" formatCode=";;;"/>
    <numFmt numFmtId="189" formatCode="_(* #,##0.0_);_(* \(#,##0.0\);_(* &quot; - &quot;??_);_(&quot;Last Price (&quot;@&quot;) &quot;_)"/>
    <numFmt numFmtId="190" formatCode="_(#,##0.0\ &quot;p&quot;;_(\ \(#,##0.0\)&quot;p&quot;;_(\ &quot;-&quot;?_ &quot;p&quot;;_(@_)"/>
    <numFmt numFmtId="191" formatCode="_(* #,##0.0_);_(* \(#,##0.0\);_(* &quot;-&quot;??_);_(&quot;Real-Time Stock Price :   &quot;@_)"/>
    <numFmt numFmtId="192" formatCode="_(* #,##0.0_);_(* \(#,##0.0\);_(* &quot;-&quot;??_);_(&quot;Model Sheet Currency :   &quot;@_)"/>
    <numFmt numFmtId="193" formatCode="_(* 0.0%_);_(* \-0.0%_);_(* &quot;-&quot;??_);_(@_)"/>
    <numFmt numFmtId="194" formatCode="_(&quot;$&quot;* 0.00_);_(&quot;$&quot;* \(0.00\);_(&quot;$&quot;* &quot;-&quot;??_);_(@_)"/>
    <numFmt numFmtId="195" formatCode="_(&quot;$&quot;* 0.000_);_(&quot;$&quot;* \(0.000\);_(&quot;$&quot;* &quot;-&quot;??_);_(@_)"/>
    <numFmt numFmtId="196" formatCode="_(#,##0.0\ \ &quot;p&quot;;_(\ \(#,##0.0\)&quot;p&quot;;_(\ &quot;-&quot;?_ &quot;p&quot;;_(@_)"/>
    <numFmt numFmtId="197" formatCode="_(* 0.0\ \x_);\ _(* &quot;n/a&quot;_);_(* &quot;-&quot;??_);_(@_)"/>
    <numFmt numFmtId="198" formatCode="_(\£* #,##0.00_);_(\£* \(#,##0.00\);_(\£* &quot; - &quot;??_);_(@_)"/>
    <numFmt numFmtId="199" formatCode="_(* #,##0.000_);_(* \(#,##0.000\);_(* &quot;-&quot;??_);_(@_)"/>
    <numFmt numFmtId="200" formatCode="_(* #,##0.0_);_(* \(#,##0.0\);_(* &quot;-&quot;??_);_(&quot;Canalyst Ticker &gt;&gt; &quot;@_)"/>
    <numFmt numFmtId="201" formatCode="_(* #,##0.0_);_(* \(#,##0.0\);_(* &quot;-&quot;??_);_(&quot;Bloomberg &gt;&gt; &quot;@_)"/>
    <numFmt numFmtId="202" formatCode="_(* #,##0.0_);_(* \(#,##0.0\);_(* &quot;-&quot;??_);_(&quot;Capital IQ &gt;&gt; &quot;@_)"/>
    <numFmt numFmtId="203" formatCode="_(* #,##0.0_);_(* \(#,##0.0\);_(* &quot;-&quot;??_);_(&quot;FactSet &gt;&gt; &quot;@_)"/>
    <numFmt numFmtId="204" formatCode="_(* #,##0.0_);_(* \(#,##0.0\);_(* &quot; -&quot;??_);_(&quot;Refinitiv &gt;&gt; &quot;@_)"/>
    <numFmt numFmtId="205" formatCode="_(&quot;$&quot;* #,##0.000_);_(&quot;$&quot;* \(#,##0.000\);_(&quot;$&quot;* &quot;-&quot;??_);_(@_)"/>
    <numFmt numFmtId="206" formatCode="_(&quot;$&quot;* #,##0_);_(&quot;$&quot;* \(#,##0\);_(&quot;$&quot;* &quot;-&quot;??_);_(@_)"/>
    <numFmt numFmtId="207" formatCode="_(#,##0.00\ \ &quot;p&quot;;_(\ \(#,##0.00\)&quot;p&quot;;_(\ &quot;-&quot;?_ &quot;p&quot;;_(@_)"/>
    <numFmt numFmtId="208" formatCode="_(\$* 0.00_);_(\$* \(0.00\);_(\$* &quot; - &quot;??_);_(@_)"/>
    <numFmt numFmtId="209" formatCode="_(&quot;$&quot;* 0.00_);_(&quot;$&quot;* \(0.00\);_(&quot;$&quot;* &quot; - &quot;??_);_(@_)"/>
    <numFmt numFmtId="210" formatCode="yyyy\-mm\-dd"/>
    <numFmt numFmtId="211" formatCode="#,##0;[Red]\(#,##0\)"/>
    <numFmt numFmtId="212" formatCode="0.000"/>
    <numFmt numFmtId="213" formatCode="0.00000000000000%"/>
    <numFmt numFmtId="214" formatCode="_(* #,##0.00\x_);_(* \(#,##0.00\x\);_(* &quot;-&quot;?_);_(* @_)"/>
    <numFmt numFmtId="215" formatCode="[$-409]mmm\-dd\-yyyy;@"/>
    <numFmt numFmtId="216" formatCode="[$-409]mmm\-yy;@"/>
    <numFmt numFmtId="217" formatCode="0.00\x"/>
    <numFmt numFmtId="218" formatCode="0.0\x"/>
    <numFmt numFmtId="219" formatCode="_(* #,##0%_);_(* \(#,##0%\);_(* &quot;-&quot;?_);_(* @_)"/>
  </numFmts>
  <fonts count="172" x14ac:knownFonts="1">
    <font>
      <sz val="11"/>
      <color theme="1"/>
      <name val="Calibri"/>
      <family val="2"/>
      <scheme val="minor"/>
    </font>
    <font>
      <sz val="11"/>
      <color theme="1"/>
      <name val="Calibri"/>
      <family val="2"/>
      <scheme val="minor"/>
    </font>
    <font>
      <b/>
      <sz val="13"/>
      <color indexed="8"/>
      <name val="Verdana"/>
      <family val="2"/>
    </font>
    <font>
      <sz val="8"/>
      <name val="Arial"/>
      <family val="2"/>
    </font>
    <font>
      <i/>
      <sz val="8"/>
      <name val="Arial"/>
      <family val="2"/>
    </font>
    <font>
      <b/>
      <sz val="8"/>
      <name val="Arial"/>
      <family val="2"/>
    </font>
    <font>
      <sz val="8"/>
      <color indexed="8"/>
      <name val="Arial"/>
      <family val="2"/>
    </font>
    <font>
      <b/>
      <sz val="8"/>
      <color indexed="9"/>
      <name val="Verdana"/>
      <family val="2"/>
    </font>
    <font>
      <sz val="1"/>
      <color indexed="9"/>
      <name val="Symbol"/>
      <family val="1"/>
      <charset val="2"/>
    </font>
    <font>
      <b/>
      <sz val="8"/>
      <color indexed="8"/>
      <name val="Arial"/>
      <family val="2"/>
    </font>
    <font>
      <b/>
      <i/>
      <sz val="8"/>
      <color indexed="8"/>
      <name val="Arial"/>
      <family val="2"/>
    </font>
    <font>
      <b/>
      <u val="double"/>
      <sz val="8"/>
      <color indexed="8"/>
      <name val="Arial"/>
      <family val="2"/>
    </font>
    <font>
      <b/>
      <u/>
      <sz val="8"/>
      <color indexed="8"/>
      <name val="Arial"/>
      <family val="2"/>
    </font>
    <font>
      <b/>
      <sz val="8"/>
      <color theme="1"/>
      <name val="Arial"/>
      <family val="2"/>
    </font>
    <font>
      <b/>
      <sz val="8"/>
      <color rgb="FF0000FF"/>
      <name val="Arial"/>
      <family val="2"/>
    </font>
    <font>
      <sz val="8"/>
      <color theme="1"/>
      <name val="Arial"/>
      <family val="2"/>
    </font>
    <font>
      <b/>
      <u val="singleAccounting"/>
      <sz val="8"/>
      <color theme="1"/>
      <name val="Arial"/>
      <family val="2"/>
    </font>
    <font>
      <u/>
      <sz val="10"/>
      <color theme="10"/>
      <name val="Arial"/>
      <family val="2"/>
    </font>
    <font>
      <u/>
      <sz val="8"/>
      <color theme="10"/>
      <name val="Arial"/>
      <family val="2"/>
    </font>
    <font>
      <sz val="8"/>
      <color rgb="FF0000FF"/>
      <name val="Arial"/>
      <family val="2"/>
    </font>
    <font>
      <i/>
      <sz val="8"/>
      <color theme="1"/>
      <name val="Arial"/>
      <family val="2"/>
    </font>
    <font>
      <b/>
      <sz val="8"/>
      <color theme="0"/>
      <name val="Arial"/>
      <family val="2"/>
    </font>
    <font>
      <b/>
      <sz val="10"/>
      <color theme="0"/>
      <name val="Arial"/>
      <family val="2"/>
    </font>
    <font>
      <sz val="8"/>
      <color theme="0"/>
      <name val="Arial"/>
      <family val="2"/>
    </font>
    <font>
      <u/>
      <sz val="8"/>
      <color theme="1"/>
      <name val="Arial"/>
      <family val="2"/>
    </font>
    <font>
      <u val="singleAccounting"/>
      <sz val="8"/>
      <color theme="1"/>
      <name val="Arial"/>
      <family val="2"/>
    </font>
    <font>
      <i/>
      <sz val="6"/>
      <color theme="1"/>
      <name val="Arial"/>
      <family val="2"/>
    </font>
    <font>
      <b/>
      <u/>
      <sz val="8"/>
      <color theme="1"/>
      <name val="Arial"/>
      <family val="2"/>
    </font>
    <font>
      <b/>
      <i/>
      <u val="singleAccounting"/>
      <sz val="8"/>
      <color theme="1"/>
      <name val="Arial"/>
      <family val="2"/>
    </font>
    <font>
      <i/>
      <u val="singleAccounting"/>
      <sz val="8"/>
      <color theme="1"/>
      <name val="Arial"/>
      <family val="2"/>
    </font>
    <font>
      <i/>
      <u val="singleAccounting"/>
      <sz val="8"/>
      <name val="Arial"/>
      <family val="2"/>
    </font>
    <font>
      <i/>
      <sz val="8"/>
      <color theme="0"/>
      <name val="Arial"/>
      <family val="2"/>
    </font>
    <font>
      <i/>
      <u/>
      <sz val="8"/>
      <color theme="1"/>
      <name val="Arial"/>
      <family val="2"/>
    </font>
    <font>
      <b/>
      <u val="singleAccounting"/>
      <sz val="8"/>
      <name val="Arial"/>
      <family val="2"/>
    </font>
    <font>
      <sz val="9"/>
      <name val="Calibri"/>
      <family val="2"/>
      <scheme val="minor"/>
    </font>
    <font>
      <sz val="9"/>
      <color theme="1"/>
      <name val="Calibri"/>
      <family val="2"/>
      <scheme val="minor"/>
    </font>
    <font>
      <b/>
      <sz val="9"/>
      <color theme="1"/>
      <name val="Calibri"/>
      <family val="2"/>
      <scheme val="minor"/>
    </font>
    <font>
      <i/>
      <sz val="9"/>
      <color theme="1"/>
      <name val="Calibri"/>
      <family val="2"/>
      <scheme val="minor"/>
    </font>
    <font>
      <u/>
      <sz val="8"/>
      <color indexed="8"/>
      <name val="Arial"/>
      <family val="2"/>
    </font>
    <font>
      <u/>
      <sz val="8"/>
      <name val="Arial"/>
      <family val="2"/>
    </font>
    <font>
      <u val="singleAccounting"/>
      <sz val="8"/>
      <color indexed="8"/>
      <name val="Arial"/>
      <family val="2"/>
    </font>
    <font>
      <i/>
      <sz val="11"/>
      <color theme="1"/>
      <name val="Calibri"/>
      <family val="2"/>
      <scheme val="minor"/>
    </font>
    <font>
      <sz val="9"/>
      <color indexed="81"/>
      <name val="Tahoma"/>
      <family val="2"/>
    </font>
    <font>
      <b/>
      <sz val="9"/>
      <color indexed="81"/>
      <name val="Tahoma"/>
      <family val="2"/>
    </font>
    <font>
      <b/>
      <u/>
      <sz val="11"/>
      <color theme="1"/>
      <name val="Calibri"/>
      <family val="2"/>
      <scheme val="minor"/>
    </font>
    <font>
      <sz val="11"/>
      <color rgb="FF006100"/>
      <name val="Calibri"/>
      <family val="2"/>
      <scheme val="minor"/>
    </font>
    <font>
      <b/>
      <sz val="11"/>
      <color theme="1"/>
      <name val="Calibri"/>
      <family val="2"/>
      <scheme val="minor"/>
    </font>
    <font>
      <u/>
      <sz val="11"/>
      <color theme="10"/>
      <name val="Calibri"/>
      <family val="2"/>
      <scheme val="minor"/>
    </font>
    <font>
      <u/>
      <sz val="26"/>
      <color theme="10"/>
      <name val="Calibri"/>
      <family val="2"/>
      <scheme val="minor"/>
    </font>
    <font>
      <sz val="11"/>
      <name val="Calibri"/>
      <family val="2"/>
    </font>
    <font>
      <sz val="11"/>
      <color rgb="FF000000"/>
      <name val="Calibri"/>
      <family val="2"/>
    </font>
    <font>
      <sz val="11"/>
      <color rgb="FF000000"/>
      <name val="Calibri"/>
      <family val="2"/>
      <scheme val="minor"/>
    </font>
    <font>
      <b/>
      <sz val="11"/>
      <name val="Calibri"/>
      <family val="2"/>
      <scheme val="minor"/>
    </font>
    <font>
      <b/>
      <sz val="11"/>
      <name val="Calibri"/>
      <family val="2"/>
    </font>
    <font>
      <b/>
      <sz val="11"/>
      <color rgb="FF000000"/>
      <name val="Calibri"/>
      <family val="2"/>
    </font>
    <font>
      <b/>
      <i/>
      <sz val="11"/>
      <color rgb="FF000000"/>
      <name val="Calibri"/>
      <family val="2"/>
      <scheme val="minor"/>
    </font>
    <font>
      <b/>
      <i/>
      <sz val="11"/>
      <name val="Calibri"/>
      <family val="2"/>
      <scheme val="minor"/>
    </font>
    <font>
      <b/>
      <i/>
      <sz val="11"/>
      <color rgb="FF0000FC"/>
      <name val="Calibri"/>
      <family val="2"/>
    </font>
    <font>
      <b/>
      <sz val="11"/>
      <color rgb="FF000000"/>
      <name val="Calibri"/>
      <family val="2"/>
      <scheme val="minor"/>
    </font>
    <font>
      <b/>
      <sz val="11"/>
      <color rgb="FF0000FC"/>
      <name val="Calibri"/>
      <family val="2"/>
    </font>
    <font>
      <b/>
      <sz val="11"/>
      <color rgb="FFFFFFFF"/>
      <name val="Calibri"/>
      <family val="2"/>
    </font>
    <font>
      <sz val="11"/>
      <color rgb="FFFFFFFF"/>
      <name val="Calibri"/>
      <family val="2"/>
    </font>
    <font>
      <sz val="11"/>
      <color rgb="FF0000FC"/>
      <name val="Calibri"/>
      <family val="2"/>
    </font>
    <font>
      <sz val="11"/>
      <color rgb="FFFF0000"/>
      <name val="Calibri"/>
      <family val="2"/>
    </font>
    <font>
      <i/>
      <sz val="11"/>
      <color rgb="FFFFFFFF"/>
      <name val="Calibri"/>
      <family val="2"/>
    </font>
    <font>
      <i/>
      <sz val="11"/>
      <name val="Calibri"/>
      <family val="2"/>
    </font>
    <font>
      <i/>
      <sz val="11"/>
      <color rgb="FF000000"/>
      <name val="Calibri"/>
      <family val="2"/>
    </font>
    <font>
      <b/>
      <i/>
      <sz val="11"/>
      <name val="Calibri"/>
      <family val="2"/>
    </font>
    <font>
      <b/>
      <i/>
      <sz val="11"/>
      <color rgb="FF000000"/>
      <name val="Calibri"/>
      <family val="2"/>
    </font>
    <font>
      <b/>
      <sz val="11"/>
      <color rgb="FFFF0000"/>
      <name val="Calibri"/>
      <family val="2"/>
    </font>
    <font>
      <i/>
      <sz val="11"/>
      <color rgb="FF000000"/>
      <name val="Calibri"/>
      <family val="2"/>
      <scheme val="minor"/>
    </font>
    <font>
      <i/>
      <sz val="11"/>
      <color rgb="FF0000FC"/>
      <name val="Calibri"/>
      <family val="2"/>
    </font>
    <font>
      <i/>
      <sz val="11"/>
      <color rgb="FFFF0000"/>
      <name val="Calibri"/>
      <family val="2"/>
    </font>
    <font>
      <b/>
      <i/>
      <sz val="11"/>
      <color rgb="FFFF0000"/>
      <name val="Calibri"/>
      <family val="2"/>
    </font>
    <font>
      <b/>
      <sz val="11"/>
      <color rgb="FFFFFFFF"/>
      <name val="Calibri"/>
      <family val="2"/>
      <scheme val="minor"/>
    </font>
    <font>
      <sz val="11"/>
      <color rgb="FF0000FC"/>
      <name val="Calibri"/>
      <family val="2"/>
      <scheme val="minor"/>
    </font>
    <font>
      <b/>
      <sz val="9"/>
      <name val="Tahoma"/>
      <family val="2"/>
    </font>
    <font>
      <sz val="9"/>
      <name val="Tahoma"/>
      <family val="2"/>
    </font>
    <font>
      <b/>
      <sz val="9"/>
      <name val="Tahoma"/>
      <family val="2"/>
      <charset val="1"/>
    </font>
    <font>
      <sz val="9"/>
      <name val="Tahoma"/>
      <family val="2"/>
      <charset val="1"/>
    </font>
    <font>
      <sz val="9"/>
      <name val="Arial"/>
      <family val="2"/>
    </font>
    <font>
      <sz val="11"/>
      <color theme="1"/>
      <name val="Arial"/>
      <family val="2"/>
    </font>
    <font>
      <i/>
      <sz val="11"/>
      <color theme="1"/>
      <name val="Arial"/>
      <family val="2"/>
    </font>
    <font>
      <sz val="11"/>
      <name val="Arial"/>
      <family val="2"/>
    </font>
    <font>
      <sz val="9"/>
      <color theme="1"/>
      <name val="Arial"/>
      <family val="2"/>
    </font>
    <font>
      <i/>
      <sz val="9"/>
      <color theme="1"/>
      <name val="Arial"/>
      <family val="2"/>
    </font>
    <font>
      <b/>
      <sz val="9"/>
      <color theme="1"/>
      <name val="Arial"/>
      <family val="2"/>
    </font>
    <font>
      <b/>
      <u val="singleAccounting"/>
      <sz val="9"/>
      <name val="Arial"/>
      <family val="2"/>
    </font>
    <font>
      <u/>
      <sz val="9"/>
      <color theme="1"/>
      <name val="Arial"/>
      <family val="2"/>
    </font>
    <font>
      <b/>
      <u/>
      <sz val="9"/>
      <color theme="1"/>
      <name val="Arial"/>
      <family val="2"/>
    </font>
    <font>
      <sz val="9"/>
      <color indexed="8"/>
      <name val="Arial"/>
      <family val="2"/>
    </font>
    <font>
      <i/>
      <sz val="9"/>
      <color indexed="8"/>
      <name val="Arial"/>
      <family val="2"/>
    </font>
    <font>
      <u val="singleAccounting"/>
      <sz val="9"/>
      <color indexed="8"/>
      <name val="Arial"/>
      <family val="2"/>
    </font>
    <font>
      <b/>
      <sz val="9"/>
      <color indexed="8"/>
      <name val="Arial"/>
      <family val="2"/>
    </font>
    <font>
      <i/>
      <u/>
      <sz val="9"/>
      <color theme="1"/>
      <name val="Arial"/>
      <family val="2"/>
    </font>
    <font>
      <b/>
      <u val="singleAccounting"/>
      <sz val="9"/>
      <color indexed="8"/>
      <name val="Arial"/>
      <family val="2"/>
    </font>
    <font>
      <u val="singleAccounting"/>
      <sz val="9"/>
      <color rgb="FFFF0000"/>
      <name val="Arial"/>
      <family val="2"/>
    </font>
    <font>
      <u val="singleAccounting"/>
      <sz val="9"/>
      <name val="Arial"/>
      <family val="2"/>
    </font>
    <font>
      <sz val="9"/>
      <color theme="0" tint="-0.14999847407452621"/>
      <name val="Arial"/>
      <family val="2"/>
    </font>
    <font>
      <u/>
      <sz val="9"/>
      <color indexed="8"/>
      <name val="Arial"/>
      <family val="2"/>
    </font>
    <font>
      <u/>
      <sz val="11"/>
      <color theme="1"/>
      <name val="Arial"/>
      <family val="2"/>
    </font>
    <font>
      <i/>
      <sz val="9"/>
      <name val="Arial"/>
      <family val="2"/>
    </font>
    <font>
      <b/>
      <u/>
      <sz val="9"/>
      <color indexed="8"/>
      <name val="Arial"/>
      <family val="2"/>
    </font>
    <font>
      <b/>
      <u/>
      <sz val="9"/>
      <name val="Arial"/>
      <family val="2"/>
    </font>
    <font>
      <b/>
      <sz val="11"/>
      <name val="Arial"/>
      <family val="2"/>
    </font>
    <font>
      <i/>
      <sz val="11"/>
      <name val="Arial"/>
      <family val="2"/>
    </font>
    <font>
      <sz val="11"/>
      <color theme="0"/>
      <name val="Arial"/>
      <family val="2"/>
    </font>
    <font>
      <b/>
      <u val="singleAccounting"/>
      <sz val="11"/>
      <name val="Arial"/>
      <family val="2"/>
    </font>
    <font>
      <b/>
      <u/>
      <sz val="11"/>
      <name val="Arial"/>
      <family val="2"/>
    </font>
    <font>
      <u/>
      <sz val="11"/>
      <name val="Arial"/>
      <family val="2"/>
    </font>
    <font>
      <u/>
      <sz val="11"/>
      <color rgb="FFFF0000"/>
      <name val="Arial"/>
      <family val="2"/>
    </font>
    <font>
      <sz val="11"/>
      <color rgb="FFFF0000"/>
      <name val="Arial"/>
      <family val="2"/>
    </font>
    <font>
      <u val="singleAccounting"/>
      <sz val="11"/>
      <name val="Arial"/>
      <family val="2"/>
    </font>
    <font>
      <u val="singleAccounting"/>
      <sz val="11"/>
      <color rgb="FFFF0000"/>
      <name val="Arial"/>
      <family val="2"/>
    </font>
    <font>
      <u val="singleAccounting"/>
      <sz val="11"/>
      <color theme="1"/>
      <name val="Arial"/>
      <family val="2"/>
    </font>
    <font>
      <b/>
      <sz val="11"/>
      <color theme="1"/>
      <name val="Arial"/>
      <family val="2"/>
    </font>
    <font>
      <b/>
      <u/>
      <sz val="11"/>
      <color theme="1"/>
      <name val="Arial"/>
      <family val="2"/>
    </font>
    <font>
      <b/>
      <u val="singleAccounting"/>
      <sz val="11"/>
      <color rgb="FFFF0000"/>
      <name val="Arial"/>
      <family val="2"/>
    </font>
    <font>
      <b/>
      <u val="singleAccounting"/>
      <sz val="11"/>
      <color theme="1"/>
      <name val="Arial"/>
      <family val="2"/>
    </font>
    <font>
      <sz val="11"/>
      <color theme="0" tint="-4.9989318521683403E-2"/>
      <name val="Arial"/>
      <family val="2"/>
    </font>
    <font>
      <sz val="11"/>
      <color rgb="FF00B050"/>
      <name val="Arial"/>
      <family val="2"/>
    </font>
    <font>
      <i/>
      <sz val="11"/>
      <color rgb="FFFF0000"/>
      <name val="Arial"/>
      <family val="2"/>
    </font>
    <font>
      <i/>
      <sz val="11"/>
      <color rgb="FF00B050"/>
      <name val="Arial"/>
      <family val="2"/>
    </font>
    <font>
      <sz val="11"/>
      <color theme="0" tint="-0.14999847407452621"/>
      <name val="Arial"/>
      <family val="2"/>
    </font>
    <font>
      <i/>
      <sz val="11"/>
      <color theme="0" tint="-0.14999847407452621"/>
      <name val="Arial"/>
      <family val="2"/>
    </font>
    <font>
      <b/>
      <i/>
      <sz val="11"/>
      <color theme="1"/>
      <name val="Arial"/>
      <family val="2"/>
    </font>
    <font>
      <b/>
      <sz val="11"/>
      <color theme="0" tint="-0.14999847407452621"/>
      <name val="Arial"/>
      <family val="2"/>
    </font>
    <font>
      <u val="singleAccounting"/>
      <sz val="11"/>
      <color rgb="FF00B050"/>
      <name val="Arial"/>
      <family val="2"/>
    </font>
    <font>
      <i/>
      <u/>
      <sz val="11"/>
      <name val="Arial"/>
      <family val="2"/>
    </font>
    <font>
      <b/>
      <u/>
      <sz val="8"/>
      <name val="Arial"/>
      <family val="2"/>
    </font>
    <font>
      <b/>
      <sz val="11"/>
      <color rgb="FFFF0000"/>
      <name val="Arial"/>
      <family val="2"/>
    </font>
    <font>
      <b/>
      <i/>
      <sz val="9"/>
      <color theme="1"/>
      <name val="Arial"/>
      <family val="2"/>
    </font>
    <font>
      <b/>
      <i/>
      <sz val="9"/>
      <name val="Arial"/>
      <family val="2"/>
    </font>
    <font>
      <u val="singleAccounting"/>
      <sz val="9"/>
      <color theme="1"/>
      <name val="Arial"/>
      <family val="2"/>
    </font>
    <font>
      <i/>
      <u val="singleAccounting"/>
      <sz val="9"/>
      <name val="Arial"/>
      <family val="2"/>
    </font>
    <font>
      <sz val="11"/>
      <name val="Calibri"/>
      <family val="2"/>
      <scheme val="minor"/>
    </font>
    <font>
      <sz val="11"/>
      <color rgb="FFFF0000"/>
      <name val="Calibri"/>
      <family val="2"/>
      <scheme val="minor"/>
    </font>
    <font>
      <i/>
      <u/>
      <sz val="11"/>
      <color rgb="FFFF0000"/>
      <name val="Arial"/>
      <family val="2"/>
    </font>
    <font>
      <i/>
      <u/>
      <sz val="11"/>
      <color theme="1"/>
      <name val="Arial"/>
      <family val="2"/>
    </font>
    <font>
      <i/>
      <u val="singleAccounting"/>
      <sz val="11"/>
      <name val="Arial"/>
      <family val="2"/>
    </font>
    <font>
      <i/>
      <u val="singleAccounting"/>
      <sz val="11"/>
      <color theme="1"/>
      <name val="Arial"/>
      <family val="2"/>
    </font>
    <font>
      <b/>
      <sz val="9"/>
      <name val="Arial"/>
      <family val="2"/>
    </font>
    <font>
      <b/>
      <i/>
      <u/>
      <sz val="9"/>
      <color indexed="8"/>
      <name val="Arial"/>
      <family val="2"/>
    </font>
    <font>
      <b/>
      <i/>
      <sz val="9"/>
      <color indexed="8"/>
      <name val="Arial"/>
      <family val="2"/>
    </font>
    <font>
      <b/>
      <sz val="11"/>
      <color theme="0"/>
      <name val="Arial"/>
      <family val="2"/>
    </font>
    <font>
      <sz val="11"/>
      <color rgb="FF0070C0"/>
      <name val="Arial"/>
      <family val="2"/>
    </font>
    <font>
      <u val="singleAccounting"/>
      <sz val="11"/>
      <color rgb="FF0070C0"/>
      <name val="Arial"/>
      <family val="2"/>
    </font>
    <font>
      <sz val="10"/>
      <name val="Calibri"/>
      <family val="2"/>
      <scheme val="minor"/>
    </font>
    <font>
      <sz val="10"/>
      <color theme="1"/>
      <name val="Calibri"/>
      <family val="2"/>
      <scheme val="minor"/>
    </font>
    <font>
      <b/>
      <sz val="10"/>
      <name val="Calibri"/>
      <family val="2"/>
      <scheme val="minor"/>
    </font>
    <font>
      <i/>
      <sz val="10"/>
      <name val="Calibri"/>
      <family val="2"/>
      <scheme val="minor"/>
    </font>
    <font>
      <sz val="10"/>
      <color theme="0"/>
      <name val="Calibri"/>
      <family val="2"/>
      <scheme val="minor"/>
    </font>
    <font>
      <b/>
      <u val="singleAccounting"/>
      <sz val="10"/>
      <name val="Calibri"/>
      <family val="2"/>
      <scheme val="minor"/>
    </font>
    <font>
      <b/>
      <u/>
      <sz val="10"/>
      <name val="Calibri"/>
      <family val="2"/>
      <scheme val="minor"/>
    </font>
    <font>
      <b/>
      <sz val="10"/>
      <color rgb="FFFF0000"/>
      <name val="Calibri"/>
      <family val="2"/>
      <scheme val="minor"/>
    </font>
    <font>
      <b/>
      <u val="singleAccounting"/>
      <sz val="10"/>
      <color rgb="FFFF0000"/>
      <name val="Calibri"/>
      <family val="2"/>
      <scheme val="minor"/>
    </font>
    <font>
      <u/>
      <sz val="10"/>
      <color theme="1"/>
      <name val="Calibri"/>
      <family val="2"/>
      <scheme val="minor"/>
    </font>
    <font>
      <i/>
      <u/>
      <sz val="10"/>
      <color theme="1"/>
      <name val="Calibri"/>
      <family val="2"/>
      <scheme val="minor"/>
    </font>
    <font>
      <i/>
      <sz val="10"/>
      <color theme="1"/>
      <name val="Calibri"/>
      <family val="2"/>
      <scheme val="minor"/>
    </font>
    <font>
      <u val="singleAccounting"/>
      <sz val="10"/>
      <name val="Calibri"/>
      <family val="2"/>
      <scheme val="minor"/>
    </font>
    <font>
      <sz val="10"/>
      <color indexed="9"/>
      <name val="Arial"/>
      <family val="2"/>
    </font>
    <font>
      <i/>
      <u val="singleAccounting"/>
      <sz val="10"/>
      <name val="Calibri"/>
      <family val="2"/>
      <scheme val="minor"/>
    </font>
    <font>
      <sz val="9"/>
      <color rgb="FFFF0000"/>
      <name val="Arial"/>
      <family val="2"/>
    </font>
    <font>
      <b/>
      <u val="singleAccounting"/>
      <sz val="11"/>
      <name val="Calibri"/>
      <family val="2"/>
      <scheme val="minor"/>
    </font>
    <font>
      <b/>
      <u/>
      <sz val="11"/>
      <name val="Calibri"/>
      <family val="2"/>
      <scheme val="minor"/>
    </font>
    <font>
      <b/>
      <sz val="11"/>
      <color rgb="FFFF0000"/>
      <name val="Calibri"/>
      <family val="2"/>
      <scheme val="minor"/>
    </font>
    <font>
      <b/>
      <u val="singleAccounting"/>
      <sz val="11"/>
      <color rgb="FFFF0000"/>
      <name val="Calibri"/>
      <family val="2"/>
      <scheme val="minor"/>
    </font>
    <font>
      <i/>
      <sz val="11"/>
      <name val="Calibri"/>
      <family val="2"/>
      <scheme val="minor"/>
    </font>
    <font>
      <i/>
      <sz val="11"/>
      <color rgb="FFFF0000"/>
      <name val="Calibri"/>
      <family val="2"/>
      <scheme val="minor"/>
    </font>
    <font>
      <i/>
      <u/>
      <sz val="11"/>
      <name val="Calibri"/>
      <family val="2"/>
      <scheme val="minor"/>
    </font>
    <font>
      <sz val="10"/>
      <color rgb="FFFF0000"/>
      <name val="Calibri"/>
      <family val="2"/>
      <scheme val="minor"/>
    </font>
    <font>
      <b/>
      <sz val="10"/>
      <color rgb="FF000000"/>
      <name val="Arial"/>
      <family val="2"/>
    </font>
  </fonts>
  <fills count="15">
    <fill>
      <patternFill patternType="none"/>
    </fill>
    <fill>
      <patternFill patternType="gray125"/>
    </fill>
    <fill>
      <patternFill patternType="solid">
        <fgColor indexed="56"/>
        <bgColor indexed="64"/>
      </patternFill>
    </fill>
    <fill>
      <patternFill patternType="solid">
        <fgColor indexed="60"/>
        <bgColor indexed="64"/>
      </patternFill>
    </fill>
    <fill>
      <patternFill patternType="solid">
        <fgColor rgb="FFFFFF99"/>
        <bgColor indexed="64"/>
      </patternFill>
    </fill>
    <fill>
      <patternFill patternType="solid">
        <fgColor theme="1"/>
        <bgColor indexed="64"/>
      </patternFill>
    </fill>
    <fill>
      <patternFill patternType="solid">
        <fgColor rgb="FFFFFF00"/>
        <bgColor indexed="64"/>
      </patternFill>
    </fill>
    <fill>
      <patternFill patternType="solid">
        <fgColor rgb="FFFFFFFF"/>
        <bgColor indexed="64"/>
      </patternFill>
    </fill>
    <fill>
      <patternFill patternType="solid">
        <fgColor rgb="FFF2F2F2"/>
        <bgColor indexed="64"/>
      </patternFill>
    </fill>
    <fill>
      <patternFill patternType="solid">
        <fgColor rgb="FF000000"/>
        <bgColor indexed="64"/>
      </patternFill>
    </fill>
    <fill>
      <patternFill patternType="solid">
        <fgColor rgb="FFC6EFCE"/>
        <bgColor indexed="64"/>
      </patternFill>
    </fill>
    <fill>
      <patternFill patternType="solid">
        <fgColor rgb="FFFFC000"/>
        <bgColor indexed="64"/>
      </patternFill>
    </fill>
    <fill>
      <patternFill patternType="solid">
        <fgColor theme="0" tint="-4.9989318521683403E-2"/>
        <bgColor indexed="64"/>
      </patternFill>
    </fill>
    <fill>
      <patternFill patternType="solid">
        <fgColor rgb="FF00B050"/>
        <bgColor indexed="64"/>
      </patternFill>
    </fill>
    <fill>
      <patternFill patternType="solid">
        <fgColor theme="0" tint="-0.14999847407452621"/>
        <bgColor indexed="64"/>
      </patternFill>
    </fill>
  </fills>
  <borders count="69">
    <border>
      <left/>
      <right/>
      <top/>
      <bottom/>
      <diagonal/>
    </border>
    <border>
      <left/>
      <right/>
      <top style="thin">
        <color indexed="8"/>
      </top>
      <bottom/>
      <diagonal/>
    </border>
    <border>
      <left style="hair">
        <color indexed="64"/>
      </left>
      <right style="hair">
        <color indexed="64"/>
      </right>
      <top style="hair">
        <color indexed="64"/>
      </top>
      <bottom style="hair">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dotted">
        <color indexed="64"/>
      </bottom>
      <diagonal/>
    </border>
    <border>
      <left/>
      <right/>
      <top/>
      <bottom style="dotted">
        <color indexed="64"/>
      </bottom>
      <diagonal/>
    </border>
    <border>
      <left/>
      <right style="medium">
        <color indexed="64"/>
      </right>
      <top/>
      <bottom style="dotted">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right/>
      <top/>
      <bottom style="hair">
        <color indexed="64"/>
      </bottom>
      <diagonal/>
    </border>
    <border>
      <left/>
      <right style="medium">
        <color indexed="64"/>
      </right>
      <top/>
      <bottom style="hair">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dotted">
        <color auto="1"/>
      </left>
      <right/>
      <top style="dotted">
        <color auto="1"/>
      </top>
      <bottom/>
      <diagonal/>
    </border>
    <border>
      <left/>
      <right/>
      <top style="dotted">
        <color auto="1"/>
      </top>
      <bottom/>
      <diagonal/>
    </border>
    <border>
      <left/>
      <right style="dotted">
        <color auto="1"/>
      </right>
      <top style="dotted">
        <color auto="1"/>
      </top>
      <bottom/>
      <diagonal/>
    </border>
    <border>
      <left style="dotted">
        <color auto="1"/>
      </left>
      <right/>
      <top/>
      <bottom/>
      <diagonal/>
    </border>
    <border>
      <left/>
      <right style="dotted">
        <color auto="1"/>
      </right>
      <top/>
      <bottom/>
      <diagonal/>
    </border>
    <border>
      <left style="dotted">
        <color auto="1"/>
      </left>
      <right/>
      <top/>
      <bottom style="dotted">
        <color auto="1"/>
      </bottom>
      <diagonal/>
    </border>
    <border>
      <left/>
      <right style="dotted">
        <color auto="1"/>
      </right>
      <top/>
      <bottom style="dotted">
        <color auto="1"/>
      </bottom>
      <diagonal/>
    </border>
    <border>
      <left style="dotted">
        <color auto="1"/>
      </left>
      <right style="dotted">
        <color auto="1"/>
      </right>
      <top style="dotted">
        <color auto="1"/>
      </top>
      <bottom/>
      <diagonal/>
    </border>
    <border>
      <left style="dotted">
        <color auto="1"/>
      </left>
      <right style="dotted">
        <color auto="1"/>
      </right>
      <top/>
      <bottom/>
      <diagonal/>
    </border>
    <border>
      <left style="dotted">
        <color auto="1"/>
      </left>
      <right style="dotted">
        <color auto="1"/>
      </right>
      <top/>
      <bottom style="dotted">
        <color auto="1"/>
      </bottom>
      <diagonal/>
    </border>
    <border>
      <left/>
      <right style="thin">
        <color auto="1"/>
      </right>
      <top/>
      <bottom/>
      <diagonal/>
    </border>
    <border>
      <left style="thin">
        <color indexed="64"/>
      </left>
      <right style="hair">
        <color indexed="64"/>
      </right>
      <top/>
      <bottom/>
      <diagonal/>
    </border>
    <border>
      <left style="thin">
        <color indexed="64"/>
      </left>
      <right style="dashed">
        <color indexed="64"/>
      </right>
      <top/>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ck">
        <color auto="1"/>
      </right>
      <top/>
      <bottom/>
      <diagonal/>
    </border>
    <border>
      <left/>
      <right style="thick">
        <color auto="1"/>
      </right>
      <top style="thin">
        <color auto="1"/>
      </top>
      <bottom/>
      <diagonal/>
    </border>
    <border>
      <left/>
      <right style="thick">
        <color auto="1"/>
      </right>
      <top/>
      <bottom style="thin">
        <color auto="1"/>
      </bottom>
      <diagonal/>
    </border>
    <border>
      <left/>
      <right style="thick">
        <color auto="1"/>
      </right>
      <top style="thin">
        <color auto="1"/>
      </top>
      <bottom style="thin">
        <color auto="1"/>
      </bottom>
      <diagonal/>
    </border>
    <border>
      <left/>
      <right/>
      <top/>
      <bottom style="thin">
        <color rgb="FF000000"/>
      </bottom>
      <diagonal/>
    </border>
    <border>
      <left/>
      <right style="thick">
        <color auto="1"/>
      </right>
      <top/>
      <bottom style="thin">
        <color rgb="FF000000"/>
      </bottom>
      <diagonal/>
    </border>
    <border>
      <left/>
      <right/>
      <top style="thin">
        <color rgb="FF000000"/>
      </top>
      <bottom/>
      <diagonal/>
    </border>
    <border>
      <left/>
      <right style="thick">
        <color auto="1"/>
      </right>
      <top style="thin">
        <color rgb="FF000000"/>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auto="1"/>
      </bottom>
      <diagonal/>
    </border>
    <border>
      <left/>
      <right style="thin">
        <color rgb="FF000000"/>
      </right>
      <top/>
      <bottom style="thin">
        <color auto="1"/>
      </bottom>
      <diagonal/>
    </border>
    <border>
      <left/>
      <right style="dashed">
        <color auto="1"/>
      </right>
      <top/>
      <bottom/>
      <diagonal/>
    </border>
    <border>
      <left/>
      <right/>
      <top style="thin">
        <color indexed="64"/>
      </top>
      <bottom style="thin">
        <color indexed="64"/>
      </bottom>
      <diagonal/>
    </border>
    <border>
      <left/>
      <right style="dashed">
        <color indexed="64"/>
      </right>
      <top/>
      <bottom style="thin">
        <color indexed="64"/>
      </bottom>
      <diagonal/>
    </border>
    <border>
      <left/>
      <right style="dashed">
        <color indexed="64"/>
      </right>
      <top style="thin">
        <color indexed="64"/>
      </top>
      <bottom/>
      <diagonal/>
    </border>
    <border>
      <left/>
      <right style="dashed">
        <color indexed="64"/>
      </right>
      <top style="thin">
        <color indexed="64"/>
      </top>
      <bottom style="thin">
        <color indexed="64"/>
      </bottom>
      <diagonal/>
    </border>
  </borders>
  <cellStyleXfs count="10">
    <xf numFmtId="0" fontId="0" fillId="0" borderId="0"/>
    <xf numFmtId="43" fontId="1" fillId="0" borderId="0" applyFont="0" applyFill="0" applyBorder="0" applyAlignment="0" applyProtection="0"/>
    <xf numFmtId="9" fontId="1" fillId="0" borderId="0" applyFont="0" applyFill="0" applyBorder="0" applyAlignment="0" applyProtection="0"/>
    <xf numFmtId="0" fontId="8" fillId="0" borderId="0" applyAlignment="0"/>
    <xf numFmtId="0" fontId="17" fillId="0" borderId="0" applyNumberFormat="0" applyFill="0" applyBorder="0" applyAlignment="0" applyProtection="0"/>
    <xf numFmtId="0" fontId="47" fillId="0" borderId="0" applyNumberFormat="0" applyFill="0" applyBorder="0" applyAlignment="0" applyProtection="0"/>
    <xf numFmtId="0" fontId="49" fillId="0" borderId="0"/>
    <xf numFmtId="44" fontId="49" fillId="0" borderId="0" applyFont="0" applyFill="0" applyBorder="0" applyAlignment="0" applyProtection="0"/>
    <xf numFmtId="0" fontId="45" fillId="10" borderId="0" applyNumberFormat="0" applyBorder="0" applyAlignment="0" applyProtection="0"/>
    <xf numFmtId="0" fontId="1" fillId="0" borderId="0"/>
  </cellStyleXfs>
  <cellXfs count="1573">
    <xf numFmtId="0" fontId="0" fillId="0" borderId="0" xfId="0"/>
    <xf numFmtId="0" fontId="2" fillId="0" borderId="0" xfId="0" applyFont="1"/>
    <xf numFmtId="0" fontId="3" fillId="0" borderId="0" xfId="0" applyFont="1"/>
    <xf numFmtId="0" fontId="4" fillId="0" borderId="0" xfId="0" applyFont="1" applyAlignment="1">
      <alignment wrapText="1"/>
    </xf>
    <xf numFmtId="0" fontId="5" fillId="0" borderId="0" xfId="0" applyFont="1"/>
    <xf numFmtId="0" fontId="6" fillId="0" borderId="0" xfId="0" applyFont="1" applyAlignment="1">
      <alignment horizontal="left" vertical="top"/>
    </xf>
    <xf numFmtId="49" fontId="3" fillId="0" borderId="0" xfId="0" applyNumberFormat="1" applyFont="1"/>
    <xf numFmtId="0" fontId="6" fillId="0" borderId="0" xfId="0" applyFont="1" applyAlignment="1">
      <alignment horizontal="left" vertical="center"/>
    </xf>
    <xf numFmtId="0" fontId="7" fillId="2" borderId="0" xfId="0" applyFont="1" applyFill="1"/>
    <xf numFmtId="0" fontId="8" fillId="0" borderId="0" xfId="3" applyAlignment="1"/>
    <xf numFmtId="0" fontId="9" fillId="3" borderId="0" xfId="0" applyFont="1" applyFill="1" applyAlignment="1">
      <alignment wrapText="1"/>
    </xf>
    <xf numFmtId="0" fontId="9" fillId="3" borderId="0" xfId="0" applyFont="1" applyFill="1" applyAlignment="1">
      <alignment horizontal="right" wrapText="1"/>
    </xf>
    <xf numFmtId="0" fontId="10" fillId="3" borderId="0" xfId="0" applyFont="1" applyFill="1" applyAlignment="1">
      <alignment wrapText="1"/>
    </xf>
    <xf numFmtId="0" fontId="10" fillId="3" borderId="0" xfId="0" applyFont="1" applyFill="1" applyAlignment="1">
      <alignment horizontal="right" wrapText="1"/>
    </xf>
    <xf numFmtId="0" fontId="9" fillId="0" borderId="0" xfId="0" applyFont="1" applyAlignment="1">
      <alignment horizontal="left" vertical="top"/>
    </xf>
    <xf numFmtId="164" fontId="6" fillId="0" borderId="0" xfId="0" applyNumberFormat="1" applyFont="1" applyAlignment="1">
      <alignment horizontal="right" vertical="top" wrapText="1"/>
    </xf>
    <xf numFmtId="164" fontId="9" fillId="0" borderId="1" xfId="0" applyNumberFormat="1" applyFont="1" applyBorder="1" applyAlignment="1">
      <alignment horizontal="right" vertical="top" wrapText="1"/>
    </xf>
    <xf numFmtId="164" fontId="9" fillId="0" borderId="0" xfId="0" applyNumberFormat="1" applyFont="1" applyAlignment="1">
      <alignment horizontal="right" vertical="top" wrapText="1"/>
    </xf>
    <xf numFmtId="164" fontId="11" fillId="0" borderId="1" xfId="0" applyNumberFormat="1" applyFont="1" applyBorder="1" applyAlignment="1">
      <alignment horizontal="right" vertical="top" wrapText="1"/>
    </xf>
    <xf numFmtId="165" fontId="6" fillId="0" borderId="0" xfId="0" applyNumberFormat="1" applyFont="1" applyAlignment="1">
      <alignment horizontal="right" vertical="top" wrapText="1"/>
    </xf>
    <xf numFmtId="49" fontId="6" fillId="0" borderId="0" xfId="0" applyNumberFormat="1" applyFont="1" applyAlignment="1">
      <alignment horizontal="right" vertical="top" wrapText="1"/>
    </xf>
    <xf numFmtId="166" fontId="6" fillId="0" borderId="0" xfId="0" applyNumberFormat="1" applyFont="1" applyAlignment="1">
      <alignment horizontal="right" vertical="top" wrapText="1"/>
    </xf>
    <xf numFmtId="167" fontId="6" fillId="0" borderId="0" xfId="0" applyNumberFormat="1" applyFont="1" applyAlignment="1">
      <alignment horizontal="right" vertical="top" wrapText="1"/>
    </xf>
    <xf numFmtId="167" fontId="9" fillId="3" borderId="0" xfId="0" applyNumberFormat="1" applyFont="1" applyFill="1" applyAlignment="1">
      <alignment horizontal="right" wrapText="1"/>
    </xf>
    <xf numFmtId="164" fontId="12" fillId="0" borderId="0" xfId="0" applyNumberFormat="1" applyFont="1" applyAlignment="1">
      <alignment horizontal="right" vertical="top" wrapText="1"/>
    </xf>
    <xf numFmtId="164" fontId="11" fillId="0" borderId="0" xfId="0" applyNumberFormat="1" applyFont="1" applyAlignment="1">
      <alignment horizontal="right" vertical="top" wrapText="1"/>
    </xf>
    <xf numFmtId="168" fontId="6" fillId="0" borderId="0" xfId="0" applyNumberFormat="1" applyFont="1" applyAlignment="1">
      <alignment horizontal="right" vertical="top" wrapText="1"/>
    </xf>
    <xf numFmtId="169" fontId="6" fillId="0" borderId="0" xfId="0" applyNumberFormat="1" applyFont="1" applyAlignment="1">
      <alignment horizontal="right" vertical="top" wrapText="1"/>
    </xf>
    <xf numFmtId="0" fontId="6" fillId="0" borderId="0" xfId="0" applyFont="1" applyAlignment="1">
      <alignment horizontal="center" vertical="center" wrapText="1"/>
    </xf>
    <xf numFmtId="0" fontId="3" fillId="0" borderId="0" xfId="0" applyFont="1" applyAlignment="1">
      <alignment vertical="top" wrapText="1"/>
    </xf>
    <xf numFmtId="0" fontId="13" fillId="0" borderId="0" xfId="0" applyFont="1"/>
    <xf numFmtId="0" fontId="14" fillId="4" borderId="2" xfId="0" applyFont="1" applyFill="1" applyBorder="1" applyAlignment="1">
      <alignment horizontal="center"/>
    </xf>
    <xf numFmtId="0" fontId="15" fillId="0" borderId="0" xfId="0" applyFont="1"/>
    <xf numFmtId="0" fontId="16" fillId="0" borderId="0" xfId="0" applyFont="1"/>
    <xf numFmtId="0" fontId="16" fillId="0" borderId="0" xfId="0" applyFont="1" applyAlignment="1">
      <alignment horizontal="center"/>
    </xf>
    <xf numFmtId="0" fontId="18" fillId="0" borderId="0" xfId="4" applyFont="1"/>
    <xf numFmtId="0" fontId="14" fillId="0" borderId="0" xfId="0" applyFont="1" applyAlignment="1">
      <alignment horizontal="center"/>
    </xf>
    <xf numFmtId="0" fontId="15" fillId="0" borderId="0" xfId="0" applyFont="1" applyAlignment="1">
      <alignment horizontal="left"/>
    </xf>
    <xf numFmtId="170" fontId="19" fillId="0" borderId="0" xfId="0" applyNumberFormat="1" applyFont="1" applyAlignment="1">
      <alignment horizontal="right"/>
    </xf>
    <xf numFmtId="14" fontId="20" fillId="0" borderId="0" xfId="0" applyNumberFormat="1" applyFont="1"/>
    <xf numFmtId="0" fontId="21" fillId="5" borderId="3" xfId="0" applyFont="1" applyFill="1" applyBorder="1"/>
    <xf numFmtId="0" fontId="22" fillId="5" borderId="4" xfId="0" applyFont="1" applyFill="1" applyBorder="1"/>
    <xf numFmtId="0" fontId="23" fillId="5" borderId="4" xfId="0" applyFont="1" applyFill="1" applyBorder="1"/>
    <xf numFmtId="0" fontId="23" fillId="5" borderId="5" xfId="0" applyFont="1" applyFill="1" applyBorder="1"/>
    <xf numFmtId="0" fontId="13" fillId="0" borderId="6" xfId="0" applyFont="1" applyBorder="1"/>
    <xf numFmtId="0" fontId="15" fillId="0" borderId="7" xfId="0" applyFont="1" applyBorder="1"/>
    <xf numFmtId="0" fontId="15" fillId="0" borderId="8" xfId="0" applyFont="1" applyBorder="1"/>
    <xf numFmtId="0" fontId="15" fillId="0" borderId="12" xfId="0" applyFont="1" applyBorder="1"/>
    <xf numFmtId="0" fontId="24" fillId="0" borderId="0" xfId="0" applyFont="1" applyAlignment="1">
      <alignment horizontal="left"/>
    </xf>
    <xf numFmtId="0" fontId="25" fillId="0" borderId="0" xfId="0" applyFont="1" applyAlignment="1">
      <alignment horizontal="center"/>
    </xf>
    <xf numFmtId="0" fontId="25" fillId="0" borderId="13" xfId="0" applyFont="1" applyBorder="1" applyAlignment="1">
      <alignment horizontal="center"/>
    </xf>
    <xf numFmtId="14" fontId="15" fillId="0" borderId="0" xfId="0" applyNumberFormat="1" applyFont="1" applyAlignment="1">
      <alignment horizontal="left"/>
    </xf>
    <xf numFmtId="0" fontId="23" fillId="0" borderId="0" xfId="0" applyFont="1" applyAlignment="1">
      <alignment horizontal="right"/>
    </xf>
    <xf numFmtId="171" fontId="15" fillId="0" borderId="0" xfId="0" applyNumberFormat="1" applyFont="1" applyAlignment="1">
      <alignment horizontal="right"/>
    </xf>
    <xf numFmtId="41" fontId="15" fillId="0" borderId="0" xfId="0" applyNumberFormat="1" applyFont="1" applyAlignment="1">
      <alignment horizontal="right"/>
    </xf>
    <xf numFmtId="172" fontId="15" fillId="0" borderId="0" xfId="0" applyNumberFormat="1" applyFont="1" applyAlignment="1">
      <alignment horizontal="right"/>
    </xf>
    <xf numFmtId="172" fontId="15" fillId="0" borderId="13" xfId="0" applyNumberFormat="1" applyFont="1" applyBorder="1" applyAlignment="1">
      <alignment horizontal="right"/>
    </xf>
    <xf numFmtId="0" fontId="15" fillId="0" borderId="17" xfId="0" applyFont="1" applyBorder="1"/>
    <xf numFmtId="0" fontId="15" fillId="0" borderId="18" xfId="0" applyFont="1" applyBorder="1"/>
    <xf numFmtId="0" fontId="23" fillId="0" borderId="18" xfId="0" applyFont="1" applyBorder="1" applyAlignment="1">
      <alignment horizontal="right"/>
    </xf>
    <xf numFmtId="0" fontId="15" fillId="0" borderId="18" xfId="0" applyFont="1" applyBorder="1" applyAlignment="1">
      <alignment horizontal="left"/>
    </xf>
    <xf numFmtId="171" fontId="15" fillId="0" borderId="18" xfId="0" applyNumberFormat="1" applyFont="1" applyBorder="1" applyAlignment="1">
      <alignment horizontal="right"/>
    </xf>
    <xf numFmtId="41" fontId="15" fillId="0" borderId="18" xfId="0" applyNumberFormat="1" applyFont="1" applyBorder="1" applyAlignment="1">
      <alignment horizontal="right"/>
    </xf>
    <xf numFmtId="172" fontId="15" fillId="0" borderId="18" xfId="0" applyNumberFormat="1" applyFont="1" applyBorder="1" applyAlignment="1">
      <alignment horizontal="right"/>
    </xf>
    <xf numFmtId="172" fontId="15" fillId="0" borderId="19" xfId="0" applyNumberFormat="1" applyFont="1" applyBorder="1" applyAlignment="1">
      <alignment horizontal="right"/>
    </xf>
    <xf numFmtId="0" fontId="26" fillId="0" borderId="12" xfId="0" applyFont="1" applyBorder="1"/>
    <xf numFmtId="0" fontId="15" fillId="0" borderId="13" xfId="0" applyFont="1" applyBorder="1"/>
    <xf numFmtId="0" fontId="27" fillId="0" borderId="12" xfId="0" applyFont="1" applyBorder="1"/>
    <xf numFmtId="0" fontId="27" fillId="0" borderId="0" xfId="0" applyFont="1"/>
    <xf numFmtId="0" fontId="13" fillId="0" borderId="20" xfId="0" applyFont="1" applyBorder="1" applyAlignment="1">
      <alignment horizontal="center"/>
    </xf>
    <xf numFmtId="0" fontId="13" fillId="0" borderId="12" xfId="0" applyFont="1" applyBorder="1"/>
    <xf numFmtId="0" fontId="28" fillId="0" borderId="0" xfId="0" applyFont="1" applyAlignment="1">
      <alignment horizontal="center"/>
    </xf>
    <xf numFmtId="14" fontId="16" fillId="0" borderId="0" xfId="0" applyNumberFormat="1" applyFont="1" applyAlignment="1">
      <alignment horizontal="center"/>
    </xf>
    <xf numFmtId="0" fontId="15" fillId="0" borderId="0" xfId="0" applyFont="1" applyAlignment="1">
      <alignment horizontal="center"/>
    </xf>
    <xf numFmtId="14" fontId="23" fillId="0" borderId="0" xfId="0" applyNumberFormat="1" applyFont="1"/>
    <xf numFmtId="173" fontId="15" fillId="0" borderId="0" xfId="0" applyNumberFormat="1" applyFont="1" applyAlignment="1">
      <alignment horizontal="right"/>
    </xf>
    <xf numFmtId="170" fontId="15" fillId="0" borderId="0" xfId="0" applyNumberFormat="1" applyFont="1" applyAlignment="1">
      <alignment horizontal="right"/>
    </xf>
    <xf numFmtId="0" fontId="15" fillId="0" borderId="12" xfId="0" applyFont="1" applyBorder="1" applyAlignment="1">
      <alignment horizontal="left" indent="1"/>
    </xf>
    <xf numFmtId="174" fontId="25" fillId="0" borderId="0" xfId="0" applyNumberFormat="1" applyFont="1" applyAlignment="1">
      <alignment horizontal="right"/>
    </xf>
    <xf numFmtId="41" fontId="13" fillId="0" borderId="0" xfId="0" applyNumberFormat="1" applyFont="1" applyAlignment="1">
      <alignment horizontal="right"/>
    </xf>
    <xf numFmtId="41" fontId="25" fillId="0" borderId="0" xfId="0" applyNumberFormat="1" applyFont="1" applyAlignment="1">
      <alignment horizontal="right"/>
    </xf>
    <xf numFmtId="41" fontId="13" fillId="0" borderId="0" xfId="0" applyNumberFormat="1" applyFont="1"/>
    <xf numFmtId="0" fontId="23" fillId="0" borderId="0" xfId="0" applyFont="1"/>
    <xf numFmtId="0" fontId="13" fillId="0" borderId="17" xfId="0" applyFont="1" applyBorder="1"/>
    <xf numFmtId="9" fontId="13" fillId="0" borderId="18" xfId="2" applyFont="1" applyBorder="1"/>
    <xf numFmtId="43" fontId="13" fillId="0" borderId="18" xfId="0" applyNumberFormat="1" applyFont="1" applyBorder="1"/>
    <xf numFmtId="0" fontId="23" fillId="0" borderId="18" xfId="0" applyFont="1" applyBorder="1"/>
    <xf numFmtId="0" fontId="20" fillId="0" borderId="18" xfId="0" applyFont="1" applyBorder="1" applyAlignment="1">
      <alignment horizontal="left" indent="1"/>
    </xf>
    <xf numFmtId="0" fontId="20" fillId="0" borderId="18" xfId="0" applyFont="1" applyBorder="1"/>
    <xf numFmtId="173" fontId="20" fillId="0" borderId="18" xfId="0" applyNumberFormat="1" applyFont="1" applyBorder="1" applyAlignment="1">
      <alignment horizontal="right"/>
    </xf>
    <xf numFmtId="0" fontId="15" fillId="0" borderId="19" xfId="0" applyFont="1" applyBorder="1"/>
    <xf numFmtId="0" fontId="15" fillId="0" borderId="0" xfId="0" applyFont="1" applyAlignment="1">
      <alignment horizontal="right"/>
    </xf>
    <xf numFmtId="0" fontId="13" fillId="0" borderId="0" xfId="0" applyFont="1" applyAlignment="1">
      <alignment horizontal="centerContinuous"/>
    </xf>
    <xf numFmtId="0" fontId="15" fillId="0" borderId="0" xfId="0" applyFont="1" applyAlignment="1">
      <alignment horizontal="centerContinuous"/>
    </xf>
    <xf numFmtId="0" fontId="15" fillId="0" borderId="21" xfId="0" applyFont="1" applyBorder="1"/>
    <xf numFmtId="0" fontId="13" fillId="0" borderId="21" xfId="0" applyFont="1" applyBorder="1" applyAlignment="1">
      <alignment horizontal="center"/>
    </xf>
    <xf numFmtId="0" fontId="15" fillId="0" borderId="22" xfId="0" applyFont="1" applyBorder="1"/>
    <xf numFmtId="0" fontId="13" fillId="0" borderId="20" xfId="0" applyFont="1" applyBorder="1" applyAlignment="1">
      <alignment horizontal="centerContinuous"/>
    </xf>
    <xf numFmtId="0" fontId="13" fillId="0" borderId="0" xfId="0" applyFont="1" applyAlignment="1">
      <alignment horizontal="center"/>
    </xf>
    <xf numFmtId="14" fontId="16" fillId="0" borderId="13" xfId="0" applyNumberFormat="1" applyFont="1" applyBorder="1" applyAlignment="1">
      <alignment horizontal="center"/>
    </xf>
    <xf numFmtId="0" fontId="24" fillId="0" borderId="0" xfId="0" applyFont="1"/>
    <xf numFmtId="0" fontId="23" fillId="0" borderId="0" xfId="0" applyFont="1" applyAlignment="1">
      <alignment horizontal="center"/>
    </xf>
    <xf numFmtId="0" fontId="23" fillId="0" borderId="13" xfId="0" applyFont="1" applyBorder="1"/>
    <xf numFmtId="14" fontId="13" fillId="0" borderId="0" xfId="0" applyNumberFormat="1" applyFont="1" applyAlignment="1">
      <alignment horizontal="center"/>
    </xf>
    <xf numFmtId="0" fontId="13" fillId="0" borderId="24" xfId="0" applyFont="1" applyBorder="1"/>
    <xf numFmtId="41" fontId="13" fillId="0" borderId="25" xfId="0" applyNumberFormat="1" applyFont="1" applyBorder="1" applyAlignment="1">
      <alignment horizontal="right"/>
    </xf>
    <xf numFmtId="175" fontId="15" fillId="0" borderId="0" xfId="2" applyNumberFormat="1" applyFont="1" applyAlignment="1">
      <alignment horizontal="center"/>
    </xf>
    <xf numFmtId="0" fontId="20" fillId="0" borderId="12" xfId="0" applyFont="1" applyBorder="1" applyAlignment="1">
      <alignment horizontal="left" indent="1"/>
    </xf>
    <xf numFmtId="0" fontId="20" fillId="0" borderId="0" xfId="0" applyFont="1" applyAlignment="1">
      <alignment horizontal="right"/>
    </xf>
    <xf numFmtId="170" fontId="20" fillId="0" borderId="0" xfId="0" applyNumberFormat="1" applyFont="1" applyAlignment="1">
      <alignment horizontal="right"/>
    </xf>
    <xf numFmtId="170" fontId="20" fillId="0" borderId="13" xfId="0" applyNumberFormat="1" applyFont="1" applyBorder="1" applyAlignment="1">
      <alignment horizontal="right"/>
    </xf>
    <xf numFmtId="0" fontId="20" fillId="0" borderId="0" xfId="0" applyFont="1"/>
    <xf numFmtId="41" fontId="25" fillId="0" borderId="13" xfId="0" applyNumberFormat="1" applyFont="1" applyBorder="1" applyAlignment="1">
      <alignment horizontal="right"/>
    </xf>
    <xf numFmtId="0" fontId="15" fillId="0" borderId="13" xfId="0" applyFont="1" applyBorder="1" applyAlignment="1">
      <alignment horizontal="right"/>
    </xf>
    <xf numFmtId="0" fontId="15" fillId="0" borderId="12" xfId="0" applyFont="1" applyBorder="1" applyAlignment="1">
      <alignment horizontal="left"/>
    </xf>
    <xf numFmtId="41" fontId="15" fillId="0" borderId="13" xfId="0" applyNumberFormat="1" applyFont="1" applyBorder="1" applyAlignment="1">
      <alignment horizontal="right"/>
    </xf>
    <xf numFmtId="0" fontId="25" fillId="0" borderId="0" xfId="0" applyFont="1" applyAlignment="1">
      <alignment horizontal="right"/>
    </xf>
    <xf numFmtId="0" fontId="20" fillId="0" borderId="12" xfId="0" quotePrefix="1" applyFont="1" applyBorder="1" applyAlignment="1">
      <alignment horizontal="left" indent="1"/>
    </xf>
    <xf numFmtId="41" fontId="29" fillId="0" borderId="0" xfId="0" applyNumberFormat="1" applyFont="1" applyAlignment="1">
      <alignment horizontal="right"/>
    </xf>
    <xf numFmtId="41" fontId="30" fillId="0" borderId="0" xfId="0" applyNumberFormat="1" applyFont="1" applyAlignment="1">
      <alignment horizontal="right"/>
    </xf>
    <xf numFmtId="43" fontId="13" fillId="0" borderId="25" xfId="0" applyNumberFormat="1" applyFont="1" applyBorder="1" applyAlignment="1">
      <alignment horizontal="right"/>
    </xf>
    <xf numFmtId="43" fontId="31" fillId="0" borderId="0" xfId="0" applyNumberFormat="1" applyFont="1" applyAlignment="1">
      <alignment horizontal="right"/>
    </xf>
    <xf numFmtId="43" fontId="31" fillId="0" borderId="13" xfId="0" applyNumberFormat="1" applyFont="1" applyBorder="1" applyAlignment="1">
      <alignment horizontal="right"/>
    </xf>
    <xf numFmtId="43" fontId="13" fillId="0" borderId="0" xfId="0" applyNumberFormat="1" applyFont="1" applyAlignment="1">
      <alignment horizontal="right"/>
    </xf>
    <xf numFmtId="0" fontId="15" fillId="0" borderId="12" xfId="0" applyFont="1" applyBorder="1" applyAlignment="1">
      <alignment horizontal="left" indent="2"/>
    </xf>
    <xf numFmtId="43" fontId="15" fillId="0" borderId="0" xfId="0" applyNumberFormat="1" applyFont="1" applyAlignment="1">
      <alignment horizontal="right"/>
    </xf>
    <xf numFmtId="43" fontId="15" fillId="0" borderId="13" xfId="0" applyNumberFormat="1" applyFont="1" applyBorder="1" applyAlignment="1">
      <alignment horizontal="right"/>
    </xf>
    <xf numFmtId="0" fontId="20" fillId="0" borderId="12" xfId="0" applyFont="1" applyBorder="1" applyAlignment="1">
      <alignment horizontal="left" indent="3"/>
    </xf>
    <xf numFmtId="0" fontId="13" fillId="0" borderId="0" xfId="0" applyFont="1" applyAlignment="1">
      <alignment horizontal="right"/>
    </xf>
    <xf numFmtId="43" fontId="13" fillId="0" borderId="13" xfId="0" applyNumberFormat="1" applyFont="1" applyBorder="1" applyAlignment="1">
      <alignment horizontal="right"/>
    </xf>
    <xf numFmtId="173" fontId="20" fillId="0" borderId="0" xfId="0" applyNumberFormat="1" applyFont="1" applyAlignment="1">
      <alignment horizontal="right"/>
    </xf>
    <xf numFmtId="173" fontId="20" fillId="0" borderId="13" xfId="0" applyNumberFormat="1" applyFont="1" applyBorder="1" applyAlignment="1">
      <alignment horizontal="right"/>
    </xf>
    <xf numFmtId="0" fontId="24" fillId="0" borderId="12" xfId="0" applyFont="1" applyBorder="1"/>
    <xf numFmtId="170" fontId="15" fillId="0" borderId="13" xfId="0" applyNumberFormat="1" applyFont="1" applyBorder="1" applyAlignment="1">
      <alignment horizontal="right"/>
    </xf>
    <xf numFmtId="0" fontId="15" fillId="0" borderId="17" xfId="0" applyFont="1" applyBorder="1" applyAlignment="1">
      <alignment horizontal="left" indent="1"/>
    </xf>
    <xf numFmtId="0" fontId="15" fillId="0" borderId="18" xfId="0" applyFont="1" applyBorder="1" applyAlignment="1">
      <alignment horizontal="right"/>
    </xf>
    <xf numFmtId="0" fontId="15" fillId="0" borderId="19" xfId="0" applyFont="1" applyBorder="1" applyAlignment="1">
      <alignment horizontal="right"/>
    </xf>
    <xf numFmtId="0" fontId="33" fillId="0" borderId="0" xfId="0" applyFont="1" applyAlignment="1">
      <alignment horizontal="centerContinuous"/>
    </xf>
    <xf numFmtId="0" fontId="34" fillId="0" borderId="0" xfId="0" applyFont="1"/>
    <xf numFmtId="0" fontId="35" fillId="0" borderId="0" xfId="0" applyFont="1"/>
    <xf numFmtId="14" fontId="35" fillId="0" borderId="0" xfId="0" applyNumberFormat="1" applyFont="1" applyAlignment="1">
      <alignment horizontal="center"/>
    </xf>
    <xf numFmtId="0" fontId="36" fillId="0" borderId="0" xfId="0" applyFont="1"/>
    <xf numFmtId="0" fontId="35" fillId="0" borderId="20" xfId="0" applyFont="1" applyBorder="1"/>
    <xf numFmtId="0" fontId="35" fillId="0" borderId="0" xfId="0" applyFont="1" applyAlignment="1">
      <alignment horizontal="center"/>
    </xf>
    <xf numFmtId="0" fontId="37" fillId="0" borderId="10" xfId="0" applyFont="1" applyBorder="1"/>
    <xf numFmtId="0" fontId="35" fillId="0" borderId="10" xfId="0" applyFont="1" applyBorder="1"/>
    <xf numFmtId="0" fontId="35" fillId="0" borderId="10" xfId="0" applyFont="1" applyBorder="1" applyAlignment="1">
      <alignment horizontal="center"/>
    </xf>
    <xf numFmtId="0" fontId="12" fillId="0" borderId="0" xfId="0" applyFont="1" applyAlignment="1">
      <alignment horizontal="left" vertical="top"/>
    </xf>
    <xf numFmtId="0" fontId="38" fillId="0" borderId="0" xfId="0" applyFont="1" applyAlignment="1">
      <alignment horizontal="left" vertical="top"/>
    </xf>
    <xf numFmtId="0" fontId="39" fillId="0" borderId="0" xfId="0" applyFont="1"/>
    <xf numFmtId="0" fontId="9" fillId="0" borderId="0" xfId="0" applyFont="1" applyAlignment="1">
      <alignment horizontal="right" vertical="top"/>
    </xf>
    <xf numFmtId="168" fontId="6" fillId="0" borderId="0" xfId="0" applyNumberFormat="1" applyFont="1" applyAlignment="1">
      <alignment horizontal="left" vertical="top"/>
    </xf>
    <xf numFmtId="168" fontId="9" fillId="0" borderId="0" xfId="0" applyNumberFormat="1" applyFont="1" applyAlignment="1">
      <alignment horizontal="right" vertical="top" wrapText="1"/>
    </xf>
    <xf numFmtId="168" fontId="3" fillId="0" borderId="0" xfId="0" applyNumberFormat="1" applyFont="1" applyAlignment="1">
      <alignment vertical="top" wrapText="1"/>
    </xf>
    <xf numFmtId="168" fontId="38" fillId="0" borderId="0" xfId="0" applyNumberFormat="1" applyFont="1" applyAlignment="1">
      <alignment horizontal="left" vertical="top"/>
    </xf>
    <xf numFmtId="168" fontId="40" fillId="0" borderId="0" xfId="0" applyNumberFormat="1" applyFont="1" applyAlignment="1">
      <alignment horizontal="right" vertical="top" wrapText="1"/>
    </xf>
    <xf numFmtId="164" fontId="40" fillId="0" borderId="0" xfId="0" applyNumberFormat="1" applyFont="1" applyAlignment="1">
      <alignment horizontal="right" vertical="top" wrapText="1"/>
    </xf>
    <xf numFmtId="168" fontId="38" fillId="0" borderId="0" xfId="0" applyNumberFormat="1" applyFont="1" applyAlignment="1">
      <alignment horizontal="right" vertical="top" wrapText="1"/>
    </xf>
    <xf numFmtId="164" fontId="38" fillId="0" borderId="0" xfId="0" applyNumberFormat="1" applyFont="1" applyAlignment="1">
      <alignment horizontal="right" vertical="top" wrapText="1"/>
    </xf>
    <xf numFmtId="168" fontId="12" fillId="0" borderId="0" xfId="0" applyNumberFormat="1" applyFont="1" applyAlignment="1">
      <alignment horizontal="right" vertical="top" wrapText="1"/>
    </xf>
    <xf numFmtId="168" fontId="6" fillId="6" borderId="0" xfId="0" applyNumberFormat="1" applyFont="1" applyFill="1" applyAlignment="1">
      <alignment horizontal="right" vertical="top" wrapText="1"/>
    </xf>
    <xf numFmtId="43" fontId="6" fillId="0" borderId="0" xfId="0" applyNumberFormat="1" applyFont="1" applyAlignment="1">
      <alignment horizontal="left" vertical="top"/>
    </xf>
    <xf numFmtId="0" fontId="44" fillId="0" borderId="0" xfId="0" applyFont="1"/>
    <xf numFmtId="186" fontId="48" fillId="7" borderId="0" xfId="5" applyNumberFormat="1" applyFont="1" applyFill="1" applyBorder="1" applyAlignment="1">
      <alignment horizontal="left"/>
    </xf>
    <xf numFmtId="183" fontId="50" fillId="7" borderId="0" xfId="6" applyNumberFormat="1" applyFont="1" applyFill="1"/>
    <xf numFmtId="183" fontId="50" fillId="7" borderId="48" xfId="6" applyNumberFormat="1" applyFont="1" applyFill="1" applyBorder="1"/>
    <xf numFmtId="183" fontId="49" fillId="7" borderId="0" xfId="6" applyNumberFormat="1" applyFill="1"/>
    <xf numFmtId="183" fontId="49" fillId="0" borderId="0" xfId="6" applyNumberFormat="1"/>
    <xf numFmtId="187" fontId="1" fillId="7" borderId="0" xfId="6" applyNumberFormat="1" applyFont="1" applyFill="1" applyAlignment="1">
      <alignment horizontal="left"/>
    </xf>
    <xf numFmtId="186" fontId="51" fillId="7" borderId="0" xfId="6" applyNumberFormat="1" applyFont="1" applyFill="1" applyAlignment="1">
      <alignment horizontal="center"/>
    </xf>
    <xf numFmtId="0" fontId="50" fillId="7" borderId="0" xfId="6" applyFont="1" applyFill="1"/>
    <xf numFmtId="0" fontId="49" fillId="7" borderId="0" xfId="6" applyFill="1"/>
    <xf numFmtId="0" fontId="50" fillId="7" borderId="48" xfId="6" applyFont="1" applyFill="1" applyBorder="1"/>
    <xf numFmtId="188" fontId="49" fillId="7" borderId="0" xfId="6" applyNumberFormat="1" applyFill="1"/>
    <xf numFmtId="0" fontId="49" fillId="0" borderId="0" xfId="6"/>
    <xf numFmtId="189" fontId="46" fillId="7" borderId="0" xfId="6" applyNumberFormat="1" applyFont="1" applyFill="1" applyAlignment="1">
      <alignment horizontal="left"/>
    </xf>
    <xf numFmtId="190" fontId="52" fillId="7" borderId="0" xfId="7" applyNumberFormat="1" applyFont="1" applyFill="1" applyBorder="1" applyAlignment="1">
      <alignment horizontal="center"/>
    </xf>
    <xf numFmtId="1" fontId="53" fillId="7" borderId="0" xfId="6" applyNumberFormat="1" applyFont="1" applyFill="1" applyAlignment="1">
      <alignment horizontal="center"/>
    </xf>
    <xf numFmtId="1" fontId="53" fillId="7" borderId="48" xfId="6" applyNumberFormat="1" applyFont="1" applyFill="1" applyBorder="1" applyAlignment="1">
      <alignment horizontal="center"/>
    </xf>
    <xf numFmtId="1" fontId="54" fillId="7" borderId="0" xfId="6" applyNumberFormat="1" applyFont="1" applyFill="1" applyAlignment="1">
      <alignment horizontal="center"/>
    </xf>
    <xf numFmtId="1" fontId="53" fillId="8" borderId="0" xfId="6" applyNumberFormat="1" applyFont="1" applyFill="1" applyAlignment="1">
      <alignment horizontal="center"/>
    </xf>
    <xf numFmtId="1" fontId="53" fillId="8" borderId="48" xfId="6" applyNumberFormat="1" applyFont="1" applyFill="1" applyBorder="1" applyAlignment="1">
      <alignment horizontal="center"/>
    </xf>
    <xf numFmtId="1" fontId="54" fillId="8" borderId="0" xfId="6" applyNumberFormat="1" applyFont="1" applyFill="1" applyAlignment="1">
      <alignment horizontal="center"/>
    </xf>
    <xf numFmtId="183" fontId="53" fillId="7" borderId="0" xfId="6" applyNumberFormat="1" applyFont="1" applyFill="1" applyAlignment="1">
      <alignment horizontal="center"/>
    </xf>
    <xf numFmtId="183" fontId="53" fillId="0" borderId="0" xfId="6" applyNumberFormat="1" applyFont="1" applyAlignment="1">
      <alignment horizontal="center"/>
    </xf>
    <xf numFmtId="191" fontId="46" fillId="7" borderId="0" xfId="6" applyNumberFormat="1" applyFont="1" applyFill="1"/>
    <xf numFmtId="0" fontId="53" fillId="7" borderId="0" xfId="6" applyFont="1" applyFill="1" applyAlignment="1">
      <alignment horizontal="center"/>
    </xf>
    <xf numFmtId="17" fontId="55" fillId="7" borderId="0" xfId="6" applyNumberFormat="1" applyFont="1" applyFill="1" applyAlignment="1">
      <alignment horizontal="center"/>
    </xf>
    <xf numFmtId="17" fontId="56" fillId="7" borderId="0" xfId="6" applyNumberFormat="1" applyFont="1" applyFill="1" applyAlignment="1">
      <alignment horizontal="center"/>
    </xf>
    <xf numFmtId="17" fontId="56" fillId="7" borderId="48" xfId="6" applyNumberFormat="1" applyFont="1" applyFill="1" applyBorder="1" applyAlignment="1">
      <alignment horizontal="center"/>
    </xf>
    <xf numFmtId="17" fontId="57" fillId="8" borderId="0" xfId="6" applyNumberFormat="1" applyFont="1" applyFill="1" applyAlignment="1">
      <alignment horizontal="center"/>
    </xf>
    <xf numFmtId="17" fontId="55" fillId="8" borderId="0" xfId="6" applyNumberFormat="1" applyFont="1" applyFill="1" applyAlignment="1">
      <alignment horizontal="center"/>
    </xf>
    <xf numFmtId="17" fontId="55" fillId="8" borderId="48" xfId="6" applyNumberFormat="1" applyFont="1" applyFill="1" applyBorder="1" applyAlignment="1">
      <alignment horizontal="center"/>
    </xf>
    <xf numFmtId="17" fontId="56" fillId="8" borderId="0" xfId="6" applyNumberFormat="1" applyFont="1" applyFill="1" applyAlignment="1">
      <alignment horizontal="center"/>
    </xf>
    <xf numFmtId="192" fontId="46" fillId="7" borderId="0" xfId="6" applyNumberFormat="1" applyFont="1" applyFill="1"/>
    <xf numFmtId="0" fontId="58" fillId="7" borderId="0" xfId="7" applyNumberFormat="1" applyFont="1" applyFill="1" applyBorder="1" applyAlignment="1">
      <alignment horizontal="center"/>
    </xf>
    <xf numFmtId="0" fontId="58" fillId="7" borderId="0" xfId="6" applyFont="1" applyFill="1" applyAlignment="1">
      <alignment horizontal="center"/>
    </xf>
    <xf numFmtId="0" fontId="52" fillId="7" borderId="0" xfId="6" applyFont="1" applyFill="1" applyAlignment="1">
      <alignment horizontal="center"/>
    </xf>
    <xf numFmtId="0" fontId="52" fillId="7" borderId="48" xfId="6" applyFont="1" applyFill="1" applyBorder="1" applyAlignment="1">
      <alignment horizontal="center"/>
    </xf>
    <xf numFmtId="0" fontId="59" fillId="8" borderId="0" xfId="6" applyFont="1" applyFill="1" applyAlignment="1">
      <alignment horizontal="center"/>
    </xf>
    <xf numFmtId="0" fontId="58" fillId="8" borderId="0" xfId="6" applyFont="1" applyFill="1" applyAlignment="1">
      <alignment horizontal="center"/>
    </xf>
    <xf numFmtId="0" fontId="58" fillId="8" borderId="48" xfId="6" applyFont="1" applyFill="1" applyBorder="1" applyAlignment="1">
      <alignment horizontal="center"/>
    </xf>
    <xf numFmtId="0" fontId="52" fillId="8" borderId="0" xfId="6" applyFont="1" applyFill="1" applyAlignment="1">
      <alignment horizontal="center"/>
    </xf>
    <xf numFmtId="193" fontId="60" fillId="9" borderId="0" xfId="6" applyNumberFormat="1" applyFont="1" applyFill="1"/>
    <xf numFmtId="193" fontId="61" fillId="9" borderId="0" xfId="6" applyNumberFormat="1" applyFont="1" applyFill="1"/>
    <xf numFmtId="193" fontId="61" fillId="9" borderId="48" xfId="6" applyNumberFormat="1" applyFont="1" applyFill="1" applyBorder="1"/>
    <xf numFmtId="193" fontId="49" fillId="7" borderId="0" xfId="6" applyNumberFormat="1" applyFill="1"/>
    <xf numFmtId="193" fontId="49" fillId="0" borderId="0" xfId="6" applyNumberFormat="1"/>
    <xf numFmtId="193" fontId="49" fillId="7" borderId="0" xfId="6" applyNumberFormat="1" applyFill="1" applyAlignment="1">
      <alignment horizontal="left" indent="1"/>
    </xf>
    <xf numFmtId="193" fontId="51" fillId="7" borderId="0" xfId="7" applyNumberFormat="1" applyFont="1" applyFill="1" applyBorder="1"/>
    <xf numFmtId="193" fontId="50" fillId="7" borderId="0" xfId="6" applyNumberFormat="1" applyFont="1" applyFill="1" applyAlignment="1">
      <alignment horizontal="right"/>
    </xf>
    <xf numFmtId="193" fontId="49" fillId="7" borderId="0" xfId="6" applyNumberFormat="1" applyFill="1" applyAlignment="1">
      <alignment horizontal="right"/>
    </xf>
    <xf numFmtId="193" fontId="62" fillId="7" borderId="0" xfId="6" applyNumberFormat="1" applyFont="1" applyFill="1" applyAlignment="1">
      <alignment horizontal="right"/>
    </xf>
    <xf numFmtId="193" fontId="49" fillId="7" borderId="48" xfId="6" applyNumberFormat="1" applyFill="1" applyBorder="1" applyAlignment="1">
      <alignment horizontal="right"/>
    </xf>
    <xf numFmtId="193" fontId="50" fillId="8" borderId="0" xfId="6" applyNumberFormat="1" applyFont="1" applyFill="1" applyAlignment="1">
      <alignment horizontal="right"/>
    </xf>
    <xf numFmtId="193" fontId="49" fillId="8" borderId="0" xfId="6" applyNumberFormat="1" applyFill="1" applyAlignment="1">
      <alignment horizontal="right"/>
    </xf>
    <xf numFmtId="193" fontId="49" fillId="8" borderId="48" xfId="6" applyNumberFormat="1" applyFill="1" applyBorder="1" applyAlignment="1">
      <alignment horizontal="right"/>
    </xf>
    <xf numFmtId="193" fontId="53" fillId="7" borderId="10" xfId="6" applyNumberFormat="1" applyFont="1" applyFill="1" applyBorder="1" applyAlignment="1">
      <alignment horizontal="left"/>
    </xf>
    <xf numFmtId="193" fontId="58" fillId="7" borderId="10" xfId="7" applyNumberFormat="1" applyFont="1" applyFill="1" applyBorder="1"/>
    <xf numFmtId="193" fontId="54" fillId="7" borderId="10" xfId="6" applyNumberFormat="1" applyFont="1" applyFill="1" applyBorder="1" applyAlignment="1">
      <alignment horizontal="right"/>
    </xf>
    <xf numFmtId="193" fontId="53" fillId="7" borderId="10" xfId="6" applyNumberFormat="1" applyFont="1" applyFill="1" applyBorder="1" applyAlignment="1">
      <alignment horizontal="right"/>
    </xf>
    <xf numFmtId="193" fontId="59" fillId="7" borderId="10" xfId="6" applyNumberFormat="1" applyFont="1" applyFill="1" applyBorder="1" applyAlignment="1">
      <alignment horizontal="right"/>
    </xf>
    <xf numFmtId="193" fontId="53" fillId="7" borderId="49" xfId="6" applyNumberFormat="1" applyFont="1" applyFill="1" applyBorder="1" applyAlignment="1">
      <alignment horizontal="right"/>
    </xf>
    <xf numFmtId="193" fontId="54" fillId="8" borderId="10" xfId="6" applyNumberFormat="1" applyFont="1" applyFill="1" applyBorder="1" applyAlignment="1">
      <alignment horizontal="right"/>
    </xf>
    <xf numFmtId="193" fontId="53" fillId="8" borderId="10" xfId="6" applyNumberFormat="1" applyFont="1" applyFill="1" applyBorder="1" applyAlignment="1">
      <alignment horizontal="right"/>
    </xf>
    <xf numFmtId="193" fontId="53" fillId="8" borderId="49" xfId="6" applyNumberFormat="1" applyFont="1" applyFill="1" applyBorder="1" applyAlignment="1">
      <alignment horizontal="right"/>
    </xf>
    <xf numFmtId="193" fontId="53" fillId="7" borderId="0" xfId="6" applyNumberFormat="1" applyFont="1" applyFill="1"/>
    <xf numFmtId="193" fontId="53" fillId="0" borderId="0" xfId="6" applyNumberFormat="1" applyFont="1"/>
    <xf numFmtId="193" fontId="54" fillId="7" borderId="0" xfId="6" applyNumberFormat="1" applyFont="1" applyFill="1" applyAlignment="1">
      <alignment horizontal="left"/>
    </xf>
    <xf numFmtId="193" fontId="58" fillId="7" borderId="0" xfId="7" applyNumberFormat="1" applyFont="1" applyFill="1" applyBorder="1"/>
    <xf numFmtId="193" fontId="54" fillId="7" borderId="0" xfId="6" applyNumberFormat="1" applyFont="1" applyFill="1" applyAlignment="1">
      <alignment horizontal="right"/>
    </xf>
    <xf numFmtId="193" fontId="54" fillId="7" borderId="48" xfId="6" applyNumberFormat="1" applyFont="1" applyFill="1" applyBorder="1" applyAlignment="1">
      <alignment horizontal="right"/>
    </xf>
    <xf numFmtId="193" fontId="54" fillId="8" borderId="0" xfId="6" applyNumberFormat="1" applyFont="1" applyFill="1" applyAlignment="1">
      <alignment horizontal="right"/>
    </xf>
    <xf numFmtId="193" fontId="54" fillId="8" borderId="48" xfId="6" applyNumberFormat="1" applyFont="1" applyFill="1" applyBorder="1" applyAlignment="1">
      <alignment horizontal="right"/>
    </xf>
    <xf numFmtId="193" fontId="50" fillId="7" borderId="0" xfId="6" applyNumberFormat="1" applyFont="1" applyFill="1" applyAlignment="1">
      <alignment horizontal="left" indent="1"/>
    </xf>
    <xf numFmtId="193" fontId="50" fillId="7" borderId="48" xfId="6" applyNumberFormat="1" applyFont="1" applyFill="1" applyBorder="1" applyAlignment="1">
      <alignment horizontal="right"/>
    </xf>
    <xf numFmtId="193" fontId="63" fillId="7" borderId="0" xfId="6" applyNumberFormat="1" applyFont="1" applyFill="1" applyAlignment="1">
      <alignment horizontal="right"/>
    </xf>
    <xf numFmtId="193" fontId="50" fillId="8" borderId="48" xfId="6" applyNumberFormat="1" applyFont="1" applyFill="1" applyBorder="1" applyAlignment="1">
      <alignment horizontal="right"/>
    </xf>
    <xf numFmtId="193" fontId="62" fillId="8" borderId="0" xfId="6" applyNumberFormat="1" applyFont="1" applyFill="1" applyAlignment="1">
      <alignment horizontal="right"/>
    </xf>
    <xf numFmtId="193" fontId="54" fillId="7" borderId="10" xfId="6" applyNumberFormat="1" applyFont="1" applyFill="1" applyBorder="1" applyAlignment="1">
      <alignment horizontal="left"/>
    </xf>
    <xf numFmtId="193" fontId="54" fillId="7" borderId="49" xfId="6" applyNumberFormat="1" applyFont="1" applyFill="1" applyBorder="1" applyAlignment="1">
      <alignment horizontal="right"/>
    </xf>
    <xf numFmtId="193" fontId="54" fillId="8" borderId="49" xfId="6" applyNumberFormat="1" applyFont="1" applyFill="1" applyBorder="1" applyAlignment="1">
      <alignment horizontal="right"/>
    </xf>
    <xf numFmtId="183" fontId="60" fillId="9" borderId="0" xfId="6" applyNumberFormat="1" applyFont="1" applyFill="1"/>
    <xf numFmtId="183" fontId="61" fillId="9" borderId="0" xfId="6" applyNumberFormat="1" applyFont="1" applyFill="1"/>
    <xf numFmtId="183" fontId="64" fillId="9" borderId="0" xfId="6" applyNumberFormat="1" applyFont="1" applyFill="1"/>
    <xf numFmtId="183" fontId="61" fillId="9" borderId="48" xfId="6" applyNumberFormat="1" applyFont="1" applyFill="1" applyBorder="1"/>
    <xf numFmtId="183" fontId="50" fillId="7" borderId="0" xfId="6" applyNumberFormat="1" applyFont="1" applyFill="1" applyAlignment="1">
      <alignment horizontal="left" indent="1"/>
    </xf>
    <xf numFmtId="183" fontId="50" fillId="7" borderId="0" xfId="6" applyNumberFormat="1" applyFont="1" applyFill="1" applyAlignment="1">
      <alignment horizontal="left" indent="4"/>
    </xf>
    <xf numFmtId="183" fontId="62" fillId="7" borderId="0" xfId="6" applyNumberFormat="1" applyFont="1" applyFill="1"/>
    <xf numFmtId="183" fontId="62" fillId="7" borderId="48" xfId="6" applyNumberFormat="1" applyFont="1" applyFill="1" applyBorder="1"/>
    <xf numFmtId="183" fontId="50" fillId="8" borderId="0" xfId="6" applyNumberFormat="1" applyFont="1" applyFill="1"/>
    <xf numFmtId="183" fontId="62" fillId="8" borderId="0" xfId="6" applyNumberFormat="1" applyFont="1" applyFill="1"/>
    <xf numFmtId="183" fontId="62" fillId="8" borderId="48" xfId="6" applyNumberFormat="1" applyFont="1" applyFill="1" applyBorder="1"/>
    <xf numFmtId="183" fontId="53" fillId="7" borderId="10" xfId="6" applyNumberFormat="1" applyFont="1" applyFill="1" applyBorder="1" applyAlignment="1">
      <alignment horizontal="left"/>
    </xf>
    <xf numFmtId="183" fontId="54" fillId="7" borderId="10" xfId="6" applyNumberFormat="1" applyFont="1" applyFill="1" applyBorder="1" applyAlignment="1">
      <alignment horizontal="left" indent="4"/>
    </xf>
    <xf numFmtId="183" fontId="54" fillId="7" borderId="10" xfId="6" applyNumberFormat="1" applyFont="1" applyFill="1" applyBorder="1"/>
    <xf numFmtId="183" fontId="53" fillId="7" borderId="10" xfId="6" applyNumberFormat="1" applyFont="1" applyFill="1" applyBorder="1"/>
    <xf numFmtId="183" fontId="53" fillId="7" borderId="49" xfId="6" applyNumberFormat="1" applyFont="1" applyFill="1" applyBorder="1"/>
    <xf numFmtId="183" fontId="54" fillId="8" borderId="10" xfId="6" applyNumberFormat="1" applyFont="1" applyFill="1" applyBorder="1"/>
    <xf numFmtId="183" fontId="53" fillId="8" borderId="10" xfId="6" applyNumberFormat="1" applyFont="1" applyFill="1" applyBorder="1"/>
    <xf numFmtId="183" fontId="53" fillId="8" borderId="49" xfId="6" applyNumberFormat="1" applyFont="1" applyFill="1" applyBorder="1"/>
    <xf numFmtId="183" fontId="53" fillId="7" borderId="0" xfId="6" applyNumberFormat="1" applyFont="1" applyFill="1"/>
    <xf numFmtId="183" fontId="53" fillId="0" borderId="0" xfId="6" applyNumberFormat="1" applyFont="1"/>
    <xf numFmtId="183" fontId="50" fillId="7" borderId="0" xfId="6" applyNumberFormat="1" applyFont="1" applyFill="1" applyAlignment="1">
      <alignment horizontal="left"/>
    </xf>
    <xf numFmtId="183" fontId="50" fillId="8" borderId="48" xfId="6" applyNumberFormat="1" applyFont="1" applyFill="1" applyBorder="1"/>
    <xf numFmtId="193" fontId="65" fillId="7" borderId="0" xfId="6" applyNumberFormat="1" applyFont="1" applyFill="1" applyAlignment="1">
      <alignment horizontal="left" indent="1"/>
    </xf>
    <xf numFmtId="193" fontId="66" fillId="7" borderId="0" xfId="6" applyNumberFormat="1" applyFont="1" applyFill="1" applyAlignment="1">
      <alignment horizontal="left" indent="4"/>
    </xf>
    <xf numFmtId="193" fontId="66" fillId="7" borderId="0" xfId="6" applyNumberFormat="1" applyFont="1" applyFill="1"/>
    <xf numFmtId="193" fontId="65" fillId="7" borderId="0" xfId="6" applyNumberFormat="1" applyFont="1" applyFill="1"/>
    <xf numFmtId="193" fontId="65" fillId="7" borderId="48" xfId="6" applyNumberFormat="1" applyFont="1" applyFill="1" applyBorder="1"/>
    <xf numFmtId="193" fontId="66" fillId="8" borderId="0" xfId="6" applyNumberFormat="1" applyFont="1" applyFill="1"/>
    <xf numFmtId="193" fontId="65" fillId="8" borderId="0" xfId="6" applyNumberFormat="1" applyFont="1" applyFill="1"/>
    <xf numFmtId="193" fontId="65" fillId="8" borderId="48" xfId="6" applyNumberFormat="1" applyFont="1" applyFill="1" applyBorder="1"/>
    <xf numFmtId="193" fontId="65" fillId="0" borderId="0" xfId="6" applyNumberFormat="1" applyFont="1"/>
    <xf numFmtId="193" fontId="67" fillId="7" borderId="10" xfId="6" applyNumberFormat="1" applyFont="1" applyFill="1" applyBorder="1" applyAlignment="1">
      <alignment horizontal="left"/>
    </xf>
    <xf numFmtId="193" fontId="68" fillId="7" borderId="10" xfId="6" applyNumberFormat="1" applyFont="1" applyFill="1" applyBorder="1" applyAlignment="1">
      <alignment horizontal="left" indent="4"/>
    </xf>
    <xf numFmtId="193" fontId="68" fillId="7" borderId="10" xfId="6" applyNumberFormat="1" applyFont="1" applyFill="1" applyBorder="1"/>
    <xf numFmtId="193" fontId="67" fillId="7" borderId="10" xfId="6" applyNumberFormat="1" applyFont="1" applyFill="1" applyBorder="1"/>
    <xf numFmtId="193" fontId="67" fillId="7" borderId="49" xfId="6" applyNumberFormat="1" applyFont="1" applyFill="1" applyBorder="1"/>
    <xf numFmtId="193" fontId="68" fillId="8" borderId="10" xfId="6" applyNumberFormat="1" applyFont="1" applyFill="1" applyBorder="1"/>
    <xf numFmtId="193" fontId="67" fillId="8" borderId="10" xfId="6" applyNumberFormat="1" applyFont="1" applyFill="1" applyBorder="1"/>
    <xf numFmtId="193" fontId="67" fillId="8" borderId="49" xfId="6" applyNumberFormat="1" applyFont="1" applyFill="1" applyBorder="1"/>
    <xf numFmtId="193" fontId="67" fillId="7" borderId="0" xfId="6" applyNumberFormat="1" applyFont="1" applyFill="1"/>
    <xf numFmtId="193" fontId="67" fillId="0" borderId="0" xfId="6" applyNumberFormat="1" applyFont="1"/>
    <xf numFmtId="193" fontId="68" fillId="7" borderId="0" xfId="6" applyNumberFormat="1" applyFont="1" applyFill="1" applyAlignment="1">
      <alignment horizontal="left"/>
    </xf>
    <xf numFmtId="193" fontId="68" fillId="7" borderId="0" xfId="6" applyNumberFormat="1" applyFont="1" applyFill="1" applyAlignment="1">
      <alignment horizontal="left" indent="4"/>
    </xf>
    <xf numFmtId="193" fontId="68" fillId="7" borderId="0" xfId="6" applyNumberFormat="1" applyFont="1" applyFill="1"/>
    <xf numFmtId="193" fontId="68" fillId="7" borderId="48" xfId="6" applyNumberFormat="1" applyFont="1" applyFill="1" applyBorder="1"/>
    <xf numFmtId="193" fontId="68" fillId="8" borderId="0" xfId="6" applyNumberFormat="1" applyFont="1" applyFill="1"/>
    <xf numFmtId="193" fontId="68" fillId="8" borderId="48" xfId="6" applyNumberFormat="1" applyFont="1" applyFill="1" applyBorder="1"/>
    <xf numFmtId="193" fontId="50" fillId="7" borderId="0" xfId="6" applyNumberFormat="1" applyFont="1" applyFill="1" applyAlignment="1">
      <alignment horizontal="left" indent="4"/>
    </xf>
    <xf numFmtId="193" fontId="50" fillId="7" borderId="0" xfId="6" applyNumberFormat="1" applyFont="1" applyFill="1"/>
    <xf numFmtId="193" fontId="50" fillId="7" borderId="48" xfId="6" applyNumberFormat="1" applyFont="1" applyFill="1" applyBorder="1"/>
    <xf numFmtId="193" fontId="62" fillId="7" borderId="0" xfId="6" applyNumberFormat="1" applyFont="1" applyFill="1"/>
    <xf numFmtId="193" fontId="63" fillId="7" borderId="0" xfId="6" applyNumberFormat="1" applyFont="1" applyFill="1"/>
    <xf numFmtId="193" fontId="50" fillId="8" borderId="0" xfId="6" applyNumberFormat="1" applyFont="1" applyFill="1"/>
    <xf numFmtId="193" fontId="50" fillId="8" borderId="48" xfId="6" applyNumberFormat="1" applyFont="1" applyFill="1" applyBorder="1"/>
    <xf numFmtId="193" fontId="62" fillId="8" borderId="0" xfId="6" applyNumberFormat="1" applyFont="1" applyFill="1"/>
    <xf numFmtId="193" fontId="54" fillId="7" borderId="10" xfId="6" applyNumberFormat="1" applyFont="1" applyFill="1" applyBorder="1" applyAlignment="1">
      <alignment horizontal="left" indent="4"/>
    </xf>
    <xf numFmtId="193" fontId="54" fillId="7" borderId="10" xfId="6" applyNumberFormat="1" applyFont="1" applyFill="1" applyBorder="1"/>
    <xf numFmtId="193" fontId="54" fillId="7" borderId="49" xfId="6" applyNumberFormat="1" applyFont="1" applyFill="1" applyBorder="1"/>
    <xf numFmtId="193" fontId="54" fillId="8" borderId="10" xfId="6" applyNumberFormat="1" applyFont="1" applyFill="1" applyBorder="1"/>
    <xf numFmtId="193" fontId="54" fillId="8" borderId="49" xfId="6" applyNumberFormat="1" applyFont="1" applyFill="1" applyBorder="1"/>
    <xf numFmtId="183" fontId="49" fillId="7" borderId="0" xfId="6" applyNumberFormat="1" applyFill="1" applyAlignment="1">
      <alignment horizontal="left" indent="1"/>
    </xf>
    <xf numFmtId="183" fontId="49" fillId="8" borderId="0" xfId="6" applyNumberFormat="1" applyFill="1"/>
    <xf numFmtId="183" fontId="54" fillId="7" borderId="0" xfId="6" applyNumberFormat="1" applyFont="1" applyFill="1" applyAlignment="1">
      <alignment horizontal="left"/>
    </xf>
    <xf numFmtId="183" fontId="54" fillId="7" borderId="0" xfId="6" applyNumberFormat="1" applyFont="1" applyFill="1" applyAlignment="1">
      <alignment horizontal="left" indent="4"/>
    </xf>
    <xf numFmtId="183" fontId="54" fillId="7" borderId="0" xfId="6" applyNumberFormat="1" applyFont="1" applyFill="1"/>
    <xf numFmtId="183" fontId="54" fillId="7" borderId="48" xfId="6" applyNumberFormat="1" applyFont="1" applyFill="1" applyBorder="1"/>
    <xf numFmtId="183" fontId="54" fillId="8" borderId="0" xfId="6" applyNumberFormat="1" applyFont="1" applyFill="1"/>
    <xf numFmtId="183" fontId="54" fillId="8" borderId="48" xfId="6" applyNumberFormat="1" applyFont="1" applyFill="1" applyBorder="1"/>
    <xf numFmtId="183" fontId="49" fillId="7" borderId="48" xfId="6" applyNumberFormat="1" applyFill="1" applyBorder="1"/>
    <xf numFmtId="183" fontId="49" fillId="8" borderId="48" xfId="6" applyNumberFormat="1" applyFill="1" applyBorder="1"/>
    <xf numFmtId="183" fontId="49" fillId="7" borderId="0" xfId="6" applyNumberFormat="1" applyFill="1" applyAlignment="1">
      <alignment horizontal="left"/>
    </xf>
    <xf numFmtId="183" fontId="1" fillId="7" borderId="0" xfId="7" applyNumberFormat="1" applyFont="1" applyFill="1" applyBorder="1" applyAlignment="1">
      <alignment horizontal="left" indent="1"/>
    </xf>
    <xf numFmtId="183" fontId="50" fillId="7" borderId="0" xfId="6" applyNumberFormat="1" applyFont="1" applyFill="1" applyAlignment="1">
      <alignment horizontal="left" indent="3"/>
    </xf>
    <xf numFmtId="193" fontId="46" fillId="7" borderId="10" xfId="7" applyNumberFormat="1" applyFont="1" applyFill="1" applyBorder="1" applyAlignment="1">
      <alignment horizontal="left"/>
    </xf>
    <xf numFmtId="193" fontId="54" fillId="7" borderId="10" xfId="6" applyNumberFormat="1" applyFont="1" applyFill="1" applyBorder="1" applyAlignment="1">
      <alignment horizontal="left" indent="3"/>
    </xf>
    <xf numFmtId="193" fontId="53" fillId="7" borderId="10" xfId="6" applyNumberFormat="1" applyFont="1" applyFill="1" applyBorder="1"/>
    <xf numFmtId="193" fontId="53" fillId="7" borderId="49" xfId="6" applyNumberFormat="1" applyFont="1" applyFill="1" applyBorder="1"/>
    <xf numFmtId="193" fontId="53" fillId="8" borderId="10" xfId="6" applyNumberFormat="1" applyFont="1" applyFill="1" applyBorder="1"/>
    <xf numFmtId="193" fontId="53" fillId="8" borderId="49" xfId="6" applyNumberFormat="1" applyFont="1" applyFill="1" applyBorder="1"/>
    <xf numFmtId="183" fontId="51" fillId="7" borderId="0" xfId="7" applyNumberFormat="1" applyFont="1" applyFill="1" applyBorder="1" applyAlignment="1">
      <alignment horizontal="left"/>
    </xf>
    <xf numFmtId="183" fontId="1" fillId="7" borderId="0" xfId="7" applyNumberFormat="1" applyFont="1" applyFill="1" applyBorder="1" applyAlignment="1">
      <alignment horizontal="left"/>
    </xf>
    <xf numFmtId="177" fontId="1" fillId="7" borderId="0" xfId="7" applyNumberFormat="1" applyFont="1" applyFill="1" applyBorder="1" applyAlignment="1">
      <alignment horizontal="left" indent="1"/>
    </xf>
    <xf numFmtId="177" fontId="50" fillId="7" borderId="0" xfId="6" applyNumberFormat="1" applyFont="1" applyFill="1" applyAlignment="1">
      <alignment horizontal="left" indent="3"/>
    </xf>
    <xf numFmtId="177" fontId="50" fillId="7" borderId="0" xfId="6" applyNumberFormat="1" applyFont="1" applyFill="1"/>
    <xf numFmtId="177" fontId="50" fillId="7" borderId="48" xfId="6" applyNumberFormat="1" applyFont="1" applyFill="1" applyBorder="1"/>
    <xf numFmtId="177" fontId="50" fillId="8" borderId="0" xfId="6" applyNumberFormat="1" applyFont="1" applyFill="1"/>
    <xf numFmtId="177" fontId="62" fillId="8" borderId="0" xfId="6" applyNumberFormat="1" applyFont="1" applyFill="1"/>
    <xf numFmtId="177" fontId="62" fillId="8" borderId="48" xfId="6" applyNumberFormat="1" applyFont="1" applyFill="1" applyBorder="1"/>
    <xf numFmtId="177" fontId="49" fillId="7" borderId="0" xfId="6" applyNumberFormat="1" applyFill="1"/>
    <xf numFmtId="177" fontId="49" fillId="0" borderId="0" xfId="6" applyNumberFormat="1"/>
    <xf numFmtId="177" fontId="46" fillId="7" borderId="10" xfId="7" applyNumberFormat="1" applyFont="1" applyFill="1" applyBorder="1" applyAlignment="1">
      <alignment horizontal="left"/>
    </xf>
    <xf numFmtId="177" fontId="54" fillId="7" borderId="10" xfId="6" applyNumberFormat="1" applyFont="1" applyFill="1" applyBorder="1" applyAlignment="1">
      <alignment horizontal="left" indent="3"/>
    </xf>
    <xf numFmtId="177" fontId="54" fillId="7" borderId="10" xfId="6" applyNumberFormat="1" applyFont="1" applyFill="1" applyBorder="1"/>
    <xf numFmtId="177" fontId="54" fillId="7" borderId="49" xfId="6" applyNumberFormat="1" applyFont="1" applyFill="1" applyBorder="1"/>
    <xf numFmtId="177" fontId="54" fillId="8" borderId="10" xfId="6" applyNumberFormat="1" applyFont="1" applyFill="1" applyBorder="1"/>
    <xf numFmtId="177" fontId="59" fillId="8" borderId="10" xfId="6" applyNumberFormat="1" applyFont="1" applyFill="1" applyBorder="1"/>
    <xf numFmtId="177" fontId="53" fillId="8" borderId="10" xfId="6" applyNumberFormat="1" applyFont="1" applyFill="1" applyBorder="1"/>
    <xf numFmtId="177" fontId="54" fillId="8" borderId="49" xfId="6" applyNumberFormat="1" applyFont="1" applyFill="1" applyBorder="1"/>
    <xf numFmtId="177" fontId="53" fillId="7" borderId="0" xfId="6" applyNumberFormat="1" applyFont="1" applyFill="1"/>
    <xf numFmtId="177" fontId="53" fillId="0" borderId="0" xfId="6" applyNumberFormat="1" applyFont="1"/>
    <xf numFmtId="177" fontId="58" fillId="7" borderId="0" xfId="7" applyNumberFormat="1" applyFont="1" applyFill="1" applyBorder="1" applyAlignment="1">
      <alignment horizontal="left"/>
    </xf>
    <xf numFmtId="177" fontId="54" fillId="7" borderId="0" xfId="6" applyNumberFormat="1" applyFont="1" applyFill="1" applyAlignment="1">
      <alignment horizontal="left" indent="3"/>
    </xf>
    <xf numFmtId="177" fontId="54" fillId="7" borderId="0" xfId="6" applyNumberFormat="1" applyFont="1" applyFill="1"/>
    <xf numFmtId="177" fontId="54" fillId="7" borderId="48" xfId="6" applyNumberFormat="1" applyFont="1" applyFill="1" applyBorder="1"/>
    <xf numFmtId="177" fontId="54" fillId="8" borderId="0" xfId="6" applyNumberFormat="1" applyFont="1" applyFill="1"/>
    <xf numFmtId="177" fontId="54" fillId="8" borderId="48" xfId="6" applyNumberFormat="1" applyFont="1" applyFill="1" applyBorder="1"/>
    <xf numFmtId="177" fontId="1" fillId="7" borderId="0" xfId="7" applyNumberFormat="1" applyFont="1" applyFill="1" applyBorder="1" applyAlignment="1">
      <alignment horizontal="left"/>
    </xf>
    <xf numFmtId="177" fontId="62" fillId="7" borderId="0" xfId="6" applyNumberFormat="1" applyFont="1" applyFill="1"/>
    <xf numFmtId="177" fontId="62" fillId="7" borderId="48" xfId="6" applyNumberFormat="1" applyFont="1" applyFill="1" applyBorder="1"/>
    <xf numFmtId="177" fontId="51" fillId="7" borderId="0" xfId="7" applyNumberFormat="1" applyFont="1" applyFill="1" applyBorder="1" applyAlignment="1">
      <alignment horizontal="left"/>
    </xf>
    <xf numFmtId="177" fontId="50" fillId="8" borderId="48" xfId="6" applyNumberFormat="1" applyFont="1" applyFill="1" applyBorder="1"/>
    <xf numFmtId="183" fontId="46" fillId="7" borderId="10" xfId="7" applyNumberFormat="1" applyFont="1" applyFill="1" applyBorder="1" applyAlignment="1">
      <alignment horizontal="left"/>
    </xf>
    <xf numFmtId="183" fontId="54" fillId="7" borderId="10" xfId="6" applyNumberFormat="1" applyFont="1" applyFill="1" applyBorder="1" applyAlignment="1">
      <alignment horizontal="left" indent="3"/>
    </xf>
    <xf numFmtId="183" fontId="54" fillId="7" borderId="49" xfId="6" applyNumberFormat="1" applyFont="1" applyFill="1" applyBorder="1"/>
    <xf numFmtId="183" fontId="59" fillId="8" borderId="10" xfId="6" applyNumberFormat="1" applyFont="1" applyFill="1" applyBorder="1"/>
    <xf numFmtId="183" fontId="54" fillId="8" borderId="49" xfId="6" applyNumberFormat="1" applyFont="1" applyFill="1" applyBorder="1"/>
    <xf numFmtId="183" fontId="49" fillId="7" borderId="0" xfId="6" applyNumberFormat="1" applyFill="1" applyAlignment="1">
      <alignment horizontal="left" indent="2"/>
    </xf>
    <xf numFmtId="183" fontId="50" fillId="7" borderId="20" xfId="6" applyNumberFormat="1" applyFont="1" applyFill="1" applyBorder="1" applyAlignment="1">
      <alignment horizontal="left" indent="2"/>
    </xf>
    <xf numFmtId="183" fontId="50" fillId="7" borderId="20" xfId="6" applyNumberFormat="1" applyFont="1" applyFill="1" applyBorder="1" applyAlignment="1">
      <alignment horizontal="left" indent="3"/>
    </xf>
    <xf numFmtId="183" fontId="50" fillId="7" borderId="20" xfId="6" applyNumberFormat="1" applyFont="1" applyFill="1" applyBorder="1"/>
    <xf numFmtId="183" fontId="50" fillId="7" borderId="50" xfId="6" applyNumberFormat="1" applyFont="1" applyFill="1" applyBorder="1"/>
    <xf numFmtId="183" fontId="50" fillId="8" borderId="20" xfId="6" applyNumberFormat="1" applyFont="1" applyFill="1" applyBorder="1"/>
    <xf numFmtId="183" fontId="50" fillId="8" borderId="50" xfId="6" applyNumberFormat="1" applyFont="1" applyFill="1" applyBorder="1"/>
    <xf numFmtId="183" fontId="49" fillId="7" borderId="20" xfId="6" applyNumberFormat="1" applyFill="1" applyBorder="1" applyAlignment="1">
      <alignment horizontal="left" indent="1"/>
    </xf>
    <xf numFmtId="183" fontId="58" fillId="7" borderId="0" xfId="7" applyNumberFormat="1" applyFont="1" applyFill="1" applyBorder="1" applyAlignment="1">
      <alignment horizontal="left"/>
    </xf>
    <xf numFmtId="183" fontId="54" fillId="7" borderId="0" xfId="6" applyNumberFormat="1" applyFont="1" applyFill="1" applyAlignment="1">
      <alignment horizontal="left" indent="3"/>
    </xf>
    <xf numFmtId="193" fontId="53" fillId="7" borderId="51" xfId="6" applyNumberFormat="1" applyFont="1" applyFill="1" applyBorder="1" applyAlignment="1">
      <alignment horizontal="right"/>
    </xf>
    <xf numFmtId="193" fontId="53" fillId="8" borderId="51" xfId="6" applyNumberFormat="1" applyFont="1" applyFill="1" applyBorder="1" applyAlignment="1">
      <alignment horizontal="right"/>
    </xf>
    <xf numFmtId="193" fontId="53" fillId="7" borderId="0" xfId="6" applyNumberFormat="1" applyFont="1" applyFill="1" applyAlignment="1">
      <alignment horizontal="right"/>
    </xf>
    <xf numFmtId="193" fontId="53" fillId="7" borderId="48" xfId="6" applyNumberFormat="1" applyFont="1" applyFill="1" applyBorder="1" applyAlignment="1">
      <alignment horizontal="right"/>
    </xf>
    <xf numFmtId="193" fontId="59" fillId="7" borderId="0" xfId="6" applyNumberFormat="1" applyFont="1" applyFill="1" applyAlignment="1">
      <alignment horizontal="right"/>
    </xf>
    <xf numFmtId="193" fontId="69" fillId="7" borderId="0" xfId="6" applyNumberFormat="1" applyFont="1" applyFill="1" applyAlignment="1">
      <alignment horizontal="right"/>
    </xf>
    <xf numFmtId="193" fontId="53" fillId="8" borderId="0" xfId="6" applyNumberFormat="1" applyFont="1" applyFill="1" applyAlignment="1">
      <alignment horizontal="right"/>
    </xf>
    <xf numFmtId="193" fontId="53" fillId="8" borderId="48" xfId="6" applyNumberFormat="1" applyFont="1" applyFill="1" applyBorder="1" applyAlignment="1">
      <alignment horizontal="right"/>
    </xf>
    <xf numFmtId="193" fontId="59" fillId="8" borderId="0" xfId="6" applyNumberFormat="1" applyFont="1" applyFill="1" applyAlignment="1">
      <alignment horizontal="right"/>
    </xf>
    <xf numFmtId="193" fontId="70" fillId="7" borderId="0" xfId="6" applyNumberFormat="1" applyFont="1" applyFill="1" applyAlignment="1">
      <alignment horizontal="left"/>
    </xf>
    <xf numFmtId="193" fontId="66" fillId="7" borderId="0" xfId="6" applyNumberFormat="1" applyFont="1" applyFill="1" applyAlignment="1">
      <alignment horizontal="left" indent="3"/>
    </xf>
    <xf numFmtId="193" fontId="70" fillId="7" borderId="0" xfId="6" applyNumberFormat="1" applyFont="1" applyFill="1"/>
    <xf numFmtId="193" fontId="70" fillId="7" borderId="48" xfId="6" applyNumberFormat="1" applyFont="1" applyFill="1" applyBorder="1"/>
    <xf numFmtId="193" fontId="66" fillId="7" borderId="0" xfId="6" applyNumberFormat="1" applyFont="1" applyFill="1" applyAlignment="1">
      <alignment horizontal="right"/>
    </xf>
    <xf numFmtId="193" fontId="66" fillId="8" borderId="48" xfId="6" applyNumberFormat="1" applyFont="1" applyFill="1" applyBorder="1"/>
    <xf numFmtId="193" fontId="66" fillId="8" borderId="0" xfId="6" applyNumberFormat="1" applyFont="1" applyFill="1" applyAlignment="1">
      <alignment horizontal="right"/>
    </xf>
    <xf numFmtId="193" fontId="66" fillId="0" borderId="0" xfId="6" applyNumberFormat="1" applyFont="1"/>
    <xf numFmtId="193" fontId="54" fillId="7" borderId="0" xfId="6" applyNumberFormat="1" applyFont="1" applyFill="1" applyAlignment="1">
      <alignment horizontal="left" indent="1"/>
    </xf>
    <xf numFmtId="193" fontId="53" fillId="7" borderId="0" xfId="6" applyNumberFormat="1" applyFont="1" applyFill="1" applyAlignment="1">
      <alignment horizontal="left"/>
    </xf>
    <xf numFmtId="193" fontId="70" fillId="7" borderId="0" xfId="7" applyNumberFormat="1" applyFont="1" applyFill="1" applyBorder="1"/>
    <xf numFmtId="193" fontId="66" fillId="7" borderId="48" xfId="6" applyNumberFormat="1" applyFont="1" applyFill="1" applyBorder="1" applyAlignment="1">
      <alignment horizontal="right"/>
    </xf>
    <xf numFmtId="193" fontId="66" fillId="8" borderId="48" xfId="6" applyNumberFormat="1" applyFont="1" applyFill="1" applyBorder="1" applyAlignment="1">
      <alignment horizontal="right"/>
    </xf>
    <xf numFmtId="193" fontId="65" fillId="8" borderId="0" xfId="6" applyNumberFormat="1" applyFont="1" applyFill="1" applyAlignment="1">
      <alignment horizontal="right"/>
    </xf>
    <xf numFmtId="193" fontId="70" fillId="7" borderId="0" xfId="6" applyNumberFormat="1" applyFont="1" applyFill="1" applyAlignment="1">
      <alignment horizontal="left" indent="1"/>
    </xf>
    <xf numFmtId="183" fontId="53" fillId="7" borderId="0" xfId="6" applyNumberFormat="1" applyFont="1" applyFill="1" applyAlignment="1">
      <alignment horizontal="left"/>
    </xf>
    <xf numFmtId="183" fontId="59" fillId="7" borderId="0" xfId="6" applyNumberFormat="1" applyFont="1" applyFill="1"/>
    <xf numFmtId="183" fontId="59" fillId="7" borderId="48" xfId="6" applyNumberFormat="1" applyFont="1" applyFill="1" applyBorder="1"/>
    <xf numFmtId="183" fontId="59" fillId="8" borderId="0" xfId="6" applyNumberFormat="1" applyFont="1" applyFill="1"/>
    <xf numFmtId="183" fontId="59" fillId="8" borderId="48" xfId="6" applyNumberFormat="1" applyFont="1" applyFill="1" applyBorder="1"/>
    <xf numFmtId="183" fontId="49" fillId="7" borderId="20" xfId="6" applyNumberFormat="1" applyFill="1" applyBorder="1" applyAlignment="1">
      <alignment horizontal="left" indent="2"/>
    </xf>
    <xf numFmtId="183" fontId="62" fillId="7" borderId="20" xfId="6" applyNumberFormat="1" applyFont="1" applyFill="1" applyBorder="1"/>
    <xf numFmtId="183" fontId="49" fillId="7" borderId="20" xfId="6" applyNumberFormat="1" applyFill="1" applyBorder="1"/>
    <xf numFmtId="183" fontId="62" fillId="7" borderId="50" xfId="6" applyNumberFormat="1" applyFont="1" applyFill="1" applyBorder="1"/>
    <xf numFmtId="183" fontId="62" fillId="8" borderId="20" xfId="6" applyNumberFormat="1" applyFont="1" applyFill="1" applyBorder="1"/>
    <xf numFmtId="183" fontId="62" fillId="8" borderId="50" xfId="6" applyNumberFormat="1" applyFont="1" applyFill="1" applyBorder="1"/>
    <xf numFmtId="183" fontId="49" fillId="7" borderId="0" xfId="6" applyNumberFormat="1" applyFill="1" applyAlignment="1">
      <alignment horizontal="left" indent="3"/>
    </xf>
    <xf numFmtId="183" fontId="49" fillId="7" borderId="10" xfId="6" applyNumberFormat="1" applyFill="1" applyBorder="1" applyAlignment="1">
      <alignment horizontal="left" indent="2"/>
    </xf>
    <xf numFmtId="183" fontId="50" fillId="7" borderId="10" xfId="6" applyNumberFormat="1" applyFont="1" applyFill="1" applyBorder="1" applyAlignment="1">
      <alignment horizontal="left" indent="3"/>
    </xf>
    <xf numFmtId="183" fontId="49" fillId="7" borderId="10" xfId="6" applyNumberFormat="1" applyFill="1" applyBorder="1"/>
    <xf numFmtId="183" fontId="49" fillId="7" borderId="49" xfId="6" applyNumberFormat="1" applyFill="1" applyBorder="1"/>
    <xf numFmtId="183" fontId="50" fillId="7" borderId="10" xfId="6" applyNumberFormat="1" applyFont="1" applyFill="1" applyBorder="1"/>
    <xf numFmtId="183" fontId="50" fillId="8" borderId="10" xfId="6" applyNumberFormat="1" applyFont="1" applyFill="1" applyBorder="1"/>
    <xf numFmtId="183" fontId="49" fillId="8" borderId="10" xfId="6" applyNumberFormat="1" applyFill="1" applyBorder="1"/>
    <xf numFmtId="183" fontId="49" fillId="8" borderId="49" xfId="6" applyNumberFormat="1" applyFill="1" applyBorder="1"/>
    <xf numFmtId="183" fontId="62" fillId="7" borderId="51" xfId="6" applyNumberFormat="1" applyFont="1" applyFill="1" applyBorder="1"/>
    <xf numFmtId="183" fontId="49" fillId="8" borderId="51" xfId="6" applyNumberFormat="1" applyFill="1" applyBorder="1"/>
    <xf numFmtId="183" fontId="53" fillId="7" borderId="51" xfId="6" applyNumberFormat="1" applyFont="1" applyFill="1" applyBorder="1"/>
    <xf numFmtId="183" fontId="53" fillId="8" borderId="51" xfId="6" applyNumberFormat="1" applyFont="1" applyFill="1" applyBorder="1"/>
    <xf numFmtId="183" fontId="51" fillId="10" borderId="0" xfId="8" applyNumberFormat="1" applyFont="1" applyBorder="1"/>
    <xf numFmtId="183" fontId="51" fillId="10" borderId="0" xfId="8" applyNumberFormat="1" applyFont="1" applyBorder="1" applyAlignment="1">
      <alignment horizontal="right"/>
    </xf>
    <xf numFmtId="183" fontId="51" fillId="10" borderId="48" xfId="8" applyNumberFormat="1" applyFont="1" applyBorder="1" applyAlignment="1">
      <alignment horizontal="right"/>
    </xf>
    <xf numFmtId="183" fontId="53" fillId="8" borderId="0" xfId="6" applyNumberFormat="1" applyFont="1" applyFill="1"/>
    <xf numFmtId="183" fontId="53" fillId="7" borderId="48" xfId="6" applyNumberFormat="1" applyFont="1" applyFill="1" applyBorder="1"/>
    <xf numFmtId="183" fontId="53" fillId="8" borderId="48" xfId="6" applyNumberFormat="1" applyFont="1" applyFill="1" applyBorder="1"/>
    <xf numFmtId="183" fontId="70" fillId="7" borderId="0" xfId="6" applyNumberFormat="1" applyFont="1" applyFill="1" applyAlignment="1">
      <alignment horizontal="left" indent="1"/>
    </xf>
    <xf numFmtId="183" fontId="66" fillId="7" borderId="0" xfId="6" applyNumberFormat="1" applyFont="1" applyFill="1" applyAlignment="1">
      <alignment horizontal="left" indent="3"/>
    </xf>
    <xf numFmtId="183" fontId="66" fillId="7" borderId="0" xfId="6" applyNumberFormat="1" applyFont="1" applyFill="1"/>
    <xf numFmtId="183" fontId="70" fillId="7" borderId="0" xfId="6" applyNumberFormat="1" applyFont="1" applyFill="1"/>
    <xf numFmtId="183" fontId="70" fillId="7" borderId="48" xfId="6" applyNumberFormat="1" applyFont="1" applyFill="1" applyBorder="1"/>
    <xf numFmtId="183" fontId="66" fillId="7" borderId="0" xfId="6" applyNumberFormat="1" applyFont="1" applyFill="1" applyAlignment="1">
      <alignment horizontal="right"/>
    </xf>
    <xf numFmtId="183" fontId="66" fillId="8" borderId="0" xfId="6" applyNumberFormat="1" applyFont="1" applyFill="1"/>
    <xf numFmtId="183" fontId="66" fillId="8" borderId="48" xfId="6" applyNumberFormat="1" applyFont="1" applyFill="1" applyBorder="1"/>
    <xf numFmtId="183" fontId="66" fillId="8" borderId="0" xfId="6" applyNumberFormat="1" applyFont="1" applyFill="1" applyAlignment="1">
      <alignment horizontal="right"/>
    </xf>
    <xf numFmtId="183" fontId="66" fillId="0" borderId="0" xfId="6" applyNumberFormat="1" applyFont="1"/>
    <xf numFmtId="183" fontId="65" fillId="7" borderId="0" xfId="6" applyNumberFormat="1" applyFont="1" applyFill="1" applyAlignment="1">
      <alignment horizontal="left" indent="1"/>
    </xf>
    <xf numFmtId="183" fontId="66" fillId="7" borderId="48" xfId="6" applyNumberFormat="1" applyFont="1" applyFill="1" applyBorder="1"/>
    <xf numFmtId="183" fontId="65" fillId="8" borderId="0" xfId="6" applyNumberFormat="1" applyFont="1" applyFill="1"/>
    <xf numFmtId="194" fontId="70" fillId="7" borderId="0" xfId="6" applyNumberFormat="1" applyFont="1" applyFill="1" applyAlignment="1">
      <alignment horizontal="left" indent="1"/>
    </xf>
    <xf numFmtId="183" fontId="70" fillId="8" borderId="0" xfId="6" applyNumberFormat="1" applyFont="1" applyFill="1"/>
    <xf numFmtId="193" fontId="54" fillId="7" borderId="0" xfId="6" applyNumberFormat="1" applyFont="1" applyFill="1"/>
    <xf numFmtId="193" fontId="54" fillId="7" borderId="0" xfId="6" applyNumberFormat="1" applyFont="1" applyFill="1" applyAlignment="1">
      <alignment horizontal="left" indent="3"/>
    </xf>
    <xf numFmtId="193" fontId="54" fillId="7" borderId="48" xfId="6" applyNumberFormat="1" applyFont="1" applyFill="1" applyBorder="1"/>
    <xf numFmtId="193" fontId="59" fillId="7" borderId="0" xfId="6" applyNumberFormat="1" applyFont="1" applyFill="1"/>
    <xf numFmtId="193" fontId="69" fillId="7" borderId="0" xfId="6" applyNumberFormat="1" applyFont="1" applyFill="1"/>
    <xf numFmtId="193" fontId="54" fillId="8" borderId="0" xfId="6" applyNumberFormat="1" applyFont="1" applyFill="1"/>
    <xf numFmtId="193" fontId="54" fillId="8" borderId="48" xfId="6" applyNumberFormat="1" applyFont="1" applyFill="1" applyBorder="1"/>
    <xf numFmtId="193" fontId="59" fillId="8" borderId="0" xfId="6" applyNumberFormat="1" applyFont="1" applyFill="1"/>
    <xf numFmtId="190" fontId="46" fillId="7" borderId="0" xfId="7" applyNumberFormat="1" applyFont="1" applyFill="1" applyBorder="1"/>
    <xf numFmtId="190" fontId="54" fillId="7" borderId="0" xfId="6" applyNumberFormat="1" applyFont="1" applyFill="1" applyAlignment="1">
      <alignment horizontal="left" indent="3"/>
    </xf>
    <xf numFmtId="190" fontId="53" fillId="7" borderId="0" xfId="6" applyNumberFormat="1" applyFont="1" applyFill="1"/>
    <xf numFmtId="190" fontId="53" fillId="7" borderId="48" xfId="6" applyNumberFormat="1" applyFont="1" applyFill="1" applyBorder="1"/>
    <xf numFmtId="190" fontId="54" fillId="7" borderId="0" xfId="6" applyNumberFormat="1" applyFont="1" applyFill="1"/>
    <xf numFmtId="190" fontId="54" fillId="8" borderId="0" xfId="6" applyNumberFormat="1" applyFont="1" applyFill="1"/>
    <xf numFmtId="190" fontId="53" fillId="8" borderId="0" xfId="6" applyNumberFormat="1" applyFont="1" applyFill="1"/>
    <xf numFmtId="190" fontId="53" fillId="8" borderId="48" xfId="6" applyNumberFormat="1" applyFont="1" applyFill="1" applyBorder="1"/>
    <xf numFmtId="190" fontId="53" fillId="0" borderId="0" xfId="6" applyNumberFormat="1" applyFont="1"/>
    <xf numFmtId="190" fontId="70" fillId="7" borderId="0" xfId="6" applyNumberFormat="1" applyFont="1" applyFill="1" applyAlignment="1">
      <alignment horizontal="left" indent="1"/>
    </xf>
    <xf numFmtId="190" fontId="66" fillId="7" borderId="0" xfId="6" applyNumberFormat="1" applyFont="1" applyFill="1" applyAlignment="1">
      <alignment horizontal="left" indent="3"/>
    </xf>
    <xf numFmtId="190" fontId="66" fillId="7" borderId="0" xfId="6" applyNumberFormat="1" applyFont="1" applyFill="1"/>
    <xf numFmtId="190" fontId="70" fillId="7" borderId="0" xfId="6" applyNumberFormat="1" applyFont="1" applyFill="1"/>
    <xf numFmtId="190" fontId="70" fillId="7" borderId="48" xfId="6" applyNumberFormat="1" applyFont="1" applyFill="1" applyBorder="1"/>
    <xf numFmtId="190" fontId="66" fillId="7" borderId="0" xfId="6" applyNumberFormat="1" applyFont="1" applyFill="1" applyAlignment="1">
      <alignment horizontal="right"/>
    </xf>
    <xf numFmtId="190" fontId="66" fillId="8" borderId="0" xfId="6" applyNumberFormat="1" applyFont="1" applyFill="1"/>
    <xf numFmtId="190" fontId="66" fillId="8" borderId="48" xfId="6" applyNumberFormat="1" applyFont="1" applyFill="1" applyBorder="1"/>
    <xf numFmtId="190" fontId="66" fillId="8" borderId="0" xfId="6" applyNumberFormat="1" applyFont="1" applyFill="1" applyAlignment="1">
      <alignment horizontal="right"/>
    </xf>
    <xf numFmtId="190" fontId="66" fillId="0" borderId="0" xfId="6" applyNumberFormat="1" applyFont="1"/>
    <xf numFmtId="177" fontId="60" fillId="9" borderId="0" xfId="6" applyNumberFormat="1" applyFont="1" applyFill="1" applyAlignment="1">
      <alignment horizontal="left"/>
    </xf>
    <xf numFmtId="177" fontId="60" fillId="9" borderId="0" xfId="6" applyNumberFormat="1" applyFont="1" applyFill="1" applyAlignment="1">
      <alignment horizontal="left" indent="3"/>
    </xf>
    <xf numFmtId="177" fontId="60" fillId="9" borderId="0" xfId="6" applyNumberFormat="1" applyFont="1" applyFill="1"/>
    <xf numFmtId="177" fontId="60" fillId="9" borderId="48" xfId="6" applyNumberFormat="1" applyFont="1" applyFill="1" applyBorder="1"/>
    <xf numFmtId="190" fontId="46" fillId="7" borderId="0" xfId="6" applyNumberFormat="1" applyFont="1" applyFill="1" applyAlignment="1">
      <alignment horizontal="left"/>
    </xf>
    <xf numFmtId="190" fontId="53" fillId="7" borderId="0" xfId="7" applyNumberFormat="1" applyFont="1" applyFill="1" applyBorder="1"/>
    <xf numFmtId="190" fontId="53" fillId="7" borderId="48" xfId="7" applyNumberFormat="1" applyFont="1" applyFill="1" applyBorder="1"/>
    <xf numFmtId="190" fontId="54" fillId="7" borderId="0" xfId="7" applyNumberFormat="1" applyFont="1" applyFill="1"/>
    <xf numFmtId="190" fontId="54" fillId="7" borderId="0" xfId="7" applyNumberFormat="1" applyFont="1" applyFill="1" applyBorder="1"/>
    <xf numFmtId="190" fontId="54" fillId="8" borderId="0" xfId="7" applyNumberFormat="1" applyFont="1" applyFill="1" applyBorder="1" applyAlignment="1">
      <alignment horizontal="right" indent="1"/>
    </xf>
    <xf numFmtId="190" fontId="54" fillId="8" borderId="0" xfId="7" applyNumberFormat="1" applyFont="1" applyFill="1" applyBorder="1"/>
    <xf numFmtId="190" fontId="53" fillId="8" borderId="0" xfId="7" applyNumberFormat="1" applyFont="1" applyFill="1" applyBorder="1"/>
    <xf numFmtId="190" fontId="53" fillId="8" borderId="48" xfId="7" applyNumberFormat="1" applyFont="1" applyFill="1" applyBorder="1"/>
    <xf numFmtId="190" fontId="70" fillId="7" borderId="0" xfId="7" applyNumberFormat="1" applyFont="1" applyFill="1" applyBorder="1"/>
    <xf numFmtId="190" fontId="70" fillId="7" borderId="48" xfId="7" applyNumberFormat="1" applyFont="1" applyFill="1" applyBorder="1"/>
    <xf numFmtId="183" fontId="46" fillId="7" borderId="0" xfId="6" applyNumberFormat="1" applyFont="1" applyFill="1"/>
    <xf numFmtId="183" fontId="69" fillId="7" borderId="0" xfId="6" applyNumberFormat="1" applyFont="1" applyFill="1"/>
    <xf numFmtId="183" fontId="63" fillId="7" borderId="0" xfId="6" applyNumberFormat="1" applyFont="1" applyFill="1"/>
    <xf numFmtId="190" fontId="1" fillId="7" borderId="0" xfId="7" applyNumberFormat="1" applyFont="1" applyFill="1" applyBorder="1"/>
    <xf numFmtId="190" fontId="50" fillId="7" borderId="0" xfId="6" applyNumberFormat="1" applyFont="1" applyFill="1" applyAlignment="1">
      <alignment horizontal="left" indent="3"/>
    </xf>
    <xf numFmtId="190" fontId="62" fillId="7" borderId="0" xfId="6" applyNumberFormat="1" applyFont="1" applyFill="1"/>
    <xf numFmtId="190" fontId="62" fillId="7" borderId="48" xfId="6" applyNumberFormat="1" applyFont="1" applyFill="1" applyBorder="1"/>
    <xf numFmtId="190" fontId="63" fillId="7" borderId="0" xfId="6" applyNumberFormat="1" applyFont="1" applyFill="1"/>
    <xf numFmtId="190" fontId="50" fillId="8" borderId="0" xfId="6" applyNumberFormat="1" applyFont="1" applyFill="1"/>
    <xf numFmtId="190" fontId="62" fillId="8" borderId="0" xfId="6" applyNumberFormat="1" applyFont="1" applyFill="1"/>
    <xf numFmtId="190" fontId="49" fillId="8" borderId="0" xfId="6" applyNumberFormat="1" applyFill="1"/>
    <xf numFmtId="190" fontId="49" fillId="8" borderId="48" xfId="6" applyNumberFormat="1" applyFill="1" applyBorder="1"/>
    <xf numFmtId="190" fontId="49" fillId="7" borderId="0" xfId="6" applyNumberFormat="1" applyFill="1"/>
    <xf numFmtId="190" fontId="49" fillId="0" borderId="0" xfId="6" applyNumberFormat="1"/>
    <xf numFmtId="195" fontId="51" fillId="7" borderId="0" xfId="7" applyNumberFormat="1" applyFont="1" applyFill="1" applyBorder="1"/>
    <xf numFmtId="195" fontId="50" fillId="7" borderId="0" xfId="6" applyNumberFormat="1" applyFont="1" applyFill="1" applyAlignment="1">
      <alignment horizontal="left" indent="3"/>
    </xf>
    <xf numFmtId="195" fontId="50" fillId="7" borderId="0" xfId="6" applyNumberFormat="1" applyFont="1" applyFill="1"/>
    <xf numFmtId="195" fontId="50" fillId="7" borderId="48" xfId="6" applyNumberFormat="1" applyFont="1" applyFill="1" applyBorder="1"/>
    <xf numFmtId="195" fontId="50" fillId="8" borderId="0" xfId="6" applyNumberFormat="1" applyFont="1" applyFill="1"/>
    <xf numFmtId="195" fontId="50" fillId="8" borderId="48" xfId="6" applyNumberFormat="1" applyFont="1" applyFill="1" applyBorder="1"/>
    <xf numFmtId="195" fontId="49" fillId="7" borderId="0" xfId="6" applyNumberFormat="1" applyFill="1"/>
    <xf numFmtId="195" fontId="49" fillId="0" borderId="0" xfId="6" applyNumberFormat="1"/>
    <xf numFmtId="183" fontId="51" fillId="7" borderId="0" xfId="7" applyNumberFormat="1" applyFont="1" applyFill="1"/>
    <xf numFmtId="196" fontId="46" fillId="7" borderId="0" xfId="7" applyNumberFormat="1" applyFont="1" applyFill="1" applyBorder="1"/>
    <xf numFmtId="196" fontId="50" fillId="7" borderId="0" xfId="6" applyNumberFormat="1" applyFont="1" applyFill="1" applyAlignment="1">
      <alignment horizontal="left" indent="3"/>
    </xf>
    <xf numFmtId="196" fontId="54" fillId="7" borderId="0" xfId="6" applyNumberFormat="1" applyFont="1" applyFill="1"/>
    <xf numFmtId="196" fontId="54" fillId="7" borderId="48" xfId="6" applyNumberFormat="1" applyFont="1" applyFill="1" applyBorder="1"/>
    <xf numFmtId="196" fontId="59" fillId="7" borderId="0" xfId="6" applyNumberFormat="1" applyFont="1" applyFill="1"/>
    <xf numFmtId="196" fontId="69" fillId="7" borderId="0" xfId="6" applyNumberFormat="1" applyFont="1" applyFill="1"/>
    <xf numFmtId="196" fontId="54" fillId="8" borderId="0" xfId="6" applyNumberFormat="1" applyFont="1" applyFill="1"/>
    <xf numFmtId="196" fontId="54" fillId="8" borderId="48" xfId="6" applyNumberFormat="1" applyFont="1" applyFill="1" applyBorder="1"/>
    <xf numFmtId="196" fontId="59" fillId="8" borderId="0" xfId="6" applyNumberFormat="1" applyFont="1" applyFill="1"/>
    <xf numFmtId="196" fontId="49" fillId="7" borderId="0" xfId="6" applyNumberFormat="1" applyFill="1"/>
    <xf numFmtId="196" fontId="49" fillId="0" borderId="0" xfId="6" applyNumberFormat="1"/>
    <xf numFmtId="195" fontId="58" fillId="7" borderId="0" xfId="7" applyNumberFormat="1" applyFont="1" applyFill="1" applyBorder="1"/>
    <xf numFmtId="195" fontId="54" fillId="7" borderId="0" xfId="6" applyNumberFormat="1" applyFont="1" applyFill="1"/>
    <xf numFmtId="195" fontId="54" fillId="7" borderId="48" xfId="6" applyNumberFormat="1" applyFont="1" applyFill="1" applyBorder="1"/>
    <xf numFmtId="195" fontId="54" fillId="8" borderId="0" xfId="6" applyNumberFormat="1" applyFont="1" applyFill="1"/>
    <xf numFmtId="195" fontId="54" fillId="8" borderId="48" xfId="6" applyNumberFormat="1" applyFont="1" applyFill="1" applyBorder="1"/>
    <xf numFmtId="183" fontId="51" fillId="7" borderId="0" xfId="7" applyNumberFormat="1" applyFont="1" applyFill="1" applyBorder="1"/>
    <xf numFmtId="193" fontId="41" fillId="7" borderId="0" xfId="7" applyNumberFormat="1" applyFont="1" applyFill="1" applyBorder="1" applyAlignment="1">
      <alignment horizontal="left" indent="1"/>
    </xf>
    <xf numFmtId="193" fontId="71" fillId="7" borderId="0" xfId="6" applyNumberFormat="1" applyFont="1" applyFill="1"/>
    <xf numFmtId="193" fontId="72" fillId="7" borderId="0" xfId="6" applyNumberFormat="1" applyFont="1" applyFill="1"/>
    <xf numFmtId="193" fontId="71" fillId="8" borderId="0" xfId="6" applyNumberFormat="1" applyFont="1" applyFill="1"/>
    <xf numFmtId="183" fontId="50" fillId="7" borderId="0" xfId="6" applyNumberFormat="1" applyFont="1" applyFill="1" applyAlignment="1">
      <alignment horizontal="right"/>
    </xf>
    <xf numFmtId="183" fontId="50" fillId="7" borderId="48" xfId="6" applyNumberFormat="1" applyFont="1" applyFill="1" applyBorder="1" applyAlignment="1">
      <alignment horizontal="right"/>
    </xf>
    <xf numFmtId="183" fontId="50" fillId="8" borderId="0" xfId="6" applyNumberFormat="1" applyFont="1" applyFill="1" applyAlignment="1">
      <alignment horizontal="right"/>
    </xf>
    <xf numFmtId="183" fontId="49" fillId="8" borderId="0" xfId="6" applyNumberFormat="1" applyFill="1" applyAlignment="1">
      <alignment horizontal="right"/>
    </xf>
    <xf numFmtId="183" fontId="49" fillId="8" borderId="48" xfId="6" applyNumberFormat="1" applyFill="1" applyBorder="1" applyAlignment="1">
      <alignment horizontal="right"/>
    </xf>
    <xf numFmtId="183" fontId="50" fillId="8" borderId="48" xfId="6" applyNumberFormat="1" applyFont="1" applyFill="1" applyBorder="1" applyAlignment="1">
      <alignment horizontal="right"/>
    </xf>
    <xf numFmtId="197" fontId="54" fillId="7" borderId="0" xfId="6" applyNumberFormat="1" applyFont="1" applyFill="1" applyAlignment="1">
      <alignment horizontal="right"/>
    </xf>
    <xf numFmtId="197" fontId="54" fillId="7" borderId="48" xfId="6" applyNumberFormat="1" applyFont="1" applyFill="1" applyBorder="1" applyAlignment="1">
      <alignment horizontal="right"/>
    </xf>
    <xf numFmtId="197" fontId="54" fillId="8" borderId="0" xfId="6" applyNumberFormat="1" applyFont="1" applyFill="1" applyAlignment="1">
      <alignment horizontal="right"/>
    </xf>
    <xf numFmtId="197" fontId="54" fillId="8" borderId="48" xfId="6" applyNumberFormat="1" applyFont="1" applyFill="1" applyBorder="1" applyAlignment="1">
      <alignment horizontal="right"/>
    </xf>
    <xf numFmtId="197" fontId="46" fillId="7" borderId="0" xfId="6" applyNumberFormat="1" applyFont="1" applyFill="1"/>
    <xf numFmtId="197" fontId="54" fillId="7" borderId="0" xfId="6" applyNumberFormat="1" applyFont="1" applyFill="1" applyAlignment="1">
      <alignment horizontal="left" indent="3"/>
    </xf>
    <xf numFmtId="197" fontId="54" fillId="7" borderId="0" xfId="6" applyNumberFormat="1" applyFont="1" applyFill="1"/>
    <xf numFmtId="197" fontId="54" fillId="7" borderId="48" xfId="6" applyNumberFormat="1" applyFont="1" applyFill="1" applyBorder="1"/>
    <xf numFmtId="197" fontId="53" fillId="8" borderId="0" xfId="6" applyNumberFormat="1" applyFont="1" applyFill="1" applyAlignment="1">
      <alignment horizontal="right"/>
    </xf>
    <xf numFmtId="197" fontId="53" fillId="8" borderId="48" xfId="6" applyNumberFormat="1" applyFont="1" applyFill="1" applyBorder="1" applyAlignment="1">
      <alignment horizontal="right"/>
    </xf>
    <xf numFmtId="197" fontId="53" fillId="7" borderId="0" xfId="6" applyNumberFormat="1" applyFont="1" applyFill="1"/>
    <xf numFmtId="197" fontId="53" fillId="0" borderId="0" xfId="6" applyNumberFormat="1" applyFont="1"/>
    <xf numFmtId="0" fontId="50" fillId="7" borderId="0" xfId="6" applyFont="1" applyFill="1" applyAlignment="1">
      <alignment horizontal="left" indent="3"/>
    </xf>
    <xf numFmtId="183" fontId="50" fillId="7" borderId="0" xfId="6" applyNumberFormat="1" applyFont="1" applyFill="1" applyAlignment="1">
      <alignment horizontal="left" indent="2"/>
    </xf>
    <xf numFmtId="183" fontId="50" fillId="7" borderId="52" xfId="6" applyNumberFormat="1" applyFont="1" applyFill="1" applyBorder="1" applyAlignment="1">
      <alignment horizontal="left" indent="2"/>
    </xf>
    <xf numFmtId="0" fontId="50" fillId="7" borderId="52" xfId="6" applyFont="1" applyFill="1" applyBorder="1" applyAlignment="1">
      <alignment horizontal="left" indent="3"/>
    </xf>
    <xf numFmtId="183" fontId="50" fillId="7" borderId="52" xfId="6" applyNumberFormat="1" applyFont="1" applyFill="1" applyBorder="1" applyAlignment="1">
      <alignment horizontal="right"/>
    </xf>
    <xf numFmtId="183" fontId="50" fillId="7" borderId="53" xfId="6" applyNumberFormat="1" applyFont="1" applyFill="1" applyBorder="1" applyAlignment="1">
      <alignment horizontal="right"/>
    </xf>
    <xf numFmtId="183" fontId="50" fillId="8" borderId="52" xfId="6" applyNumberFormat="1" applyFont="1" applyFill="1" applyBorder="1" applyAlignment="1">
      <alignment horizontal="right"/>
    </xf>
    <xf numFmtId="183" fontId="50" fillId="8" borderId="53" xfId="6" applyNumberFormat="1" applyFont="1" applyFill="1" applyBorder="1" applyAlignment="1">
      <alignment horizontal="right"/>
    </xf>
    <xf numFmtId="183" fontId="50" fillId="7" borderId="54" xfId="6" applyNumberFormat="1" applyFont="1" applyFill="1" applyBorder="1" applyAlignment="1">
      <alignment horizontal="left" indent="1"/>
    </xf>
    <xf numFmtId="0" fontId="50" fillId="7" borderId="54" xfId="6" applyFont="1" applyFill="1" applyBorder="1" applyAlignment="1">
      <alignment horizontal="left" indent="3"/>
    </xf>
    <xf numFmtId="183" fontId="50" fillId="7" borderId="54" xfId="6" applyNumberFormat="1" applyFont="1" applyFill="1" applyBorder="1" applyAlignment="1">
      <alignment horizontal="right"/>
    </xf>
    <xf numFmtId="183" fontId="50" fillId="7" borderId="55" xfId="6" applyNumberFormat="1" applyFont="1" applyFill="1" applyBorder="1" applyAlignment="1">
      <alignment horizontal="right"/>
    </xf>
    <xf numFmtId="183" fontId="50" fillId="8" borderId="54" xfId="6" applyNumberFormat="1" applyFont="1" applyFill="1" applyBorder="1" applyAlignment="1">
      <alignment horizontal="right"/>
    </xf>
    <xf numFmtId="183" fontId="50" fillId="8" borderId="55" xfId="6" applyNumberFormat="1" applyFont="1" applyFill="1" applyBorder="1" applyAlignment="1">
      <alignment horizontal="right"/>
    </xf>
    <xf numFmtId="183" fontId="50" fillId="7" borderId="52" xfId="6" applyNumberFormat="1" applyFont="1" applyFill="1" applyBorder="1" applyAlignment="1">
      <alignment horizontal="left" indent="1"/>
    </xf>
    <xf numFmtId="183" fontId="62" fillId="7" borderId="52" xfId="6" applyNumberFormat="1" applyFont="1" applyFill="1" applyBorder="1" applyAlignment="1">
      <alignment horizontal="right"/>
    </xf>
    <xf numFmtId="183" fontId="63" fillId="7" borderId="52" xfId="6" applyNumberFormat="1" applyFont="1" applyFill="1" applyBorder="1" applyAlignment="1">
      <alignment horizontal="right"/>
    </xf>
    <xf numFmtId="183" fontId="62" fillId="8" borderId="52" xfId="6" applyNumberFormat="1" applyFont="1" applyFill="1" applyBorder="1" applyAlignment="1">
      <alignment horizontal="right"/>
    </xf>
    <xf numFmtId="183" fontId="54" fillId="7" borderId="54" xfId="6" applyNumberFormat="1" applyFont="1" applyFill="1" applyBorder="1" applyAlignment="1">
      <alignment horizontal="left"/>
    </xf>
    <xf numFmtId="0" fontId="54" fillId="7" borderId="54" xfId="6" applyFont="1" applyFill="1" applyBorder="1" applyAlignment="1">
      <alignment horizontal="left" indent="3"/>
    </xf>
    <xf numFmtId="183" fontId="54" fillId="7" borderId="54" xfId="6" applyNumberFormat="1" applyFont="1" applyFill="1" applyBorder="1" applyAlignment="1">
      <alignment horizontal="right"/>
    </xf>
    <xf numFmtId="183" fontId="54" fillId="7" borderId="55" xfId="6" applyNumberFormat="1" applyFont="1" applyFill="1" applyBorder="1" applyAlignment="1">
      <alignment horizontal="right"/>
    </xf>
    <xf numFmtId="183" fontId="54" fillId="8" borderId="54" xfId="6" applyNumberFormat="1" applyFont="1" applyFill="1" applyBorder="1" applyAlignment="1">
      <alignment horizontal="right"/>
    </xf>
    <xf numFmtId="183" fontId="54" fillId="8" borderId="55" xfId="6" applyNumberFormat="1" applyFont="1" applyFill="1" applyBorder="1" applyAlignment="1">
      <alignment horizontal="right"/>
    </xf>
    <xf numFmtId="183" fontId="50" fillId="7" borderId="52" xfId="6" applyNumberFormat="1" applyFont="1" applyFill="1" applyBorder="1" applyAlignment="1">
      <alignment horizontal="left" indent="3"/>
    </xf>
    <xf numFmtId="183" fontId="50" fillId="7" borderId="54" xfId="6" applyNumberFormat="1" applyFont="1" applyFill="1" applyBorder="1" applyAlignment="1">
      <alignment horizontal="left" indent="2"/>
    </xf>
    <xf numFmtId="190" fontId="59" fillId="7" borderId="0" xfId="6" applyNumberFormat="1" applyFont="1" applyFill="1"/>
    <xf numFmtId="190" fontId="53" fillId="7" borderId="0" xfId="6" applyNumberFormat="1" applyFont="1" applyFill="1" applyAlignment="1">
      <alignment horizontal="right"/>
    </xf>
    <xf numFmtId="190" fontId="53" fillId="7" borderId="48" xfId="6" applyNumberFormat="1" applyFont="1" applyFill="1" applyBorder="1" applyAlignment="1">
      <alignment horizontal="right"/>
    </xf>
    <xf numFmtId="190" fontId="54" fillId="7" borderId="0" xfId="6" applyNumberFormat="1" applyFont="1" applyFill="1" applyAlignment="1">
      <alignment horizontal="right"/>
    </xf>
    <xf numFmtId="190" fontId="54" fillId="8" borderId="0" xfId="6" applyNumberFormat="1" applyFont="1" applyFill="1" applyAlignment="1">
      <alignment horizontal="right"/>
    </xf>
    <xf numFmtId="190" fontId="53" fillId="8" borderId="0" xfId="6" applyNumberFormat="1" applyFont="1" applyFill="1" applyAlignment="1">
      <alignment horizontal="right"/>
    </xf>
    <xf numFmtId="190" fontId="53" fillId="8" borderId="48" xfId="6" applyNumberFormat="1" applyFont="1" applyFill="1" applyBorder="1" applyAlignment="1">
      <alignment horizontal="right"/>
    </xf>
    <xf numFmtId="198" fontId="53" fillId="7" borderId="0" xfId="6" applyNumberFormat="1" applyFont="1" applyFill="1"/>
    <xf numFmtId="198" fontId="54" fillId="7" borderId="0" xfId="6" applyNumberFormat="1" applyFont="1" applyFill="1"/>
    <xf numFmtId="198" fontId="53" fillId="7" borderId="48" xfId="6" applyNumberFormat="1" applyFont="1" applyFill="1" applyBorder="1"/>
    <xf numFmtId="198" fontId="54" fillId="8" borderId="0" xfId="6" applyNumberFormat="1" applyFont="1" applyFill="1"/>
    <xf numFmtId="198" fontId="53" fillId="8" borderId="0" xfId="6" applyNumberFormat="1" applyFont="1" applyFill="1"/>
    <xf numFmtId="198" fontId="53" fillId="8" borderId="48" xfId="6" applyNumberFormat="1" applyFont="1" applyFill="1" applyBorder="1"/>
    <xf numFmtId="198" fontId="53" fillId="0" borderId="0" xfId="6" applyNumberFormat="1" applyFont="1"/>
    <xf numFmtId="197" fontId="51" fillId="7" borderId="0" xfId="6" applyNumberFormat="1" applyFont="1" applyFill="1"/>
    <xf numFmtId="197" fontId="50" fillId="7" borderId="0" xfId="6" applyNumberFormat="1" applyFont="1" applyFill="1" applyAlignment="1">
      <alignment horizontal="left" indent="3"/>
    </xf>
    <xf numFmtId="197" fontId="50" fillId="7" borderId="0" xfId="6" applyNumberFormat="1" applyFont="1" applyFill="1" applyAlignment="1">
      <alignment horizontal="right"/>
    </xf>
    <xf numFmtId="197" fontId="50" fillId="7" borderId="0" xfId="6" applyNumberFormat="1" applyFont="1" applyFill="1"/>
    <xf numFmtId="197" fontId="50" fillId="7" borderId="48" xfId="6" applyNumberFormat="1" applyFont="1" applyFill="1" applyBorder="1"/>
    <xf numFmtId="197" fontId="50" fillId="8" borderId="0" xfId="6" applyNumberFormat="1" applyFont="1" applyFill="1" applyAlignment="1">
      <alignment horizontal="right"/>
    </xf>
    <xf numFmtId="197" fontId="50" fillId="8" borderId="48" xfId="6" applyNumberFormat="1" applyFont="1" applyFill="1" applyBorder="1" applyAlignment="1">
      <alignment horizontal="right"/>
    </xf>
    <xf numFmtId="197" fontId="49" fillId="7" borderId="0" xfId="6" applyNumberFormat="1" applyFill="1"/>
    <xf numFmtId="197" fontId="49" fillId="0" borderId="0" xfId="6" applyNumberFormat="1"/>
    <xf numFmtId="197" fontId="1" fillId="7" borderId="0" xfId="6" applyNumberFormat="1" applyFont="1" applyFill="1"/>
    <xf numFmtId="197" fontId="49" fillId="8" borderId="0" xfId="6" applyNumberFormat="1" applyFill="1" applyAlignment="1">
      <alignment horizontal="right"/>
    </xf>
    <xf numFmtId="197" fontId="49" fillId="8" borderId="48" xfId="6" applyNumberFormat="1" applyFill="1" applyBorder="1" applyAlignment="1">
      <alignment horizontal="right"/>
    </xf>
    <xf numFmtId="193" fontId="49" fillId="7" borderId="0" xfId="6" applyNumberFormat="1" applyFill="1" applyAlignment="1">
      <alignment horizontal="left"/>
    </xf>
    <xf numFmtId="193" fontId="50" fillId="7" borderId="0" xfId="6" applyNumberFormat="1" applyFont="1" applyFill="1" applyAlignment="1">
      <alignment horizontal="left"/>
    </xf>
    <xf numFmtId="196" fontId="49" fillId="7" borderId="0" xfId="6" applyNumberFormat="1" applyFill="1" applyAlignment="1">
      <alignment horizontal="left" indent="1"/>
    </xf>
    <xf numFmtId="196" fontId="51" fillId="7" borderId="0" xfId="7" applyNumberFormat="1" applyFont="1" applyFill="1" applyBorder="1"/>
    <xf numFmtId="196" fontId="49" fillId="7" borderId="0" xfId="6" applyNumberFormat="1" applyFill="1" applyAlignment="1">
      <alignment horizontal="right"/>
    </xf>
    <xf numFmtId="196" fontId="49" fillId="7" borderId="48" xfId="6" applyNumberFormat="1" applyFill="1" applyBorder="1" applyAlignment="1">
      <alignment horizontal="right"/>
    </xf>
    <xf numFmtId="196" fontId="50" fillId="7" borderId="0" xfId="6" applyNumberFormat="1" applyFont="1" applyFill="1" applyAlignment="1">
      <alignment horizontal="right"/>
    </xf>
    <xf numFmtId="196" fontId="50" fillId="8" borderId="0" xfId="6" applyNumberFormat="1" applyFont="1" applyFill="1" applyAlignment="1">
      <alignment horizontal="right"/>
    </xf>
    <xf numFmtId="196" fontId="49" fillId="8" borderId="0" xfId="6" applyNumberFormat="1" applyFill="1" applyAlignment="1">
      <alignment horizontal="right"/>
    </xf>
    <xf numFmtId="196" fontId="49" fillId="8" borderId="48" xfId="6" applyNumberFormat="1" applyFill="1" applyBorder="1" applyAlignment="1">
      <alignment horizontal="right"/>
    </xf>
    <xf numFmtId="196" fontId="49" fillId="8" borderId="0" xfId="6" applyNumberFormat="1" applyFill="1"/>
    <xf numFmtId="196" fontId="50" fillId="8" borderId="0" xfId="6" applyNumberFormat="1" applyFont="1" applyFill="1"/>
    <xf numFmtId="190" fontId="49" fillId="7" borderId="0" xfId="6" applyNumberFormat="1" applyFill="1" applyAlignment="1">
      <alignment horizontal="left" indent="1"/>
    </xf>
    <xf numFmtId="190" fontId="51" fillId="7" borderId="0" xfId="7" applyNumberFormat="1" applyFont="1" applyFill="1" applyBorder="1"/>
    <xf numFmtId="190" fontId="49" fillId="7" borderId="0" xfId="6" applyNumberFormat="1" applyFill="1" applyAlignment="1">
      <alignment horizontal="right"/>
    </xf>
    <xf numFmtId="190" fontId="49" fillId="7" borderId="48" xfId="6" applyNumberFormat="1" applyFill="1" applyBorder="1" applyAlignment="1">
      <alignment horizontal="right"/>
    </xf>
    <xf numFmtId="190" fontId="50" fillId="7" borderId="0" xfId="6" applyNumberFormat="1" applyFont="1" applyFill="1" applyAlignment="1">
      <alignment horizontal="right"/>
    </xf>
    <xf numFmtId="190" fontId="50" fillId="8" borderId="0" xfId="6" applyNumberFormat="1" applyFont="1" applyFill="1" applyAlignment="1">
      <alignment horizontal="right"/>
    </xf>
    <xf numFmtId="190" fontId="49" fillId="8" borderId="0" xfId="6" applyNumberFormat="1" applyFill="1" applyAlignment="1">
      <alignment horizontal="right"/>
    </xf>
    <xf numFmtId="190" fontId="49" fillId="8" borderId="48" xfId="6" applyNumberFormat="1" applyFill="1" applyBorder="1" applyAlignment="1">
      <alignment horizontal="right"/>
    </xf>
    <xf numFmtId="199" fontId="49" fillId="7" borderId="0" xfId="6" applyNumberFormat="1" applyFill="1" applyAlignment="1">
      <alignment horizontal="left" indent="1"/>
    </xf>
    <xf numFmtId="199" fontId="51" fillId="7" borderId="0" xfId="7" applyNumberFormat="1" applyFont="1" applyFill="1" applyBorder="1"/>
    <xf numFmtId="199" fontId="49" fillId="7" borderId="0" xfId="6" applyNumberFormat="1" applyFill="1" applyAlignment="1">
      <alignment horizontal="right"/>
    </xf>
    <xf numFmtId="199" fontId="49" fillId="7" borderId="48" xfId="6" applyNumberFormat="1" applyFill="1" applyBorder="1" applyAlignment="1">
      <alignment horizontal="right"/>
    </xf>
    <xf numFmtId="199" fontId="50" fillId="7" borderId="0" xfId="6" applyNumberFormat="1" applyFont="1" applyFill="1" applyAlignment="1">
      <alignment horizontal="right"/>
    </xf>
    <xf numFmtId="199" fontId="50" fillId="8" borderId="0" xfId="6" applyNumberFormat="1" applyFont="1" applyFill="1" applyAlignment="1">
      <alignment horizontal="right"/>
    </xf>
    <xf numFmtId="199" fontId="49" fillId="8" borderId="0" xfId="6" applyNumberFormat="1" applyFill="1" applyAlignment="1">
      <alignment horizontal="right"/>
    </xf>
    <xf numFmtId="199" fontId="49" fillId="8" borderId="48" xfId="6" applyNumberFormat="1" applyFill="1" applyBorder="1" applyAlignment="1">
      <alignment horizontal="right"/>
    </xf>
    <xf numFmtId="199" fontId="49" fillId="8" borderId="0" xfId="6" applyNumberFormat="1" applyFill="1"/>
    <xf numFmtId="199" fontId="50" fillId="8" borderId="0" xfId="6" applyNumberFormat="1" applyFont="1" applyFill="1"/>
    <xf numFmtId="199" fontId="49" fillId="7" borderId="0" xfId="6" applyNumberFormat="1" applyFill="1"/>
    <xf numFmtId="199" fontId="49" fillId="0" borderId="0" xfId="6" applyNumberFormat="1"/>
    <xf numFmtId="183" fontId="53" fillId="7" borderId="0" xfId="6" applyNumberFormat="1" applyFont="1" applyFill="1" applyAlignment="1">
      <alignment horizontal="left" indent="1"/>
    </xf>
    <xf numFmtId="183" fontId="60" fillId="9" borderId="0" xfId="6" applyNumberFormat="1" applyFont="1" applyFill="1" applyAlignment="1">
      <alignment horizontal="left"/>
    </xf>
    <xf numFmtId="183" fontId="60" fillId="9" borderId="0" xfId="6" applyNumberFormat="1" applyFont="1" applyFill="1" applyAlignment="1">
      <alignment horizontal="left" indent="3"/>
    </xf>
    <xf numFmtId="183" fontId="60" fillId="9" borderId="48" xfId="6" applyNumberFormat="1" applyFont="1" applyFill="1" applyBorder="1"/>
    <xf numFmtId="193" fontId="53" fillId="7" borderId="48" xfId="6" applyNumberFormat="1" applyFont="1" applyFill="1" applyBorder="1"/>
    <xf numFmtId="193" fontId="53" fillId="8" borderId="0" xfId="6" applyNumberFormat="1" applyFont="1" applyFill="1"/>
    <xf numFmtId="193" fontId="53" fillId="8" borderId="48" xfId="6" applyNumberFormat="1" applyFont="1" applyFill="1" applyBorder="1"/>
    <xf numFmtId="183" fontId="67" fillId="7" borderId="0" xfId="6" applyNumberFormat="1" applyFont="1" applyFill="1" applyAlignment="1">
      <alignment horizontal="left"/>
    </xf>
    <xf numFmtId="183" fontId="68" fillId="7" borderId="0" xfId="6" applyNumberFormat="1" applyFont="1" applyFill="1" applyAlignment="1">
      <alignment horizontal="left" indent="3"/>
    </xf>
    <xf numFmtId="193" fontId="67" fillId="7" borderId="48" xfId="6" applyNumberFormat="1" applyFont="1" applyFill="1" applyBorder="1"/>
    <xf numFmtId="193" fontId="57" fillId="7" borderId="0" xfId="6" applyNumberFormat="1" applyFont="1" applyFill="1"/>
    <xf numFmtId="193" fontId="73" fillId="7" borderId="0" xfId="6" applyNumberFormat="1" applyFont="1" applyFill="1"/>
    <xf numFmtId="193" fontId="67" fillId="8" borderId="0" xfId="6" applyNumberFormat="1" applyFont="1" applyFill="1"/>
    <xf numFmtId="193" fontId="67" fillId="8" borderId="48" xfId="6" applyNumberFormat="1" applyFont="1" applyFill="1" applyBorder="1"/>
    <xf numFmtId="193" fontId="57" fillId="8" borderId="0" xfId="6" applyNumberFormat="1" applyFont="1" applyFill="1"/>
    <xf numFmtId="183" fontId="60" fillId="9" borderId="0" xfId="6" applyNumberFormat="1" applyFont="1" applyFill="1" applyAlignment="1">
      <alignment horizontal="right"/>
    </xf>
    <xf numFmtId="183" fontId="60" fillId="9" borderId="48" xfId="6" applyNumberFormat="1" applyFont="1" applyFill="1" applyBorder="1" applyAlignment="1">
      <alignment horizontal="right"/>
    </xf>
    <xf numFmtId="183" fontId="53" fillId="7" borderId="0" xfId="6" applyNumberFormat="1" applyFont="1" applyFill="1" applyAlignment="1">
      <alignment horizontal="right"/>
    </xf>
    <xf numFmtId="183" fontId="53" fillId="7" borderId="48" xfId="6" applyNumberFormat="1" applyFont="1" applyFill="1" applyBorder="1" applyAlignment="1">
      <alignment horizontal="right"/>
    </xf>
    <xf numFmtId="183" fontId="54" fillId="7" borderId="0" xfId="6" applyNumberFormat="1" applyFont="1" applyFill="1" applyAlignment="1">
      <alignment horizontal="right"/>
    </xf>
    <xf numFmtId="183" fontId="54" fillId="8" borderId="0" xfId="6" applyNumberFormat="1" applyFont="1" applyFill="1" applyAlignment="1">
      <alignment horizontal="right"/>
    </xf>
    <xf numFmtId="183" fontId="59" fillId="8" borderId="0" xfId="6" applyNumberFormat="1" applyFont="1" applyFill="1" applyAlignment="1">
      <alignment horizontal="right"/>
    </xf>
    <xf numFmtId="183" fontId="53" fillId="8" borderId="0" xfId="6" applyNumberFormat="1" applyFont="1" applyFill="1" applyAlignment="1">
      <alignment horizontal="right"/>
    </xf>
    <xf numFmtId="183" fontId="53" fillId="8" borderId="48" xfId="6" applyNumberFormat="1" applyFont="1" applyFill="1" applyBorder="1" applyAlignment="1">
      <alignment horizontal="right"/>
    </xf>
    <xf numFmtId="183" fontId="49" fillId="7" borderId="0" xfId="6" applyNumberFormat="1" applyFill="1" applyAlignment="1">
      <alignment horizontal="right"/>
    </xf>
    <xf numFmtId="183" fontId="49" fillId="7" borderId="48" xfId="6" applyNumberFormat="1" applyFill="1" applyBorder="1" applyAlignment="1">
      <alignment horizontal="right"/>
    </xf>
    <xf numFmtId="183" fontId="53" fillId="7" borderId="54" xfId="6" applyNumberFormat="1" applyFont="1" applyFill="1" applyBorder="1" applyAlignment="1">
      <alignment horizontal="left"/>
    </xf>
    <xf numFmtId="183" fontId="54" fillId="7" borderId="54" xfId="6" applyNumberFormat="1" applyFont="1" applyFill="1" applyBorder="1" applyAlignment="1">
      <alignment horizontal="left" indent="3"/>
    </xf>
    <xf numFmtId="183" fontId="53" fillId="7" borderId="54" xfId="6" applyNumberFormat="1" applyFont="1" applyFill="1" applyBorder="1" applyAlignment="1">
      <alignment horizontal="right"/>
    </xf>
    <xf numFmtId="183" fontId="53" fillId="7" borderId="55" xfId="6" applyNumberFormat="1" applyFont="1" applyFill="1" applyBorder="1" applyAlignment="1">
      <alignment horizontal="right"/>
    </xf>
    <xf numFmtId="183" fontId="53" fillId="8" borderId="54" xfId="6" applyNumberFormat="1" applyFont="1" applyFill="1" applyBorder="1" applyAlignment="1">
      <alignment horizontal="right"/>
    </xf>
    <xf numFmtId="183" fontId="53" fillId="8" borderId="55" xfId="6" applyNumberFormat="1" applyFont="1" applyFill="1" applyBorder="1" applyAlignment="1">
      <alignment horizontal="right"/>
    </xf>
    <xf numFmtId="183" fontId="65" fillId="7" borderId="0" xfId="6" applyNumberFormat="1" applyFont="1" applyFill="1" applyAlignment="1">
      <alignment horizontal="left"/>
    </xf>
    <xf numFmtId="193" fontId="65" fillId="7" borderId="0" xfId="6" applyNumberFormat="1" applyFont="1" applyFill="1" applyAlignment="1">
      <alignment horizontal="right"/>
    </xf>
    <xf numFmtId="193" fontId="65" fillId="7" borderId="48" xfId="6" applyNumberFormat="1" applyFont="1" applyFill="1" applyBorder="1" applyAlignment="1">
      <alignment horizontal="right"/>
    </xf>
    <xf numFmtId="193" fontId="71" fillId="7" borderId="0" xfId="6" applyNumberFormat="1" applyFont="1" applyFill="1" applyAlignment="1">
      <alignment horizontal="right"/>
    </xf>
    <xf numFmtId="193" fontId="72" fillId="7" borderId="0" xfId="6" applyNumberFormat="1" applyFont="1" applyFill="1" applyAlignment="1">
      <alignment horizontal="right"/>
    </xf>
    <xf numFmtId="193" fontId="65" fillId="8" borderId="48" xfId="6" applyNumberFormat="1" applyFont="1" applyFill="1" applyBorder="1" applyAlignment="1">
      <alignment horizontal="right"/>
    </xf>
    <xf numFmtId="193" fontId="71" fillId="8" borderId="0" xfId="6" applyNumberFormat="1" applyFont="1" applyFill="1" applyAlignment="1">
      <alignment horizontal="right"/>
    </xf>
    <xf numFmtId="177" fontId="53" fillId="7" borderId="0" xfId="6" applyNumberFormat="1" applyFont="1" applyFill="1" applyAlignment="1">
      <alignment horizontal="right"/>
    </xf>
    <xf numFmtId="177" fontId="53" fillId="7" borderId="48" xfId="6" applyNumberFormat="1" applyFont="1" applyFill="1" applyBorder="1" applyAlignment="1">
      <alignment horizontal="right"/>
    </xf>
    <xf numFmtId="177" fontId="54" fillId="7" borderId="0" xfId="6" applyNumberFormat="1" applyFont="1" applyFill="1" applyAlignment="1">
      <alignment horizontal="right"/>
    </xf>
    <xf numFmtId="177" fontId="54" fillId="8" borderId="0" xfId="6" applyNumberFormat="1" applyFont="1" applyFill="1" applyAlignment="1">
      <alignment horizontal="right"/>
    </xf>
    <xf numFmtId="177" fontId="53" fillId="8" borderId="0" xfId="6" applyNumberFormat="1" applyFont="1" applyFill="1" applyAlignment="1">
      <alignment horizontal="right"/>
    </xf>
    <xf numFmtId="177" fontId="53" fillId="8" borderId="48" xfId="6" applyNumberFormat="1" applyFont="1" applyFill="1" applyBorder="1" applyAlignment="1">
      <alignment horizontal="right"/>
    </xf>
    <xf numFmtId="183" fontId="59" fillId="7" borderId="0" xfId="6" applyNumberFormat="1" applyFont="1" applyFill="1" applyAlignment="1">
      <alignment horizontal="right"/>
    </xf>
    <xf numFmtId="183" fontId="54" fillId="7" borderId="48" xfId="6" applyNumberFormat="1" applyFont="1" applyFill="1" applyBorder="1" applyAlignment="1">
      <alignment horizontal="right"/>
    </xf>
    <xf numFmtId="183" fontId="54" fillId="8" borderId="48" xfId="6" applyNumberFormat="1" applyFont="1" applyFill="1" applyBorder="1" applyAlignment="1">
      <alignment horizontal="right"/>
    </xf>
    <xf numFmtId="193" fontId="66" fillId="7" borderId="0" xfId="6" applyNumberFormat="1" applyFont="1" applyFill="1" applyAlignment="1">
      <alignment horizontal="left"/>
    </xf>
    <xf numFmtId="183" fontId="62" fillId="7" borderId="0" xfId="6" applyNumberFormat="1" applyFont="1" applyFill="1" applyAlignment="1">
      <alignment horizontal="right"/>
    </xf>
    <xf numFmtId="183" fontId="63" fillId="7" borderId="0" xfId="6" applyNumberFormat="1" applyFont="1" applyFill="1" applyAlignment="1">
      <alignment horizontal="right"/>
    </xf>
    <xf numFmtId="183" fontId="62" fillId="8" borderId="0" xfId="6" applyNumberFormat="1" applyFont="1" applyFill="1" applyAlignment="1">
      <alignment horizontal="right"/>
    </xf>
    <xf numFmtId="193" fontId="66" fillId="7" borderId="0" xfId="6" applyNumberFormat="1" applyFont="1" applyFill="1" applyAlignment="1">
      <alignment horizontal="left" indent="1"/>
    </xf>
    <xf numFmtId="183" fontId="74" fillId="9" borderId="0" xfId="6" applyNumberFormat="1" applyFont="1" applyFill="1"/>
    <xf numFmtId="183" fontId="74" fillId="9" borderId="48" xfId="6" applyNumberFormat="1" applyFont="1" applyFill="1" applyBorder="1"/>
    <xf numFmtId="183" fontId="51" fillId="7" borderId="0" xfId="9" applyNumberFormat="1" applyFont="1" applyFill="1" applyAlignment="1">
      <alignment horizontal="left" indent="1"/>
    </xf>
    <xf numFmtId="183" fontId="51" fillId="7" borderId="0" xfId="9" applyNumberFormat="1" applyFont="1" applyFill="1"/>
    <xf numFmtId="183" fontId="58" fillId="7" borderId="56" xfId="9" applyNumberFormat="1" applyFont="1" applyFill="1" applyBorder="1"/>
    <xf numFmtId="177" fontId="51" fillId="7" borderId="0" xfId="9" applyNumberFormat="1" applyFont="1" applyFill="1"/>
    <xf numFmtId="200" fontId="51" fillId="7" borderId="26" xfId="9" applyNumberFormat="1" applyFont="1" applyFill="1" applyBorder="1" applyAlignment="1">
      <alignment horizontal="left" indent="1"/>
    </xf>
    <xf numFmtId="201" fontId="51" fillId="7" borderId="26" xfId="9" applyNumberFormat="1" applyFont="1" applyFill="1" applyBorder="1" applyAlignment="1">
      <alignment horizontal="left" indent="1"/>
    </xf>
    <xf numFmtId="202" fontId="51" fillId="7" borderId="26" xfId="9" applyNumberFormat="1" applyFont="1" applyFill="1" applyBorder="1" applyAlignment="1">
      <alignment horizontal="left" indent="1"/>
    </xf>
    <xf numFmtId="203" fontId="51" fillId="7" borderId="26" xfId="9" applyNumberFormat="1" applyFont="1" applyFill="1" applyBorder="1" applyAlignment="1">
      <alignment horizontal="left" indent="1"/>
    </xf>
    <xf numFmtId="204" fontId="51" fillId="7" borderId="57" xfId="9" applyNumberFormat="1" applyFont="1" applyFill="1" applyBorder="1" applyAlignment="1">
      <alignment horizontal="left" indent="1"/>
    </xf>
    <xf numFmtId="183" fontId="58" fillId="7" borderId="44" xfId="9" applyNumberFormat="1" applyFont="1" applyFill="1" applyBorder="1"/>
    <xf numFmtId="0" fontId="50" fillId="7" borderId="45" xfId="6" applyFont="1" applyFill="1" applyBorder="1"/>
    <xf numFmtId="183" fontId="51" fillId="7" borderId="43" xfId="9" applyNumberFormat="1" applyFont="1" applyFill="1" applyBorder="1" applyAlignment="1">
      <alignment horizontal="left" indent="1"/>
    </xf>
    <xf numFmtId="177" fontId="75" fillId="7" borderId="40" xfId="9" applyNumberFormat="1" applyFont="1" applyFill="1" applyBorder="1"/>
    <xf numFmtId="183" fontId="51" fillId="7" borderId="46" xfId="9" applyNumberFormat="1" applyFont="1" applyFill="1" applyBorder="1" applyAlignment="1">
      <alignment horizontal="left" indent="1"/>
    </xf>
    <xf numFmtId="177" fontId="75" fillId="7" borderId="47" xfId="9" applyNumberFormat="1" applyFont="1" applyFill="1" applyBorder="1"/>
    <xf numFmtId="183" fontId="46" fillId="7" borderId="45" xfId="9" applyNumberFormat="1" applyFont="1" applyFill="1" applyBorder="1" applyAlignment="1">
      <alignment horizontal="left"/>
    </xf>
    <xf numFmtId="183" fontId="1" fillId="7" borderId="40" xfId="9" applyNumberFormat="1" applyFill="1" applyBorder="1" applyAlignment="1">
      <alignment horizontal="left" indent="1"/>
    </xf>
    <xf numFmtId="183" fontId="51" fillId="7" borderId="47" xfId="9" applyNumberFormat="1" applyFont="1" applyFill="1" applyBorder="1" applyAlignment="1">
      <alignment horizontal="left" indent="1"/>
    </xf>
    <xf numFmtId="183" fontId="58" fillId="7" borderId="45" xfId="9" applyNumberFormat="1" applyFont="1" applyFill="1" applyBorder="1" applyAlignment="1">
      <alignment horizontal="left"/>
    </xf>
    <xf numFmtId="183" fontId="51" fillId="7" borderId="40" xfId="9" applyNumberFormat="1" applyFont="1" applyFill="1" applyBorder="1" applyAlignment="1">
      <alignment horizontal="left" indent="1"/>
    </xf>
    <xf numFmtId="183" fontId="54" fillId="7" borderId="45" xfId="6" applyNumberFormat="1" applyFont="1" applyFill="1" applyBorder="1"/>
    <xf numFmtId="183" fontId="58" fillId="7" borderId="43" xfId="9" applyNumberFormat="1" applyFont="1" applyFill="1" applyBorder="1"/>
    <xf numFmtId="183" fontId="54" fillId="7" borderId="40" xfId="6" applyNumberFormat="1" applyFont="1" applyFill="1" applyBorder="1"/>
    <xf numFmtId="183" fontId="50" fillId="7" borderId="40" xfId="6" applyNumberFormat="1" applyFont="1" applyFill="1" applyBorder="1"/>
    <xf numFmtId="205" fontId="51" fillId="7" borderId="0" xfId="7" applyNumberFormat="1" applyFont="1" applyFill="1" applyBorder="1"/>
    <xf numFmtId="183" fontId="51" fillId="7" borderId="20" xfId="9" applyNumberFormat="1" applyFont="1" applyFill="1" applyBorder="1"/>
    <xf numFmtId="183" fontId="50" fillId="7" borderId="47" xfId="6" applyNumberFormat="1" applyFont="1" applyFill="1" applyBorder="1"/>
    <xf numFmtId="206" fontId="46" fillId="7" borderId="58" xfId="9" applyNumberFormat="1" applyFont="1" applyFill="1" applyBorder="1" applyAlignment="1">
      <alignment horizontal="left"/>
    </xf>
    <xf numFmtId="183" fontId="50" fillId="7" borderId="54" xfId="6" applyNumberFormat="1" applyFont="1" applyFill="1" applyBorder="1"/>
    <xf numFmtId="183" fontId="51" fillId="7" borderId="54" xfId="9" applyNumberFormat="1" applyFont="1" applyFill="1" applyBorder="1"/>
    <xf numFmtId="183" fontId="50" fillId="7" borderId="59" xfId="6" applyNumberFormat="1" applyFont="1" applyFill="1" applyBorder="1"/>
    <xf numFmtId="206" fontId="1" fillId="7" borderId="60" xfId="9" applyNumberFormat="1" applyFill="1" applyBorder="1" applyAlignment="1">
      <alignment horizontal="left"/>
    </xf>
    <xf numFmtId="17" fontId="49" fillId="7" borderId="0" xfId="6" applyNumberFormat="1" applyFill="1"/>
    <xf numFmtId="17" fontId="50" fillId="7" borderId="0" xfId="6" applyNumberFormat="1" applyFont="1" applyFill="1"/>
    <xf numFmtId="17" fontId="51" fillId="7" borderId="0" xfId="9" applyNumberFormat="1" applyFont="1" applyFill="1"/>
    <xf numFmtId="17" fontId="50" fillId="7" borderId="61" xfId="6" applyNumberFormat="1" applyFont="1" applyFill="1" applyBorder="1"/>
    <xf numFmtId="207" fontId="1" fillId="7" borderId="60" xfId="9" applyNumberFormat="1" applyFill="1" applyBorder="1" applyAlignment="1">
      <alignment horizontal="left" indent="1"/>
    </xf>
    <xf numFmtId="207" fontId="50" fillId="7" borderId="0" xfId="6" applyNumberFormat="1" applyFont="1" applyFill="1"/>
    <xf numFmtId="207" fontId="49" fillId="7" borderId="0" xfId="6" applyNumberFormat="1" applyFill="1"/>
    <xf numFmtId="207" fontId="51" fillId="7" borderId="0" xfId="9" applyNumberFormat="1" applyFont="1" applyFill="1"/>
    <xf numFmtId="207" fontId="50" fillId="7" borderId="61" xfId="6" applyNumberFormat="1" applyFont="1" applyFill="1" applyBorder="1"/>
    <xf numFmtId="207" fontId="49" fillId="0" borderId="0" xfId="6" applyNumberFormat="1"/>
    <xf numFmtId="207" fontId="1" fillId="7" borderId="60" xfId="9" applyNumberFormat="1" applyFill="1" applyBorder="1" applyAlignment="1">
      <alignment horizontal="left" indent="2"/>
    </xf>
    <xf numFmtId="207" fontId="62" fillId="7" borderId="0" xfId="6" applyNumberFormat="1" applyFont="1" applyFill="1"/>
    <xf numFmtId="207" fontId="75" fillId="7" borderId="0" xfId="9" applyNumberFormat="1" applyFont="1" applyFill="1"/>
    <xf numFmtId="207" fontId="51" fillId="7" borderId="60" xfId="9" applyNumberFormat="1" applyFont="1" applyFill="1" applyBorder="1" applyAlignment="1">
      <alignment horizontal="left" indent="1"/>
    </xf>
    <xf numFmtId="183" fontId="51" fillId="7" borderId="60" xfId="9" applyNumberFormat="1" applyFont="1" applyFill="1" applyBorder="1" applyAlignment="1">
      <alignment horizontal="left" indent="1"/>
    </xf>
    <xf numFmtId="183" fontId="50" fillId="7" borderId="61" xfId="6" applyNumberFormat="1" applyFont="1" applyFill="1" applyBorder="1"/>
    <xf numFmtId="199" fontId="1" fillId="7" borderId="60" xfId="9" applyNumberFormat="1" applyFill="1" applyBorder="1" applyAlignment="1">
      <alignment horizontal="left" indent="1"/>
    </xf>
    <xf numFmtId="199" fontId="50" fillId="7" borderId="0" xfId="6" applyNumberFormat="1" applyFont="1" applyFill="1"/>
    <xf numFmtId="199" fontId="51" fillId="7" borderId="0" xfId="9" applyNumberFormat="1" applyFont="1" applyFill="1"/>
    <xf numFmtId="199" fontId="50" fillId="7" borderId="61" xfId="6" applyNumberFormat="1" applyFont="1" applyFill="1" applyBorder="1"/>
    <xf numFmtId="199" fontId="1" fillId="7" borderId="60" xfId="9" applyNumberFormat="1" applyFill="1" applyBorder="1" applyAlignment="1">
      <alignment horizontal="left" indent="2"/>
    </xf>
    <xf numFmtId="199" fontId="62" fillId="7" borderId="0" xfId="6" applyNumberFormat="1" applyFont="1" applyFill="1"/>
    <xf numFmtId="199" fontId="75" fillId="7" borderId="0" xfId="9" applyNumberFormat="1" applyFont="1" applyFill="1"/>
    <xf numFmtId="208" fontId="50" fillId="7" borderId="0" xfId="6" applyNumberFormat="1" applyFont="1" applyFill="1"/>
    <xf numFmtId="208" fontId="51" fillId="7" borderId="0" xfId="9" applyNumberFormat="1" applyFont="1" applyFill="1"/>
    <xf numFmtId="208" fontId="50" fillId="7" borderId="61" xfId="6" applyNumberFormat="1" applyFont="1" applyFill="1" applyBorder="1"/>
    <xf numFmtId="183" fontId="51" fillId="7" borderId="62" xfId="9" applyNumberFormat="1" applyFont="1" applyFill="1" applyBorder="1" applyAlignment="1">
      <alignment horizontal="left" indent="1"/>
    </xf>
    <xf numFmtId="199" fontId="50" fillId="7" borderId="20" xfId="6" applyNumberFormat="1" applyFont="1" applyFill="1" applyBorder="1"/>
    <xf numFmtId="199" fontId="51" fillId="7" borderId="20" xfId="9" applyNumberFormat="1" applyFont="1" applyFill="1" applyBorder="1"/>
    <xf numFmtId="199" fontId="50" fillId="7" borderId="63" xfId="6" applyNumberFormat="1" applyFont="1" applyFill="1" applyBorder="1"/>
    <xf numFmtId="183" fontId="53" fillId="7" borderId="54" xfId="6" applyNumberFormat="1" applyFont="1" applyFill="1" applyBorder="1"/>
    <xf numFmtId="209" fontId="49" fillId="7" borderId="0" xfId="6" applyNumberFormat="1" applyFill="1" applyAlignment="1">
      <alignment horizontal="left" indent="1"/>
    </xf>
    <xf numFmtId="209" fontId="50" fillId="7" borderId="0" xfId="6" applyNumberFormat="1" applyFont="1" applyFill="1"/>
    <xf numFmtId="209" fontId="49" fillId="7" borderId="0" xfId="6" applyNumberFormat="1" applyFill="1"/>
    <xf numFmtId="209" fontId="49" fillId="0" borderId="0" xfId="6" applyNumberFormat="1"/>
    <xf numFmtId="210" fontId="50" fillId="7" borderId="0" xfId="6" applyNumberFormat="1" applyFont="1" applyFill="1"/>
    <xf numFmtId="209" fontId="62" fillId="7" borderId="0" xfId="6" applyNumberFormat="1" applyFont="1" applyFill="1"/>
    <xf numFmtId="177" fontId="49" fillId="7" borderId="0" xfId="6" applyNumberFormat="1" applyFill="1" applyAlignment="1">
      <alignment horizontal="left" indent="1"/>
    </xf>
    <xf numFmtId="177" fontId="49" fillId="7" borderId="52" xfId="6" applyNumberFormat="1" applyFill="1" applyBorder="1" applyAlignment="1">
      <alignment horizontal="left" indent="1"/>
    </xf>
    <xf numFmtId="177" fontId="49" fillId="7" borderId="52" xfId="6" applyNumberFormat="1" applyFill="1" applyBorder="1"/>
    <xf numFmtId="0" fontId="61" fillId="9" borderId="0" xfId="6" applyFont="1" applyFill="1"/>
    <xf numFmtId="0" fontId="80" fillId="0" borderId="0" xfId="0" applyFont="1"/>
    <xf numFmtId="14" fontId="81" fillId="0" borderId="0" xfId="0" applyNumberFormat="1" applyFont="1"/>
    <xf numFmtId="0" fontId="81" fillId="0" borderId="0" xfId="0" applyFont="1"/>
    <xf numFmtId="14" fontId="81" fillId="0" borderId="0" xfId="0" applyNumberFormat="1" applyFont="1" applyAlignment="1">
      <alignment horizontal="center"/>
    </xf>
    <xf numFmtId="0" fontId="82" fillId="0" borderId="0" xfId="0" applyFont="1"/>
    <xf numFmtId="0" fontId="83" fillId="0" borderId="0" xfId="0" applyFont="1"/>
    <xf numFmtId="0" fontId="84" fillId="0" borderId="0" xfId="0" applyFont="1"/>
    <xf numFmtId="14" fontId="84" fillId="0" borderId="0" xfId="0" applyNumberFormat="1" applyFont="1" applyAlignment="1">
      <alignment horizontal="center"/>
    </xf>
    <xf numFmtId="14" fontId="85" fillId="0" borderId="0" xfId="0" applyNumberFormat="1" applyFont="1" applyAlignment="1">
      <alignment horizontal="center"/>
    </xf>
    <xf numFmtId="0" fontId="86" fillId="0" borderId="0" xfId="0" applyFont="1"/>
    <xf numFmtId="0" fontId="84" fillId="0" borderId="20" xfId="0" applyFont="1" applyBorder="1"/>
    <xf numFmtId="0" fontId="84" fillId="0" borderId="0" xfId="0" applyFont="1" applyAlignment="1">
      <alignment horizontal="center"/>
    </xf>
    <xf numFmtId="0" fontId="84" fillId="0" borderId="10" xfId="0" applyFont="1" applyBorder="1"/>
    <xf numFmtId="0" fontId="84" fillId="0" borderId="10" xfId="0" applyFont="1" applyBorder="1" applyAlignment="1">
      <alignment horizontal="center"/>
    </xf>
    <xf numFmtId="0" fontId="87" fillId="0" borderId="0" xfId="0" applyFont="1" applyAlignment="1">
      <alignment horizontal="centerContinuous"/>
    </xf>
    <xf numFmtId="0" fontId="88" fillId="0" borderId="0" xfId="0" applyFont="1"/>
    <xf numFmtId="0" fontId="89" fillId="0" borderId="0" xfId="0" applyFont="1"/>
    <xf numFmtId="0" fontId="86" fillId="0" borderId="27" xfId="0" applyFont="1" applyBorder="1"/>
    <xf numFmtId="168" fontId="90" fillId="0" borderId="0" xfId="0" applyNumberFormat="1" applyFont="1" applyAlignment="1">
      <alignment horizontal="right" vertical="top" wrapText="1"/>
    </xf>
    <xf numFmtId="168" fontId="90" fillId="0" borderId="43" xfId="0" applyNumberFormat="1" applyFont="1" applyBorder="1" applyAlignment="1">
      <alignment horizontal="right" vertical="top" wrapText="1"/>
    </xf>
    <xf numFmtId="168" fontId="90" fillId="0" borderId="40" xfId="0" applyNumberFormat="1" applyFont="1" applyBorder="1" applyAlignment="1">
      <alignment horizontal="right" vertical="top" wrapText="1"/>
    </xf>
    <xf numFmtId="175" fontId="85" fillId="0" borderId="0" xfId="0" applyNumberFormat="1" applyFont="1" applyAlignment="1">
      <alignment horizontal="left" indent="1"/>
    </xf>
    <xf numFmtId="175" fontId="85" fillId="0" borderId="0" xfId="0" applyNumberFormat="1" applyFont="1"/>
    <xf numFmtId="175" fontId="91" fillId="0" borderId="0" xfId="0" applyNumberFormat="1" applyFont="1" applyAlignment="1">
      <alignment horizontal="right" vertical="top" wrapText="1"/>
    </xf>
    <xf numFmtId="175" fontId="85" fillId="0" borderId="43" xfId="0" applyNumberFormat="1" applyFont="1" applyBorder="1"/>
    <xf numFmtId="175" fontId="85" fillId="0" borderId="40" xfId="0" applyNumberFormat="1" applyFont="1" applyBorder="1"/>
    <xf numFmtId="168" fontId="92" fillId="0" borderId="0" xfId="0" applyNumberFormat="1" applyFont="1" applyAlignment="1">
      <alignment horizontal="right" vertical="top" wrapText="1"/>
    </xf>
    <xf numFmtId="168" fontId="92" fillId="0" borderId="43" xfId="0" applyNumberFormat="1" applyFont="1" applyBorder="1" applyAlignment="1">
      <alignment horizontal="right" vertical="top" wrapText="1"/>
    </xf>
    <xf numFmtId="168" fontId="92" fillId="0" borderId="40" xfId="0" applyNumberFormat="1" applyFont="1" applyBorder="1" applyAlignment="1">
      <alignment horizontal="right" vertical="top" wrapText="1"/>
    </xf>
    <xf numFmtId="0" fontId="84" fillId="0" borderId="0" xfId="0" applyFont="1" applyAlignment="1">
      <alignment horizontal="left" indent="1"/>
    </xf>
    <xf numFmtId="175" fontId="85" fillId="0" borderId="0" xfId="0" applyNumberFormat="1" applyFont="1" applyAlignment="1">
      <alignment horizontal="left" indent="2"/>
    </xf>
    <xf numFmtId="0" fontId="84" fillId="0" borderId="0" xfId="0" applyFont="1" applyAlignment="1">
      <alignment horizontal="left"/>
    </xf>
    <xf numFmtId="0" fontId="86" fillId="0" borderId="0" xfId="0" applyFont="1" applyAlignment="1">
      <alignment horizontal="left" indent="1"/>
    </xf>
    <xf numFmtId="168" fontId="93" fillId="0" borderId="0" xfId="0" applyNumberFormat="1" applyFont="1" applyAlignment="1">
      <alignment horizontal="right" vertical="top" wrapText="1"/>
    </xf>
    <xf numFmtId="168" fontId="93" fillId="0" borderId="43" xfId="0" applyNumberFormat="1" applyFont="1" applyBorder="1" applyAlignment="1">
      <alignment horizontal="right" vertical="top" wrapText="1"/>
    </xf>
    <xf numFmtId="168" fontId="93" fillId="0" borderId="40" xfId="0" applyNumberFormat="1" applyFont="1" applyBorder="1" applyAlignment="1">
      <alignment horizontal="right" vertical="top" wrapText="1"/>
    </xf>
    <xf numFmtId="0" fontId="84" fillId="0" borderId="43" xfId="0" applyFont="1" applyBorder="1"/>
    <xf numFmtId="0" fontId="84" fillId="0" borderId="40" xfId="0" applyFont="1" applyBorder="1"/>
    <xf numFmtId="0" fontId="88" fillId="0" borderId="0" xfId="0" applyFont="1" applyAlignment="1">
      <alignment horizontal="left" indent="1"/>
    </xf>
    <xf numFmtId="168" fontId="84" fillId="0" borderId="0" xfId="0" applyNumberFormat="1" applyFont="1"/>
    <xf numFmtId="168" fontId="84" fillId="0" borderId="43" xfId="0" applyNumberFormat="1" applyFont="1" applyBorder="1"/>
    <xf numFmtId="168" fontId="84" fillId="0" borderId="40" xfId="0" applyNumberFormat="1" applyFont="1" applyBorder="1"/>
    <xf numFmtId="0" fontId="94" fillId="0" borderId="0" xfId="0" applyFont="1" applyAlignment="1">
      <alignment horizontal="left" indent="2"/>
    </xf>
    <xf numFmtId="0" fontId="85" fillId="0" borderId="0" xfId="0" applyFont="1" applyAlignment="1">
      <alignment horizontal="left" indent="2"/>
    </xf>
    <xf numFmtId="0" fontId="85" fillId="0" borderId="0" xfId="0" applyFont="1"/>
    <xf numFmtId="0" fontId="84" fillId="0" borderId="0" xfId="0" applyFont="1" applyAlignment="1">
      <alignment horizontal="left" indent="2"/>
    </xf>
    <xf numFmtId="175" fontId="84" fillId="0" borderId="0" xfId="0" applyNumberFormat="1" applyFont="1"/>
    <xf numFmtId="0" fontId="85" fillId="0" borderId="43" xfId="0" applyFont="1" applyBorder="1"/>
    <xf numFmtId="0" fontId="85" fillId="0" borderId="40" xfId="0" applyFont="1" applyBorder="1"/>
    <xf numFmtId="168" fontId="95" fillId="0" borderId="0" xfId="0" applyNumberFormat="1" applyFont="1" applyAlignment="1">
      <alignment horizontal="right" vertical="top" wrapText="1"/>
    </xf>
    <xf numFmtId="168" fontId="95" fillId="0" borderId="43" xfId="0" applyNumberFormat="1" applyFont="1" applyBorder="1" applyAlignment="1">
      <alignment horizontal="right" vertical="top" wrapText="1"/>
    </xf>
    <xf numFmtId="168" fontId="95" fillId="0" borderId="40" xfId="0" applyNumberFormat="1" applyFont="1" applyBorder="1" applyAlignment="1">
      <alignment horizontal="right" vertical="top" wrapText="1"/>
    </xf>
    <xf numFmtId="0" fontId="86" fillId="0" borderId="0" xfId="0" applyFont="1" applyAlignment="1">
      <alignment horizontal="left" indent="2"/>
    </xf>
    <xf numFmtId="177" fontId="92" fillId="0" borderId="0" xfId="0" applyNumberFormat="1" applyFont="1" applyAlignment="1">
      <alignment horizontal="right" vertical="top" wrapText="1"/>
    </xf>
    <xf numFmtId="177" fontId="92" fillId="0" borderId="43" xfId="0" applyNumberFormat="1" applyFont="1" applyBorder="1" applyAlignment="1">
      <alignment horizontal="right" vertical="top" wrapText="1"/>
    </xf>
    <xf numFmtId="168" fontId="97" fillId="0" borderId="40" xfId="0" applyNumberFormat="1" applyFont="1" applyBorder="1" applyAlignment="1">
      <alignment horizontal="right" vertical="top" wrapText="1"/>
    </xf>
    <xf numFmtId="168" fontId="97" fillId="0" borderId="0" xfId="0" applyNumberFormat="1" applyFont="1" applyAlignment="1">
      <alignment horizontal="right" vertical="top" wrapText="1"/>
    </xf>
    <xf numFmtId="177" fontId="97" fillId="0" borderId="0" xfId="0" applyNumberFormat="1" applyFont="1" applyAlignment="1">
      <alignment horizontal="right" vertical="top" wrapText="1"/>
    </xf>
    <xf numFmtId="168" fontId="96" fillId="0" borderId="0" xfId="0" applyNumberFormat="1" applyFont="1" applyAlignment="1">
      <alignment horizontal="right" vertical="top" wrapText="1"/>
    </xf>
    <xf numFmtId="175" fontId="86" fillId="0" borderId="0" xfId="2" applyNumberFormat="1" applyFont="1" applyBorder="1"/>
    <xf numFmtId="175" fontId="86" fillId="0" borderId="0" xfId="2" applyNumberFormat="1" applyFont="1"/>
    <xf numFmtId="175" fontId="86" fillId="0" borderId="43" xfId="2" applyNumberFormat="1" applyFont="1" applyBorder="1"/>
    <xf numFmtId="175" fontId="86" fillId="0" borderId="40" xfId="2" applyNumberFormat="1" applyFont="1" applyBorder="1"/>
    <xf numFmtId="43" fontId="84" fillId="0" borderId="0" xfId="0" applyNumberFormat="1" applyFont="1"/>
    <xf numFmtId="10" fontId="84" fillId="0" borderId="0" xfId="0" applyNumberFormat="1" applyFont="1"/>
    <xf numFmtId="185" fontId="84" fillId="0" borderId="0" xfId="0" applyNumberFormat="1" applyFont="1"/>
    <xf numFmtId="185" fontId="98" fillId="0" borderId="0" xfId="0" applyNumberFormat="1" applyFont="1" applyAlignment="1">
      <alignment horizontal="right" vertical="top" wrapText="1"/>
    </xf>
    <xf numFmtId="185" fontId="90" fillId="0" borderId="0" xfId="0" applyNumberFormat="1" applyFont="1" applyAlignment="1">
      <alignment horizontal="right" vertical="top" wrapText="1"/>
    </xf>
    <xf numFmtId="185" fontId="90" fillId="0" borderId="43" xfId="0" applyNumberFormat="1" applyFont="1" applyBorder="1" applyAlignment="1">
      <alignment horizontal="right" vertical="top" wrapText="1"/>
    </xf>
    <xf numFmtId="185" fontId="90" fillId="0" borderId="40" xfId="0" applyNumberFormat="1" applyFont="1" applyBorder="1" applyAlignment="1">
      <alignment horizontal="right" vertical="top" wrapText="1"/>
    </xf>
    <xf numFmtId="184" fontId="84" fillId="0" borderId="0" xfId="0" applyNumberFormat="1" applyFont="1"/>
    <xf numFmtId="184" fontId="84" fillId="0" borderId="40" xfId="0" applyNumberFormat="1" applyFont="1" applyBorder="1"/>
    <xf numFmtId="0" fontId="86" fillId="0" borderId="44" xfId="0" applyFont="1" applyBorder="1"/>
    <xf numFmtId="0" fontId="86" fillId="0" borderId="10" xfId="0" applyFont="1" applyBorder="1"/>
    <xf numFmtId="168" fontId="93" fillId="0" borderId="10" xfId="0" applyNumberFormat="1" applyFont="1" applyBorder="1" applyAlignment="1">
      <alignment horizontal="right" vertical="top" wrapText="1"/>
    </xf>
    <xf numFmtId="168" fontId="93" fillId="0" borderId="44" xfId="0" applyNumberFormat="1" applyFont="1" applyBorder="1" applyAlignment="1">
      <alignment horizontal="right" vertical="top" wrapText="1"/>
    </xf>
    <xf numFmtId="168" fontId="93" fillId="0" borderId="45" xfId="0" applyNumberFormat="1" applyFont="1" applyBorder="1" applyAlignment="1">
      <alignment horizontal="right" vertical="top" wrapText="1"/>
    </xf>
    <xf numFmtId="0" fontId="84" fillId="0" borderId="46" xfId="0" applyFont="1" applyBorder="1"/>
    <xf numFmtId="168" fontId="90" fillId="0" borderId="20" xfId="0" applyNumberFormat="1" applyFont="1" applyBorder="1" applyAlignment="1">
      <alignment horizontal="right" vertical="top" wrapText="1"/>
    </xf>
    <xf numFmtId="168" fontId="90" fillId="0" borderId="46" xfId="0" applyNumberFormat="1" applyFont="1" applyBorder="1" applyAlignment="1">
      <alignment horizontal="right" vertical="top" wrapText="1"/>
    </xf>
    <xf numFmtId="168" fontId="90" fillId="0" borderId="47" xfId="0" applyNumberFormat="1" applyFont="1" applyBorder="1" applyAlignment="1">
      <alignment horizontal="right" vertical="top" wrapText="1"/>
    </xf>
    <xf numFmtId="177" fontId="90" fillId="0" borderId="46" xfId="1" applyNumberFormat="1" applyFont="1" applyBorder="1" applyAlignment="1">
      <alignment horizontal="right" vertical="top" wrapText="1"/>
    </xf>
    <xf numFmtId="177" fontId="90" fillId="0" borderId="20" xfId="1" applyNumberFormat="1" applyFont="1" applyBorder="1" applyAlignment="1">
      <alignment horizontal="right" vertical="top" wrapText="1"/>
    </xf>
    <xf numFmtId="177" fontId="90" fillId="0" borderId="47" xfId="1" applyNumberFormat="1" applyFont="1" applyBorder="1" applyAlignment="1">
      <alignment horizontal="right" vertical="top" wrapText="1"/>
    </xf>
    <xf numFmtId="2" fontId="84" fillId="0" borderId="0" xfId="0" applyNumberFormat="1" applyFont="1"/>
    <xf numFmtId="1" fontId="84" fillId="0" borderId="40" xfId="0" applyNumberFormat="1" applyFont="1" applyBorder="1"/>
    <xf numFmtId="177" fontId="84" fillId="0" borderId="0" xfId="1" applyNumberFormat="1" applyFont="1" applyBorder="1"/>
    <xf numFmtId="177" fontId="84" fillId="0" borderId="40" xfId="1" applyNumberFormat="1" applyFont="1" applyBorder="1"/>
    <xf numFmtId="177" fontId="92" fillId="0" borderId="0" xfId="1" applyNumberFormat="1" applyFont="1" applyBorder="1" applyAlignment="1">
      <alignment horizontal="right" vertical="top" wrapText="1"/>
    </xf>
    <xf numFmtId="177" fontId="92" fillId="0" borderId="40" xfId="1" applyNumberFormat="1" applyFont="1" applyBorder="1" applyAlignment="1">
      <alignment horizontal="right" vertical="top" wrapText="1"/>
    </xf>
    <xf numFmtId="177" fontId="93" fillId="0" borderId="0" xfId="1" applyNumberFormat="1" applyFont="1" applyBorder="1" applyAlignment="1">
      <alignment horizontal="right" vertical="top" wrapText="1"/>
    </xf>
    <xf numFmtId="177" fontId="93" fillId="0" borderId="40" xfId="1" applyNumberFormat="1" applyFont="1" applyBorder="1" applyAlignment="1">
      <alignment horizontal="right" vertical="top" wrapText="1"/>
    </xf>
    <xf numFmtId="0" fontId="85" fillId="0" borderId="0" xfId="0" applyFont="1" applyAlignment="1">
      <alignment horizontal="right"/>
    </xf>
    <xf numFmtId="0" fontId="85" fillId="0" borderId="43" xfId="0" applyFont="1" applyBorder="1" applyAlignment="1">
      <alignment horizontal="right"/>
    </xf>
    <xf numFmtId="0" fontId="85" fillId="0" borderId="40" xfId="0" applyFont="1" applyBorder="1" applyAlignment="1">
      <alignment horizontal="right"/>
    </xf>
    <xf numFmtId="0" fontId="86" fillId="0" borderId="43" xfId="0" applyFont="1" applyBorder="1"/>
    <xf numFmtId="0" fontId="86" fillId="0" borderId="40" xfId="0" applyFont="1" applyBorder="1"/>
    <xf numFmtId="168" fontId="99" fillId="0" borderId="0" xfId="0" applyNumberFormat="1" applyFont="1" applyAlignment="1">
      <alignment horizontal="right" vertical="top" wrapText="1"/>
    </xf>
    <xf numFmtId="168" fontId="99" fillId="0" borderId="43" xfId="0" applyNumberFormat="1" applyFont="1" applyBorder="1" applyAlignment="1">
      <alignment horizontal="right" vertical="top" wrapText="1"/>
    </xf>
    <xf numFmtId="168" fontId="99" fillId="0" borderId="40" xfId="0" applyNumberFormat="1" applyFont="1" applyBorder="1" applyAlignment="1">
      <alignment horizontal="right" vertical="top" wrapText="1"/>
    </xf>
    <xf numFmtId="0" fontId="100" fillId="0" borderId="0" xfId="0" applyFont="1"/>
    <xf numFmtId="177" fontId="93" fillId="0" borderId="0" xfId="1" applyNumberFormat="1" applyFont="1" applyAlignment="1">
      <alignment horizontal="right" vertical="top" wrapText="1"/>
    </xf>
    <xf numFmtId="0" fontId="84" fillId="6" borderId="0" xfId="0" applyFont="1" applyFill="1"/>
    <xf numFmtId="184" fontId="86" fillId="0" borderId="0" xfId="0" applyNumberFormat="1" applyFont="1"/>
    <xf numFmtId="184" fontId="86" fillId="0" borderId="43" xfId="0" applyNumberFormat="1" applyFont="1" applyBorder="1"/>
    <xf numFmtId="184" fontId="86" fillId="0" borderId="40" xfId="0" applyNumberFormat="1" applyFont="1" applyBorder="1"/>
    <xf numFmtId="0" fontId="101" fillId="0" borderId="10" xfId="0" applyFont="1" applyBorder="1"/>
    <xf numFmtId="0" fontId="102" fillId="0" borderId="0" xfId="0" applyFont="1" applyAlignment="1">
      <alignment horizontal="right" vertical="top"/>
    </xf>
    <xf numFmtId="0" fontId="102" fillId="0" borderId="43" xfId="0" applyFont="1" applyBorder="1" applyAlignment="1">
      <alignment horizontal="right" vertical="top"/>
    </xf>
    <xf numFmtId="0" fontId="102" fillId="0" borderId="40" xfId="0" applyFont="1" applyBorder="1" applyAlignment="1">
      <alignment horizontal="right" vertical="top"/>
    </xf>
    <xf numFmtId="0" fontId="103" fillId="0" borderId="43" xfId="0" applyFont="1" applyBorder="1" applyAlignment="1">
      <alignment horizontal="right"/>
    </xf>
    <xf numFmtId="0" fontId="103" fillId="0" borderId="40" xfId="0" applyFont="1" applyBorder="1" applyAlignment="1">
      <alignment horizontal="right"/>
    </xf>
    <xf numFmtId="0" fontId="103" fillId="0" borderId="0" xfId="0" applyFont="1" applyAlignment="1">
      <alignment horizontal="right"/>
    </xf>
    <xf numFmtId="177" fontId="84" fillId="0" borderId="0" xfId="1" applyNumberFormat="1" applyFont="1"/>
    <xf numFmtId="0" fontId="88" fillId="0" borderId="40" xfId="0" applyFont="1" applyBorder="1"/>
    <xf numFmtId="177" fontId="88" fillId="0" borderId="0" xfId="1" applyNumberFormat="1" applyFont="1"/>
    <xf numFmtId="14" fontId="82" fillId="0" borderId="0" xfId="0" applyNumberFormat="1" applyFont="1"/>
    <xf numFmtId="0" fontId="104" fillId="0" borderId="0" xfId="0" applyFont="1"/>
    <xf numFmtId="0" fontId="105" fillId="0" borderId="10" xfId="0" applyFont="1" applyBorder="1"/>
    <xf numFmtId="0" fontId="104" fillId="0" borderId="10" xfId="0" applyFont="1" applyBorder="1"/>
    <xf numFmtId="0" fontId="83" fillId="0" borderId="10" xfId="0" applyFont="1" applyBorder="1"/>
    <xf numFmtId="0" fontId="106" fillId="0" borderId="10" xfId="0" applyFont="1" applyBorder="1"/>
    <xf numFmtId="0" fontId="107" fillId="0" borderId="0" xfId="0" applyFont="1" applyAlignment="1">
      <alignment horizontal="centerContinuous"/>
    </xf>
    <xf numFmtId="0" fontId="83" fillId="0" borderId="0" xfId="0" applyFont="1" applyAlignment="1">
      <alignment horizontal="right"/>
    </xf>
    <xf numFmtId="0" fontId="107" fillId="0" borderId="30" xfId="0" applyFont="1" applyBorder="1" applyAlignment="1">
      <alignment horizontal="centerContinuous"/>
    </xf>
    <xf numFmtId="0" fontId="107" fillId="0" borderId="31" xfId="0" applyFont="1" applyBorder="1" applyAlignment="1">
      <alignment horizontal="centerContinuous"/>
    </xf>
    <xf numFmtId="0" fontId="107" fillId="0" borderId="32" xfId="0" applyFont="1" applyBorder="1" applyAlignment="1">
      <alignment horizontal="centerContinuous"/>
    </xf>
    <xf numFmtId="0" fontId="107" fillId="0" borderId="37" xfId="0" applyFont="1" applyBorder="1" applyAlignment="1">
      <alignment horizontal="centerContinuous"/>
    </xf>
    <xf numFmtId="0" fontId="108" fillId="0" borderId="0" xfId="0" applyFont="1" applyAlignment="1">
      <alignment horizontal="right"/>
    </xf>
    <xf numFmtId="0" fontId="108" fillId="0" borderId="43" xfId="0" applyFont="1" applyBorder="1" applyAlignment="1">
      <alignment horizontal="right"/>
    </xf>
    <xf numFmtId="0" fontId="108" fillId="0" borderId="40" xfId="0" applyFont="1" applyBorder="1" applyAlignment="1">
      <alignment horizontal="right"/>
    </xf>
    <xf numFmtId="0" fontId="108" fillId="0" borderId="64" xfId="0" applyFont="1" applyBorder="1" applyAlignment="1">
      <alignment horizontal="right"/>
    </xf>
    <xf numFmtId="0" fontId="104" fillId="0" borderId="33" xfId="0" applyFont="1" applyBorder="1" applyAlignment="1">
      <alignment horizontal="center"/>
    </xf>
    <xf numFmtId="0" fontId="104" fillId="0" borderId="0" xfId="0" applyFont="1" applyAlignment="1">
      <alignment horizontal="center"/>
    </xf>
    <xf numFmtId="0" fontId="104" fillId="0" borderId="34" xfId="0" applyFont="1" applyBorder="1" applyAlignment="1">
      <alignment horizontal="center"/>
    </xf>
    <xf numFmtId="0" fontId="104" fillId="0" borderId="38" xfId="0" applyFont="1" applyBorder="1" applyAlignment="1">
      <alignment horizontal="center"/>
    </xf>
    <xf numFmtId="0" fontId="108" fillId="0" borderId="0" xfId="0" applyFont="1"/>
    <xf numFmtId="0" fontId="108" fillId="0" borderId="43" xfId="0" applyFont="1" applyBorder="1"/>
    <xf numFmtId="0" fontId="108" fillId="0" borderId="40" xfId="0" applyFont="1" applyBorder="1"/>
    <xf numFmtId="0" fontId="108" fillId="0" borderId="64" xfId="0" applyFont="1" applyBorder="1"/>
    <xf numFmtId="0" fontId="108" fillId="0" borderId="26" xfId="0" applyFont="1" applyBorder="1"/>
    <xf numFmtId="0" fontId="83" fillId="0" borderId="33" xfId="0" applyFont="1" applyBorder="1" applyAlignment="1">
      <alignment horizontal="center"/>
    </xf>
    <xf numFmtId="0" fontId="83" fillId="0" borderId="0" xfId="0" applyFont="1" applyAlignment="1">
      <alignment horizontal="center"/>
    </xf>
    <xf numFmtId="0" fontId="83" fillId="0" borderId="34" xfId="0" applyFont="1" applyBorder="1" applyAlignment="1">
      <alignment horizontal="center"/>
    </xf>
    <xf numFmtId="0" fontId="83" fillId="0" borderId="38" xfId="0" applyFont="1" applyBorder="1" applyAlignment="1">
      <alignment horizontal="center"/>
    </xf>
    <xf numFmtId="0" fontId="104" fillId="0" borderId="27" xfId="0" applyFont="1" applyBorder="1"/>
    <xf numFmtId="0" fontId="83" fillId="0" borderId="0" xfId="0" applyFont="1" applyAlignment="1">
      <alignment horizontal="left"/>
    </xf>
    <xf numFmtId="176" fontId="83" fillId="0" borderId="0" xfId="0" applyNumberFormat="1" applyFont="1"/>
    <xf numFmtId="177" fontId="83" fillId="0" borderId="0" xfId="1" applyNumberFormat="1" applyFont="1" applyBorder="1"/>
    <xf numFmtId="177" fontId="83" fillId="0" borderId="0" xfId="1" applyNumberFormat="1" applyFont="1"/>
    <xf numFmtId="177" fontId="83" fillId="0" borderId="43" xfId="1" applyNumberFormat="1" applyFont="1" applyBorder="1"/>
    <xf numFmtId="177" fontId="83" fillId="0" borderId="40" xfId="1" applyNumberFormat="1" applyFont="1" applyBorder="1"/>
    <xf numFmtId="177" fontId="83" fillId="0" borderId="64" xfId="1" applyNumberFormat="1" applyFont="1" applyBorder="1"/>
    <xf numFmtId="211" fontId="83" fillId="0" borderId="0" xfId="1" applyNumberFormat="1" applyFont="1" applyBorder="1"/>
    <xf numFmtId="177" fontId="81" fillId="0" borderId="0" xfId="1" applyNumberFormat="1" applyFont="1" applyBorder="1"/>
    <xf numFmtId="177" fontId="83" fillId="0" borderId="26" xfId="1" applyNumberFormat="1" applyFont="1" applyBorder="1"/>
    <xf numFmtId="175" fontId="83" fillId="0" borderId="33" xfId="0" applyNumberFormat="1" applyFont="1" applyBorder="1" applyAlignment="1">
      <alignment horizontal="center"/>
    </xf>
    <xf numFmtId="175" fontId="83" fillId="0" borderId="0" xfId="0" applyNumberFormat="1" applyFont="1" applyAlignment="1">
      <alignment horizontal="center"/>
    </xf>
    <xf numFmtId="175" fontId="83" fillId="0" borderId="34" xfId="0" applyNumberFormat="1" applyFont="1" applyBorder="1" applyAlignment="1">
      <alignment horizontal="center"/>
    </xf>
    <xf numFmtId="175" fontId="83" fillId="0" borderId="38" xfId="0" applyNumberFormat="1" applyFont="1" applyBorder="1" applyAlignment="1">
      <alignment horizontal="center"/>
    </xf>
    <xf numFmtId="0" fontId="105" fillId="0" borderId="0" xfId="0" applyFont="1" applyAlignment="1">
      <alignment horizontal="left" indent="1"/>
    </xf>
    <xf numFmtId="0" fontId="105" fillId="0" borderId="0" xfId="0" applyFont="1"/>
    <xf numFmtId="178" fontId="105" fillId="0" borderId="0" xfId="0" applyNumberFormat="1" applyFont="1"/>
    <xf numFmtId="178" fontId="105" fillId="0" borderId="43" xfId="0" applyNumberFormat="1" applyFont="1" applyBorder="1"/>
    <xf numFmtId="178" fontId="105" fillId="0" borderId="40" xfId="0" applyNumberFormat="1" applyFont="1" applyBorder="1"/>
    <xf numFmtId="178" fontId="105" fillId="0" borderId="64" xfId="0" applyNumberFormat="1" applyFont="1" applyBorder="1"/>
    <xf numFmtId="178" fontId="105" fillId="0" borderId="26" xfId="0" applyNumberFormat="1" applyFont="1" applyBorder="1"/>
    <xf numFmtId="0" fontId="105" fillId="0" borderId="33" xfId="0" applyFont="1" applyBorder="1" applyAlignment="1">
      <alignment horizontal="center"/>
    </xf>
    <xf numFmtId="0" fontId="105" fillId="0" borderId="0" xfId="0" applyFont="1" applyAlignment="1">
      <alignment horizontal="center"/>
    </xf>
    <xf numFmtId="0" fontId="105" fillId="0" borderId="34" xfId="0" applyFont="1" applyBorder="1" applyAlignment="1">
      <alignment horizontal="center"/>
    </xf>
    <xf numFmtId="0" fontId="105" fillId="0" borderId="38" xfId="0" applyFont="1" applyBorder="1" applyAlignment="1">
      <alignment horizontal="center"/>
    </xf>
    <xf numFmtId="176" fontId="105" fillId="0" borderId="0" xfId="0" applyNumberFormat="1" applyFont="1"/>
    <xf numFmtId="177" fontId="105" fillId="0" borderId="0" xfId="1" applyNumberFormat="1" applyFont="1" applyBorder="1"/>
    <xf numFmtId="177" fontId="105" fillId="0" borderId="0" xfId="1" applyNumberFormat="1" applyFont="1"/>
    <xf numFmtId="177" fontId="105" fillId="0" borderId="43" xfId="1" applyNumberFormat="1" applyFont="1" applyBorder="1"/>
    <xf numFmtId="177" fontId="105" fillId="0" borderId="40" xfId="1" applyNumberFormat="1" applyFont="1" applyBorder="1"/>
    <xf numFmtId="177" fontId="105" fillId="0" borderId="64" xfId="1" applyNumberFormat="1" applyFont="1" applyBorder="1"/>
    <xf numFmtId="177" fontId="82" fillId="0" borderId="0" xfId="1" applyNumberFormat="1" applyFont="1" applyBorder="1"/>
    <xf numFmtId="177" fontId="105" fillId="0" borderId="26" xfId="1" applyNumberFormat="1" applyFont="1" applyBorder="1"/>
    <xf numFmtId="175" fontId="105" fillId="0" borderId="33" xfId="0" applyNumberFormat="1" applyFont="1" applyBorder="1" applyAlignment="1">
      <alignment horizontal="center"/>
    </xf>
    <xf numFmtId="175" fontId="105" fillId="0" borderId="0" xfId="0" applyNumberFormat="1" applyFont="1" applyAlignment="1">
      <alignment horizontal="center"/>
    </xf>
    <xf numFmtId="175" fontId="105" fillId="0" borderId="34" xfId="0" applyNumberFormat="1" applyFont="1" applyBorder="1" applyAlignment="1">
      <alignment horizontal="center"/>
    </xf>
    <xf numFmtId="175" fontId="105" fillId="0" borderId="38" xfId="0" applyNumberFormat="1" applyFont="1" applyBorder="1" applyAlignment="1">
      <alignment horizontal="center"/>
    </xf>
    <xf numFmtId="0" fontId="83" fillId="0" borderId="0" xfId="0" applyFont="1" applyAlignment="1">
      <alignment horizontal="left" indent="1"/>
    </xf>
    <xf numFmtId="6" fontId="83" fillId="0" borderId="0" xfId="0" applyNumberFormat="1" applyFont="1"/>
    <xf numFmtId="6" fontId="83" fillId="0" borderId="43" xfId="0" applyNumberFormat="1" applyFont="1" applyBorder="1"/>
    <xf numFmtId="6" fontId="83" fillId="0" borderId="40" xfId="0" applyNumberFormat="1" applyFont="1" applyBorder="1"/>
    <xf numFmtId="6" fontId="83" fillId="0" borderId="64" xfId="0" applyNumberFormat="1" applyFont="1" applyBorder="1"/>
    <xf numFmtId="6" fontId="83" fillId="0" borderId="26" xfId="0" applyNumberFormat="1" applyFont="1" applyBorder="1"/>
    <xf numFmtId="41" fontId="83" fillId="0" borderId="0" xfId="0" applyNumberFormat="1" applyFont="1"/>
    <xf numFmtId="178" fontId="83" fillId="0" borderId="43" xfId="0" applyNumberFormat="1" applyFont="1" applyBorder="1"/>
    <xf numFmtId="178" fontId="83" fillId="0" borderId="0" xfId="0" applyNumberFormat="1" applyFont="1"/>
    <xf numFmtId="41" fontId="83" fillId="0" borderId="40" xfId="0" applyNumberFormat="1" applyFont="1" applyBorder="1"/>
    <xf numFmtId="41" fontId="83" fillId="0" borderId="64" xfId="0" applyNumberFormat="1" applyFont="1" applyBorder="1"/>
    <xf numFmtId="41" fontId="83" fillId="0" borderId="26" xfId="0" applyNumberFormat="1" applyFont="1" applyBorder="1"/>
    <xf numFmtId="41" fontId="83" fillId="0" borderId="43" xfId="0" applyNumberFormat="1" applyFont="1" applyBorder="1"/>
    <xf numFmtId="0" fontId="109" fillId="0" borderId="0" xfId="0" applyFont="1" applyAlignment="1">
      <alignment horizontal="left" indent="1"/>
    </xf>
    <xf numFmtId="0" fontId="83" fillId="0" borderId="0" xfId="0" applyFont="1" applyAlignment="1">
      <alignment horizontal="left" indent="2"/>
    </xf>
    <xf numFmtId="176" fontId="83" fillId="0" borderId="43" xfId="0" applyNumberFormat="1" applyFont="1" applyBorder="1"/>
    <xf numFmtId="176" fontId="83" fillId="0" borderId="40" xfId="0" applyNumberFormat="1" applyFont="1" applyBorder="1"/>
    <xf numFmtId="176" fontId="83" fillId="0" borderId="0" xfId="1" applyNumberFormat="1" applyFont="1" applyBorder="1"/>
    <xf numFmtId="176" fontId="83" fillId="0" borderId="64" xfId="1" applyNumberFormat="1" applyFont="1" applyBorder="1"/>
    <xf numFmtId="0" fontId="105" fillId="0" borderId="0" xfId="0" applyFont="1" applyAlignment="1">
      <alignment horizontal="left" indent="2"/>
    </xf>
    <xf numFmtId="176" fontId="109" fillId="0" borderId="0" xfId="0" applyNumberFormat="1" applyFont="1"/>
    <xf numFmtId="177" fontId="109" fillId="0" borderId="0" xfId="1" applyNumberFormat="1" applyFont="1" applyBorder="1"/>
    <xf numFmtId="177" fontId="109" fillId="0" borderId="0" xfId="1" applyNumberFormat="1" applyFont="1"/>
    <xf numFmtId="177" fontId="109" fillId="0" borderId="43" xfId="1" applyNumberFormat="1" applyFont="1" applyBorder="1"/>
    <xf numFmtId="177" fontId="109" fillId="0" borderId="40" xfId="1" applyNumberFormat="1" applyFont="1" applyBorder="1"/>
    <xf numFmtId="177" fontId="109" fillId="0" borderId="64" xfId="1" applyNumberFormat="1" applyFont="1" applyBorder="1"/>
    <xf numFmtId="177" fontId="110" fillId="0" borderId="0" xfId="1" applyNumberFormat="1" applyFont="1" applyBorder="1"/>
    <xf numFmtId="175" fontId="109" fillId="0" borderId="33" xfId="0" applyNumberFormat="1" applyFont="1" applyBorder="1" applyAlignment="1">
      <alignment horizontal="center"/>
    </xf>
    <xf numFmtId="175" fontId="109" fillId="0" borderId="0" xfId="0" applyNumberFormat="1" applyFont="1" applyAlignment="1">
      <alignment horizontal="center"/>
    </xf>
    <xf numFmtId="175" fontId="109" fillId="0" borderId="34" xfId="0" applyNumberFormat="1" applyFont="1" applyBorder="1" applyAlignment="1">
      <alignment horizontal="center"/>
    </xf>
    <xf numFmtId="175" fontId="109" fillId="0" borderId="38" xfId="0" applyNumberFormat="1" applyFont="1" applyBorder="1" applyAlignment="1">
      <alignment horizontal="center"/>
    </xf>
    <xf numFmtId="176" fontId="105" fillId="0" borderId="43" xfId="0" applyNumberFormat="1" applyFont="1" applyBorder="1"/>
    <xf numFmtId="176" fontId="105" fillId="0" borderId="40" xfId="0" applyNumberFormat="1" applyFont="1" applyBorder="1"/>
    <xf numFmtId="176" fontId="105" fillId="0" borderId="26" xfId="1" applyNumberFormat="1" applyFont="1" applyBorder="1"/>
    <xf numFmtId="176" fontId="105" fillId="0" borderId="43" xfId="1" applyNumberFormat="1" applyFont="1" applyBorder="1"/>
    <xf numFmtId="176" fontId="105" fillId="0" borderId="0" xfId="1" applyNumberFormat="1" applyFont="1" applyBorder="1"/>
    <xf numFmtId="176" fontId="105" fillId="0" borderId="64" xfId="1" applyNumberFormat="1" applyFont="1" applyBorder="1"/>
    <xf numFmtId="177" fontId="111" fillId="0" borderId="0" xfId="1" applyNumberFormat="1" applyFont="1" applyBorder="1"/>
    <xf numFmtId="41" fontId="112" fillId="0" borderId="0" xfId="0" applyNumberFormat="1" applyFont="1"/>
    <xf numFmtId="41" fontId="112" fillId="0" borderId="43" xfId="0" applyNumberFormat="1" applyFont="1" applyBorder="1"/>
    <xf numFmtId="41" fontId="112" fillId="0" borderId="40" xfId="0" applyNumberFormat="1" applyFont="1" applyBorder="1"/>
    <xf numFmtId="41" fontId="112" fillId="0" borderId="64" xfId="0" applyNumberFormat="1" applyFont="1" applyBorder="1"/>
    <xf numFmtId="41" fontId="112" fillId="0" borderId="26" xfId="0" applyNumberFormat="1" applyFont="1" applyBorder="1"/>
    <xf numFmtId="41" fontId="113" fillId="0" borderId="0" xfId="0" applyNumberFormat="1" applyFont="1"/>
    <xf numFmtId="43" fontId="83" fillId="0" borderId="0" xfId="1" applyFont="1" applyBorder="1"/>
    <xf numFmtId="43" fontId="83" fillId="0" borderId="0" xfId="1" applyFont="1"/>
    <xf numFmtId="43" fontId="83" fillId="0" borderId="43" xfId="1" applyFont="1" applyBorder="1"/>
    <xf numFmtId="43" fontId="83" fillId="0" borderId="40" xfId="1" applyFont="1" applyBorder="1"/>
    <xf numFmtId="43" fontId="83" fillId="0" borderId="64" xfId="1" applyFont="1" applyBorder="1"/>
    <xf numFmtId="0" fontId="112" fillId="0" borderId="0" xfId="0" applyFont="1"/>
    <xf numFmtId="0" fontId="112" fillId="0" borderId="33" xfId="0" applyFont="1" applyBorder="1" applyAlignment="1">
      <alignment horizontal="center"/>
    </xf>
    <xf numFmtId="0" fontId="112" fillId="0" borderId="0" xfId="0" applyFont="1" applyAlignment="1">
      <alignment horizontal="center"/>
    </xf>
    <xf numFmtId="0" fontId="112" fillId="0" borderId="34" xfId="0" applyFont="1" applyBorder="1" applyAlignment="1">
      <alignment horizontal="center"/>
    </xf>
    <xf numFmtId="0" fontId="112" fillId="0" borderId="38" xfId="0" applyFont="1" applyBorder="1" applyAlignment="1">
      <alignment horizontal="center"/>
    </xf>
    <xf numFmtId="0" fontId="114" fillId="0" borderId="0" xfId="0" applyFont="1"/>
    <xf numFmtId="177" fontId="83" fillId="0" borderId="0" xfId="0" applyNumberFormat="1" applyFont="1"/>
    <xf numFmtId="177" fontId="83" fillId="0" borderId="40" xfId="0" applyNumberFormat="1" applyFont="1" applyBorder="1"/>
    <xf numFmtId="41" fontId="83" fillId="0" borderId="42" xfId="0" applyNumberFormat="1" applyFont="1" applyBorder="1"/>
    <xf numFmtId="177" fontId="83" fillId="0" borderId="43" xfId="0" applyNumberFormat="1" applyFont="1" applyBorder="1"/>
    <xf numFmtId="177" fontId="83" fillId="0" borderId="26" xfId="0" applyNumberFormat="1" applyFont="1" applyBorder="1" applyAlignment="1">
      <alignment horizontal="right"/>
    </xf>
    <xf numFmtId="177" fontId="83" fillId="0" borderId="43" xfId="0" applyNumberFormat="1" applyFont="1" applyBorder="1" applyAlignment="1">
      <alignment horizontal="right"/>
    </xf>
    <xf numFmtId="177" fontId="83" fillId="0" borderId="0" xfId="0" applyNumberFormat="1" applyFont="1" applyAlignment="1">
      <alignment horizontal="right"/>
    </xf>
    <xf numFmtId="177" fontId="83" fillId="0" borderId="33" xfId="0" applyNumberFormat="1" applyFont="1" applyBorder="1" applyAlignment="1">
      <alignment horizontal="center"/>
    </xf>
    <xf numFmtId="177" fontId="83" fillId="0" borderId="0" xfId="0" applyNumberFormat="1" applyFont="1" applyAlignment="1">
      <alignment horizontal="center"/>
    </xf>
    <xf numFmtId="177" fontId="83" fillId="0" borderId="34" xfId="0" applyNumberFormat="1" applyFont="1" applyBorder="1" applyAlignment="1">
      <alignment horizontal="center"/>
    </xf>
    <xf numFmtId="177" fontId="83" fillId="0" borderId="38" xfId="0" applyNumberFormat="1" applyFont="1" applyBorder="1" applyAlignment="1">
      <alignment horizontal="center"/>
    </xf>
    <xf numFmtId="0" fontId="83" fillId="0" borderId="43" xfId="0" applyFont="1" applyBorder="1"/>
    <xf numFmtId="0" fontId="83" fillId="0" borderId="40" xfId="0" applyFont="1" applyBorder="1"/>
    <xf numFmtId="0" fontId="83" fillId="0" borderId="64" xfId="0" applyFont="1" applyBorder="1"/>
    <xf numFmtId="0" fontId="83" fillId="0" borderId="26" xfId="0" applyFont="1" applyBorder="1"/>
    <xf numFmtId="180" fontId="105" fillId="0" borderId="0" xfId="0" applyNumberFormat="1" applyFont="1"/>
    <xf numFmtId="180" fontId="105" fillId="0" borderId="43" xfId="0" applyNumberFormat="1" applyFont="1" applyBorder="1"/>
    <xf numFmtId="180" fontId="105" fillId="0" borderId="40" xfId="0" applyNumberFormat="1" applyFont="1" applyBorder="1"/>
    <xf numFmtId="180" fontId="105" fillId="0" borderId="64" xfId="0" applyNumberFormat="1" applyFont="1" applyBorder="1"/>
    <xf numFmtId="180" fontId="105" fillId="0" borderId="26" xfId="0" applyNumberFormat="1" applyFont="1" applyBorder="1"/>
    <xf numFmtId="0" fontId="83" fillId="0" borderId="35" xfId="0" applyFont="1" applyBorder="1" applyAlignment="1">
      <alignment horizontal="center"/>
    </xf>
    <xf numFmtId="0" fontId="83" fillId="0" borderId="15" xfId="0" applyFont="1" applyBorder="1" applyAlignment="1">
      <alignment horizontal="center"/>
    </xf>
    <xf numFmtId="0" fontId="83" fillId="0" borderId="36" xfId="0" applyFont="1" applyBorder="1" applyAlignment="1">
      <alignment horizontal="center"/>
    </xf>
    <xf numFmtId="0" fontId="83" fillId="0" borderId="39" xfId="0" applyFont="1" applyBorder="1" applyAlignment="1">
      <alignment horizontal="center"/>
    </xf>
    <xf numFmtId="0" fontId="115" fillId="0" borderId="28" xfId="0" applyFont="1" applyBorder="1" applyAlignment="1">
      <alignment horizontal="left"/>
    </xf>
    <xf numFmtId="0" fontId="116" fillId="0" borderId="29" xfId="0" applyFont="1" applyBorder="1" applyAlignment="1">
      <alignment horizontal="right"/>
    </xf>
    <xf numFmtId="0" fontId="116" fillId="0" borderId="0" xfId="0" applyFont="1" applyAlignment="1">
      <alignment horizontal="right"/>
    </xf>
    <xf numFmtId="0" fontId="116" fillId="0" borderId="0" xfId="0" applyFont="1" applyAlignment="1">
      <alignment horizontal="left"/>
    </xf>
    <xf numFmtId="179" fontId="83" fillId="0" borderId="0" xfId="0" applyNumberFormat="1" applyFont="1"/>
    <xf numFmtId="177" fontId="112" fillId="0" borderId="0" xfId="0" applyNumberFormat="1" applyFont="1"/>
    <xf numFmtId="43" fontId="112" fillId="0" borderId="0" xfId="0" applyNumberFormat="1" applyFont="1"/>
    <xf numFmtId="0" fontId="115" fillId="0" borderId="0" xfId="0" applyFont="1" applyAlignment="1">
      <alignment horizontal="left" indent="1"/>
    </xf>
    <xf numFmtId="176" fontId="104" fillId="0" borderId="0" xfId="0" applyNumberFormat="1" applyFont="1"/>
    <xf numFmtId="43" fontId="104" fillId="0" borderId="0" xfId="0" applyNumberFormat="1" applyFont="1"/>
    <xf numFmtId="0" fontId="82" fillId="0" borderId="0" xfId="0" applyFont="1" applyAlignment="1">
      <alignment horizontal="left" indent="1"/>
    </xf>
    <xf numFmtId="1" fontId="105" fillId="0" borderId="0" xfId="0" applyNumberFormat="1" applyFont="1"/>
    <xf numFmtId="0" fontId="104" fillId="0" borderId="0" xfId="0" applyFont="1" applyAlignment="1">
      <alignment horizontal="left" indent="1"/>
    </xf>
    <xf numFmtId="177" fontId="104" fillId="0" borderId="0" xfId="1" applyNumberFormat="1" applyFont="1" applyBorder="1"/>
    <xf numFmtId="177" fontId="104" fillId="0" borderId="0" xfId="1" applyNumberFormat="1" applyFont="1"/>
    <xf numFmtId="177" fontId="104" fillId="0" borderId="43" xfId="1" applyNumberFormat="1" applyFont="1" applyBorder="1"/>
    <xf numFmtId="177" fontId="104" fillId="0" borderId="40" xfId="1" applyNumberFormat="1" applyFont="1" applyBorder="1"/>
    <xf numFmtId="177" fontId="104" fillId="0" borderId="64" xfId="1" applyNumberFormat="1" applyFont="1" applyBorder="1"/>
    <xf numFmtId="175" fontId="104" fillId="0" borderId="33" xfId="0" applyNumberFormat="1" applyFont="1" applyBorder="1" applyAlignment="1">
      <alignment horizontal="center"/>
    </xf>
    <xf numFmtId="175" fontId="104" fillId="0" borderId="0" xfId="0" applyNumberFormat="1" applyFont="1" applyAlignment="1">
      <alignment horizontal="center"/>
    </xf>
    <xf numFmtId="175" fontId="104" fillId="0" borderId="34" xfId="0" applyNumberFormat="1" applyFont="1" applyBorder="1" applyAlignment="1">
      <alignment horizontal="center"/>
    </xf>
    <xf numFmtId="175" fontId="104" fillId="0" borderId="38" xfId="0" applyNumberFormat="1" applyFont="1" applyBorder="1" applyAlignment="1">
      <alignment horizontal="center"/>
    </xf>
    <xf numFmtId="0" fontId="115" fillId="0" borderId="0" xfId="0" applyFont="1"/>
    <xf numFmtId="0" fontId="117" fillId="0" borderId="0" xfId="0" applyFont="1" applyAlignment="1">
      <alignment horizontal="centerContinuous"/>
    </xf>
    <xf numFmtId="14" fontId="82" fillId="0" borderId="0" xfId="0" applyNumberFormat="1" applyFont="1" applyAlignment="1">
      <alignment horizontal="center"/>
    </xf>
    <xf numFmtId="0" fontId="81" fillId="0" borderId="20" xfId="0" applyFont="1" applyBorder="1"/>
    <xf numFmtId="0" fontId="81" fillId="0" borderId="0" xfId="0" applyFont="1" applyAlignment="1">
      <alignment horizontal="center"/>
    </xf>
    <xf numFmtId="0" fontId="82" fillId="0" borderId="10" xfId="0" applyFont="1" applyBorder="1"/>
    <xf numFmtId="0" fontId="81" fillId="0" borderId="10" xfId="0" applyFont="1" applyBorder="1"/>
    <xf numFmtId="0" fontId="81" fillId="0" borderId="10" xfId="0" applyFont="1" applyBorder="1" applyAlignment="1">
      <alignment horizontal="left" indent="1"/>
    </xf>
    <xf numFmtId="0" fontId="81" fillId="0" borderId="10" xfId="0" applyFont="1" applyBorder="1" applyAlignment="1">
      <alignment horizontal="center"/>
    </xf>
    <xf numFmtId="14" fontId="106" fillId="0" borderId="0" xfId="0" applyNumberFormat="1" applyFont="1"/>
    <xf numFmtId="0" fontId="81" fillId="0" borderId="0" xfId="0" applyFont="1" applyAlignment="1">
      <alignment horizontal="left" indent="1"/>
    </xf>
    <xf numFmtId="0" fontId="118" fillId="0" borderId="40" xfId="0" applyFont="1" applyBorder="1" applyAlignment="1">
      <alignment horizontal="centerContinuous"/>
    </xf>
    <xf numFmtId="0" fontId="118" fillId="0" borderId="0" xfId="0" applyFont="1" applyAlignment="1">
      <alignment horizontal="centerContinuous"/>
    </xf>
    <xf numFmtId="175" fontId="118" fillId="0" borderId="41" xfId="0" applyNumberFormat="1" applyFont="1" applyBorder="1" applyAlignment="1">
      <alignment horizontal="centerContinuous"/>
    </xf>
    <xf numFmtId="0" fontId="118" fillId="0" borderId="30" xfId="0" applyFont="1" applyBorder="1" applyAlignment="1">
      <alignment horizontal="centerContinuous"/>
    </xf>
    <xf numFmtId="0" fontId="118" fillId="0" borderId="31" xfId="0" applyFont="1" applyBorder="1" applyAlignment="1">
      <alignment horizontal="centerContinuous"/>
    </xf>
    <xf numFmtId="0" fontId="118" fillId="0" borderId="32" xfId="0" applyFont="1" applyBorder="1" applyAlignment="1">
      <alignment horizontal="centerContinuous"/>
    </xf>
    <xf numFmtId="0" fontId="118" fillId="0" borderId="0" xfId="0" applyFont="1" applyAlignment="1">
      <alignment horizontal="center"/>
    </xf>
    <xf numFmtId="0" fontId="116" fillId="0" borderId="0" xfId="0" applyFont="1" applyAlignment="1">
      <alignment horizontal="left" indent="1"/>
    </xf>
    <xf numFmtId="0" fontId="118" fillId="0" borderId="33" xfId="0" applyFont="1" applyBorder="1" applyAlignment="1">
      <alignment horizontal="center"/>
    </xf>
    <xf numFmtId="0" fontId="118" fillId="0" borderId="34" xfId="0" applyFont="1" applyBorder="1" applyAlignment="1">
      <alignment horizontal="center"/>
    </xf>
    <xf numFmtId="0" fontId="81" fillId="0" borderId="33" xfId="0" applyFont="1" applyBorder="1" applyAlignment="1">
      <alignment horizontal="center"/>
    </xf>
    <xf numFmtId="0" fontId="81" fillId="0" borderId="34" xfId="0" applyFont="1" applyBorder="1" applyAlignment="1">
      <alignment horizontal="center"/>
    </xf>
    <xf numFmtId="0" fontId="115" fillId="0" borderId="28" xfId="0" applyFont="1" applyBorder="1"/>
    <xf numFmtId="175" fontId="81" fillId="0" borderId="33" xfId="0" applyNumberFormat="1" applyFont="1" applyBorder="1" applyAlignment="1">
      <alignment horizontal="center"/>
    </xf>
    <xf numFmtId="175" fontId="81" fillId="0" borderId="0" xfId="0" applyNumberFormat="1" applyFont="1" applyAlignment="1">
      <alignment horizontal="center"/>
    </xf>
    <xf numFmtId="175" fontId="81" fillId="0" borderId="34" xfId="0" applyNumberFormat="1" applyFont="1" applyBorder="1" applyAlignment="1">
      <alignment horizontal="center"/>
    </xf>
    <xf numFmtId="181" fontId="119" fillId="0" borderId="0" xfId="0" applyNumberFormat="1" applyFont="1"/>
    <xf numFmtId="177" fontId="120" fillId="0" borderId="0" xfId="1" applyNumberFormat="1" applyFont="1"/>
    <xf numFmtId="178" fontId="82" fillId="0" borderId="0" xfId="0" applyNumberFormat="1" applyFont="1"/>
    <xf numFmtId="177" fontId="82" fillId="0" borderId="0" xfId="1" applyNumberFormat="1" applyFont="1"/>
    <xf numFmtId="177" fontId="121" fillId="0" borderId="0" xfId="1" applyNumberFormat="1" applyFont="1"/>
    <xf numFmtId="178" fontId="121" fillId="0" borderId="0" xfId="0" applyNumberFormat="1" applyFont="1"/>
    <xf numFmtId="177" fontId="111" fillId="0" borderId="0" xfId="1" applyNumberFormat="1" applyFont="1"/>
    <xf numFmtId="175" fontId="83" fillId="0" borderId="33" xfId="0" applyNumberFormat="1" applyFont="1" applyBorder="1" applyAlignment="1">
      <alignment horizontal="left"/>
    </xf>
    <xf numFmtId="175" fontId="83" fillId="0" borderId="0" xfId="0" applyNumberFormat="1" applyFont="1" applyAlignment="1">
      <alignment horizontal="left"/>
    </xf>
    <xf numFmtId="175" fontId="83" fillId="0" borderId="34" xfId="0" applyNumberFormat="1" applyFont="1" applyBorder="1" applyAlignment="1">
      <alignment horizontal="left"/>
    </xf>
    <xf numFmtId="7" fontId="83" fillId="0" borderId="0" xfId="0" applyNumberFormat="1" applyFont="1"/>
    <xf numFmtId="41" fontId="109" fillId="0" borderId="0" xfId="0" applyNumberFormat="1" applyFont="1"/>
    <xf numFmtId="181" fontId="120" fillId="0" borderId="0" xfId="0" applyNumberFormat="1" applyFont="1"/>
    <xf numFmtId="175" fontId="81" fillId="0" borderId="35" xfId="2" applyNumberFormat="1" applyFont="1" applyBorder="1" applyAlignment="1">
      <alignment horizontal="center"/>
    </xf>
    <xf numFmtId="175" fontId="81" fillId="0" borderId="15" xfId="2" applyNumberFormat="1" applyFont="1" applyBorder="1" applyAlignment="1">
      <alignment horizontal="center"/>
    </xf>
    <xf numFmtId="175" fontId="81" fillId="0" borderId="36" xfId="2" applyNumberFormat="1" applyFont="1" applyBorder="1" applyAlignment="1">
      <alignment horizontal="center"/>
    </xf>
    <xf numFmtId="181" fontId="122" fillId="0" borderId="0" xfId="0" applyNumberFormat="1" applyFont="1"/>
    <xf numFmtId="175" fontId="105" fillId="0" borderId="0" xfId="2" applyNumberFormat="1" applyFont="1" applyBorder="1"/>
    <xf numFmtId="175" fontId="81" fillId="0" borderId="0" xfId="2" applyNumberFormat="1" applyFont="1" applyAlignment="1">
      <alignment horizontal="left" indent="1"/>
    </xf>
    <xf numFmtId="175" fontId="82" fillId="0" borderId="0" xfId="2" applyNumberFormat="1" applyFont="1" applyBorder="1" applyAlignment="1">
      <alignment horizontal="center"/>
    </xf>
    <xf numFmtId="5" fontId="83" fillId="0" borderId="0" xfId="0" applyNumberFormat="1" applyFont="1"/>
    <xf numFmtId="175" fontId="83" fillId="0" borderId="0" xfId="0" applyNumberFormat="1" applyFont="1" applyAlignment="1">
      <alignment horizontal="left" indent="1"/>
    </xf>
    <xf numFmtId="180" fontId="82" fillId="0" borderId="0" xfId="0" applyNumberFormat="1" applyFont="1"/>
    <xf numFmtId="181" fontId="123" fillId="0" borderId="0" xfId="0" applyNumberFormat="1" applyFont="1"/>
    <xf numFmtId="181" fontId="83" fillId="0" borderId="0" xfId="0" applyNumberFormat="1" applyFont="1"/>
    <xf numFmtId="0" fontId="82" fillId="0" borderId="0" xfId="0" applyFont="1" applyAlignment="1">
      <alignment horizontal="left" indent="2"/>
    </xf>
    <xf numFmtId="178" fontId="124" fillId="0" borderId="0" xfId="0" applyNumberFormat="1" applyFont="1"/>
    <xf numFmtId="0" fontId="123" fillId="0" borderId="0" xfId="0" applyFont="1"/>
    <xf numFmtId="178" fontId="125" fillId="0" borderId="27" xfId="0" applyNumberFormat="1" applyFont="1" applyBorder="1"/>
    <xf numFmtId="180" fontId="123" fillId="0" borderId="0" xfId="0" applyNumberFormat="1" applyFont="1"/>
    <xf numFmtId="180" fontId="83" fillId="0" borderId="0" xfId="0" applyNumberFormat="1" applyFont="1"/>
    <xf numFmtId="0" fontId="83" fillId="0" borderId="29" xfId="0" applyFont="1" applyBorder="1"/>
    <xf numFmtId="9" fontId="83" fillId="0" borderId="0" xfId="2" applyFont="1" applyBorder="1"/>
    <xf numFmtId="182" fontId="83" fillId="0" borderId="0" xfId="0" applyNumberFormat="1" applyFont="1"/>
    <xf numFmtId="0" fontId="116" fillId="0" borderId="0" xfId="0" applyFont="1"/>
    <xf numFmtId="180" fontId="113" fillId="0" borderId="0" xfId="0" applyNumberFormat="1" applyFont="1"/>
    <xf numFmtId="0" fontId="115" fillId="6" borderId="28" xfId="0" applyFont="1" applyFill="1" applyBorder="1" applyAlignment="1">
      <alignment horizontal="left" indent="1"/>
    </xf>
    <xf numFmtId="9" fontId="115" fillId="6" borderId="29" xfId="2" applyFont="1" applyFill="1" applyBorder="1"/>
    <xf numFmtId="14" fontId="123" fillId="0" borderId="0" xfId="0" applyNumberFormat="1" applyFont="1" applyAlignment="1">
      <alignment horizontal="left"/>
    </xf>
    <xf numFmtId="0" fontId="115" fillId="0" borderId="28" xfId="0" applyFont="1" applyBorder="1" applyAlignment="1">
      <alignment horizontal="centerContinuous"/>
    </xf>
    <xf numFmtId="9" fontId="115" fillId="0" borderId="29" xfId="0" applyNumberFormat="1" applyFont="1" applyBorder="1"/>
    <xf numFmtId="0" fontId="115" fillId="0" borderId="29" xfId="0" applyFont="1" applyBorder="1" applyAlignment="1">
      <alignment horizontal="centerContinuous"/>
    </xf>
    <xf numFmtId="0" fontId="126" fillId="0" borderId="0" xfId="0" applyFont="1"/>
    <xf numFmtId="0" fontId="115" fillId="0" borderId="0" xfId="0" applyFont="1" applyAlignment="1">
      <alignment horizontal="right"/>
    </xf>
    <xf numFmtId="2" fontId="111" fillId="0" borderId="0" xfId="0" applyNumberFormat="1" applyFont="1"/>
    <xf numFmtId="2" fontId="81" fillId="0" borderId="0" xfId="0" applyNumberFormat="1" applyFont="1"/>
    <xf numFmtId="177" fontId="127" fillId="0" borderId="0" xfId="0" applyNumberFormat="1" applyFont="1"/>
    <xf numFmtId="43" fontId="114" fillId="0" borderId="0" xfId="0" applyNumberFormat="1" applyFont="1"/>
    <xf numFmtId="177" fontId="112" fillId="0" borderId="0" xfId="1" applyNumberFormat="1" applyFont="1" applyBorder="1"/>
    <xf numFmtId="181" fontId="104" fillId="0" borderId="0" xfId="0" applyNumberFormat="1" applyFont="1"/>
    <xf numFmtId="182" fontId="104" fillId="0" borderId="0" xfId="0" applyNumberFormat="1" applyFont="1"/>
    <xf numFmtId="5" fontId="104" fillId="0" borderId="0" xfId="0" applyNumberFormat="1" applyFont="1"/>
    <xf numFmtId="7" fontId="104" fillId="0" borderId="0" xfId="0" applyNumberFormat="1" applyFont="1"/>
    <xf numFmtId="177" fontId="122" fillId="0" borderId="0" xfId="1" applyNumberFormat="1" applyFont="1" applyBorder="1"/>
    <xf numFmtId="0" fontId="82" fillId="0" borderId="0" xfId="0" applyFont="1" applyAlignment="1">
      <alignment horizontal="center"/>
    </xf>
    <xf numFmtId="43" fontId="81" fillId="0" borderId="0" xfId="0" applyNumberFormat="1" applyFont="1"/>
    <xf numFmtId="175" fontId="81" fillId="0" borderId="0" xfId="2" applyNumberFormat="1" applyFont="1"/>
    <xf numFmtId="10" fontId="81" fillId="0" borderId="0" xfId="2" applyNumberFormat="1" applyFont="1"/>
    <xf numFmtId="0" fontId="104" fillId="0" borderId="3" xfId="0" applyFont="1" applyBorder="1"/>
    <xf numFmtId="0" fontId="116" fillId="0" borderId="4" xfId="0" applyFont="1" applyBorder="1" applyAlignment="1">
      <alignment horizontal="left"/>
    </xf>
    <xf numFmtId="0" fontId="81" fillId="0" borderId="4" xfId="0" applyFont="1" applyBorder="1"/>
    <xf numFmtId="0" fontId="83" fillId="0" borderId="4" xfId="0" applyFont="1" applyBorder="1"/>
    <xf numFmtId="0" fontId="83" fillId="0" borderId="5" xfId="0" applyFont="1" applyBorder="1"/>
    <xf numFmtId="0" fontId="83" fillId="0" borderId="12" xfId="0" applyFont="1" applyBorder="1"/>
    <xf numFmtId="2" fontId="83" fillId="0" borderId="0" xfId="0" applyNumberFormat="1" applyFont="1"/>
    <xf numFmtId="0" fontId="83" fillId="0" borderId="13" xfId="0" applyFont="1" applyBorder="1"/>
    <xf numFmtId="0" fontId="104" fillId="0" borderId="12" xfId="0" applyFont="1" applyBorder="1"/>
    <xf numFmtId="2" fontId="81" fillId="0" borderId="0" xfId="1" applyNumberFormat="1" applyFont="1" applyBorder="1"/>
    <xf numFmtId="0" fontId="81" fillId="0" borderId="12" xfId="0" applyFont="1" applyBorder="1"/>
    <xf numFmtId="43" fontId="81" fillId="0" borderId="0" xfId="1" applyFont="1" applyBorder="1"/>
    <xf numFmtId="175" fontId="81" fillId="0" borderId="0" xfId="2" applyNumberFormat="1" applyFont="1" applyBorder="1"/>
    <xf numFmtId="0" fontId="81" fillId="0" borderId="17" xfId="0" applyFont="1" applyBorder="1"/>
    <xf numFmtId="0" fontId="81" fillId="0" borderId="18" xfId="0" applyFont="1" applyBorder="1"/>
    <xf numFmtId="14" fontId="81" fillId="0" borderId="18" xfId="0" applyNumberFormat="1" applyFont="1" applyBorder="1"/>
    <xf numFmtId="0" fontId="83" fillId="0" borderId="18" xfId="0" applyFont="1" applyBorder="1"/>
    <xf numFmtId="0" fontId="83" fillId="0" borderId="19" xfId="0" applyFont="1" applyBorder="1"/>
    <xf numFmtId="175" fontId="83" fillId="0" borderId="0" xfId="2" applyNumberFormat="1" applyFont="1" applyBorder="1"/>
    <xf numFmtId="177" fontId="105" fillId="0" borderId="0" xfId="1" applyNumberFormat="1" applyFont="1" applyFill="1" applyBorder="1"/>
    <xf numFmtId="177" fontId="105" fillId="0" borderId="0" xfId="1" applyNumberFormat="1" applyFont="1" applyFill="1"/>
    <xf numFmtId="177" fontId="105" fillId="0" borderId="43" xfId="1" applyNumberFormat="1" applyFont="1" applyFill="1" applyBorder="1"/>
    <xf numFmtId="177" fontId="105" fillId="0" borderId="40" xfId="1" applyNumberFormat="1" applyFont="1" applyFill="1" applyBorder="1"/>
    <xf numFmtId="177" fontId="105" fillId="0" borderId="64" xfId="1" applyNumberFormat="1" applyFont="1" applyFill="1" applyBorder="1"/>
    <xf numFmtId="177" fontId="82" fillId="0" borderId="0" xfId="1" applyNumberFormat="1" applyFont="1" applyFill="1" applyBorder="1"/>
    <xf numFmtId="177" fontId="105" fillId="0" borderId="26" xfId="1" applyNumberFormat="1" applyFont="1" applyFill="1" applyBorder="1"/>
    <xf numFmtId="177" fontId="83" fillId="0" borderId="0" xfId="1" applyNumberFormat="1" applyFont="1" applyFill="1" applyBorder="1"/>
    <xf numFmtId="177" fontId="83" fillId="0" borderId="0" xfId="1" applyNumberFormat="1" applyFont="1" applyFill="1"/>
    <xf numFmtId="177" fontId="83" fillId="0" borderId="43" xfId="1" applyNumberFormat="1" applyFont="1" applyFill="1" applyBorder="1"/>
    <xf numFmtId="177" fontId="83" fillId="0" borderId="40" xfId="1" applyNumberFormat="1" applyFont="1" applyFill="1" applyBorder="1"/>
    <xf numFmtId="177" fontId="83" fillId="0" borderId="64" xfId="1" applyNumberFormat="1" applyFont="1" applyFill="1" applyBorder="1"/>
    <xf numFmtId="177" fontId="81" fillId="0" borderId="0" xfId="1" applyNumberFormat="1" applyFont="1" applyFill="1" applyBorder="1"/>
    <xf numFmtId="177" fontId="83" fillId="0" borderId="26" xfId="1" applyNumberFormat="1" applyFont="1" applyFill="1" applyBorder="1"/>
    <xf numFmtId="0" fontId="128" fillId="0" borderId="0" xfId="0" applyFont="1" applyAlignment="1">
      <alignment horizontal="left" indent="1"/>
    </xf>
    <xf numFmtId="41" fontId="110" fillId="0" borderId="0" xfId="0" applyNumberFormat="1" applyFont="1"/>
    <xf numFmtId="43" fontId="82" fillId="0" borderId="0" xfId="1" applyFont="1"/>
    <xf numFmtId="0" fontId="81" fillId="0" borderId="0" xfId="0" applyFont="1" applyAlignment="1">
      <alignment horizontal="left"/>
    </xf>
    <xf numFmtId="175" fontId="81" fillId="0" borderId="0" xfId="0" applyNumberFormat="1" applyFont="1"/>
    <xf numFmtId="178" fontId="82" fillId="11" borderId="27" xfId="0" applyNumberFormat="1" applyFont="1" applyFill="1" applyBorder="1"/>
    <xf numFmtId="176" fontId="105" fillId="0" borderId="40" xfId="1" applyNumberFormat="1" applyFont="1" applyBorder="1"/>
    <xf numFmtId="177" fontId="83" fillId="0" borderId="40" xfId="0" applyNumberFormat="1" applyFont="1" applyBorder="1" applyAlignment="1">
      <alignment horizontal="right"/>
    </xf>
    <xf numFmtId="176" fontId="82" fillId="0" borderId="0" xfId="0" applyNumberFormat="1" applyFont="1"/>
    <xf numFmtId="178" fontId="101" fillId="0" borderId="0" xfId="0" applyNumberFormat="1" applyFont="1"/>
    <xf numFmtId="178" fontId="101" fillId="0" borderId="40" xfId="0" applyNumberFormat="1" applyFont="1" applyBorder="1"/>
    <xf numFmtId="178" fontId="80" fillId="0" borderId="0" xfId="0" applyNumberFormat="1" applyFont="1"/>
    <xf numFmtId="178" fontId="80" fillId="0" borderId="40" xfId="0" applyNumberFormat="1" applyFont="1" applyBorder="1"/>
    <xf numFmtId="0" fontId="94" fillId="0" borderId="0" xfId="0" applyFont="1" applyAlignment="1">
      <alignment horizontal="left" indent="1"/>
    </xf>
    <xf numFmtId="185" fontId="85" fillId="0" borderId="0" xfId="0" applyNumberFormat="1" applyFont="1" applyAlignment="1">
      <alignment horizontal="left" indent="1"/>
    </xf>
    <xf numFmtId="0" fontId="86" fillId="0" borderId="0" xfId="0" applyFont="1" applyAlignment="1">
      <alignment horizontal="left"/>
    </xf>
    <xf numFmtId="177" fontId="90" fillId="0" borderId="0" xfId="1" applyNumberFormat="1" applyFont="1" applyBorder="1" applyAlignment="1">
      <alignment horizontal="right" vertical="top" wrapText="1"/>
    </xf>
    <xf numFmtId="175" fontId="131" fillId="0" borderId="0" xfId="0" applyNumberFormat="1" applyFont="1" applyAlignment="1">
      <alignment horizontal="left" indent="2"/>
    </xf>
    <xf numFmtId="175" fontId="131" fillId="0" borderId="0" xfId="0" applyNumberFormat="1" applyFont="1"/>
    <xf numFmtId="178" fontId="132" fillId="0" borderId="0" xfId="0" applyNumberFormat="1" applyFont="1"/>
    <xf numFmtId="178" fontId="132" fillId="0" borderId="40" xfId="0" applyNumberFormat="1" applyFont="1" applyBorder="1"/>
    <xf numFmtId="0" fontId="88" fillId="0" borderId="0" xfId="0" applyFont="1" applyAlignment="1">
      <alignment horizontal="left"/>
    </xf>
    <xf numFmtId="177" fontId="132" fillId="0" borderId="0" xfId="1" applyNumberFormat="1" applyFont="1" applyBorder="1"/>
    <xf numFmtId="177" fontId="132" fillId="0" borderId="40" xfId="1" applyNumberFormat="1" applyFont="1" applyBorder="1"/>
    <xf numFmtId="177" fontId="132" fillId="0" borderId="0" xfId="1" applyNumberFormat="1" applyFont="1"/>
    <xf numFmtId="0" fontId="133" fillId="0" borderId="0" xfId="0" applyFont="1"/>
    <xf numFmtId="178" fontId="134" fillId="0" borderId="0" xfId="0" applyNumberFormat="1" applyFont="1"/>
    <xf numFmtId="178" fontId="134" fillId="0" borderId="40" xfId="0" applyNumberFormat="1" applyFont="1" applyBorder="1"/>
    <xf numFmtId="0" fontId="85" fillId="0" borderId="0" xfId="0" applyFont="1" applyAlignment="1">
      <alignment horizontal="left" indent="1"/>
    </xf>
    <xf numFmtId="0" fontId="131" fillId="0" borderId="0" xfId="0" applyFont="1" applyAlignment="1">
      <alignment horizontal="left" indent="2"/>
    </xf>
    <xf numFmtId="177" fontId="101" fillId="0" borderId="0" xfId="1" applyNumberFormat="1" applyFont="1"/>
    <xf numFmtId="177" fontId="101" fillId="0" borderId="40" xfId="1" applyNumberFormat="1" applyFont="1" applyBorder="1"/>
    <xf numFmtId="177" fontId="101" fillId="0" borderId="0" xfId="1" applyNumberFormat="1" applyFont="1" applyBorder="1"/>
    <xf numFmtId="177" fontId="134" fillId="0" borderId="0" xfId="1" applyNumberFormat="1" applyFont="1"/>
    <xf numFmtId="177" fontId="134" fillId="0" borderId="40" xfId="1" applyNumberFormat="1" applyFont="1" applyBorder="1"/>
    <xf numFmtId="177" fontId="134" fillId="0" borderId="0" xfId="1" applyNumberFormat="1" applyFont="1" applyBorder="1"/>
    <xf numFmtId="177" fontId="90" fillId="0" borderId="0" xfId="1" applyNumberFormat="1" applyFont="1" applyAlignment="1">
      <alignment horizontal="right" vertical="top" wrapText="1"/>
    </xf>
    <xf numFmtId="177" fontId="90" fillId="0" borderId="43" xfId="1" applyNumberFormat="1" applyFont="1" applyBorder="1" applyAlignment="1">
      <alignment horizontal="right" vertical="top" wrapText="1"/>
    </xf>
    <xf numFmtId="177" fontId="90" fillId="0" borderId="40" xfId="1" applyNumberFormat="1" applyFont="1" applyBorder="1" applyAlignment="1">
      <alignment horizontal="right" vertical="top" wrapText="1"/>
    </xf>
    <xf numFmtId="177" fontId="92" fillId="0" borderId="0" xfId="1" applyNumberFormat="1" applyFont="1" applyAlignment="1">
      <alignment horizontal="right" vertical="top" wrapText="1"/>
    </xf>
    <xf numFmtId="177" fontId="92" fillId="0" borderId="43" xfId="1" applyNumberFormat="1" applyFont="1" applyBorder="1" applyAlignment="1">
      <alignment horizontal="right" vertical="top" wrapText="1"/>
    </xf>
    <xf numFmtId="177" fontId="86" fillId="0" borderId="0" xfId="1" applyNumberFormat="1" applyFont="1"/>
    <xf numFmtId="177" fontId="93" fillId="0" borderId="43" xfId="1" applyNumberFormat="1" applyFont="1" applyBorder="1" applyAlignment="1">
      <alignment horizontal="right" vertical="top" wrapText="1"/>
    </xf>
    <xf numFmtId="211" fontId="111" fillId="0" borderId="0" xfId="1" applyNumberFormat="1" applyFont="1" applyBorder="1"/>
    <xf numFmtId="0" fontId="81" fillId="0" borderId="0" xfId="0" applyFont="1" applyAlignment="1">
      <alignment horizontal="right"/>
    </xf>
    <xf numFmtId="0" fontId="0" fillId="0" borderId="0" xfId="0" applyAlignment="1">
      <alignment horizontal="left" vertical="top" wrapText="1"/>
    </xf>
    <xf numFmtId="14" fontId="85" fillId="0" borderId="0" xfId="0" applyNumberFormat="1" applyFont="1"/>
    <xf numFmtId="0" fontId="0" fillId="0" borderId="0" xfId="0" applyAlignment="1">
      <alignment horizontal="left" vertical="top"/>
    </xf>
    <xf numFmtId="0" fontId="0" fillId="0" borderId="0" xfId="0" applyAlignment="1">
      <alignment vertical="top" wrapText="1"/>
    </xf>
    <xf numFmtId="0" fontId="0" fillId="0" borderId="0" xfId="0" applyAlignment="1">
      <alignment vertical="top"/>
    </xf>
    <xf numFmtId="0" fontId="52" fillId="0" borderId="0" xfId="0" applyFont="1"/>
    <xf numFmtId="0" fontId="52" fillId="0" borderId="0" xfId="0" applyFont="1" applyAlignment="1">
      <alignment horizontal="center" wrapText="1"/>
    </xf>
    <xf numFmtId="0" fontId="52" fillId="0" borderId="20" xfId="0" applyFont="1" applyBorder="1"/>
    <xf numFmtId="0" fontId="52" fillId="0" borderId="20" xfId="0" applyFont="1" applyBorder="1" applyAlignment="1">
      <alignment horizontal="center" wrapText="1"/>
    </xf>
    <xf numFmtId="0" fontId="135" fillId="0" borderId="0" xfId="0" applyFont="1" applyAlignment="1">
      <alignment horizontal="left" vertical="top" wrapText="1"/>
    </xf>
    <xf numFmtId="0" fontId="135" fillId="0" borderId="0" xfId="0" applyFont="1" applyAlignment="1">
      <alignment horizontal="left" vertical="top"/>
    </xf>
    <xf numFmtId="15" fontId="135" fillId="0" borderId="0" xfId="0" applyNumberFormat="1" applyFont="1" applyAlignment="1">
      <alignment vertical="top"/>
    </xf>
    <xf numFmtId="0" fontId="135" fillId="0" borderId="0" xfId="0" applyFont="1" applyAlignment="1">
      <alignment vertical="top" wrapText="1"/>
    </xf>
    <xf numFmtId="0" fontId="135" fillId="0" borderId="0" xfId="0" quotePrefix="1" applyFont="1" applyAlignment="1">
      <alignment vertical="top"/>
    </xf>
    <xf numFmtId="0" fontId="135" fillId="0" borderId="0" xfId="0" applyFont="1" applyAlignment="1">
      <alignment vertical="top"/>
    </xf>
    <xf numFmtId="0" fontId="135" fillId="0" borderId="20" xfId="0" applyFont="1" applyBorder="1" applyAlignment="1">
      <alignment horizontal="left" vertical="top" wrapText="1"/>
    </xf>
    <xf numFmtId="0" fontId="135" fillId="0" borderId="20" xfId="0" applyFont="1" applyBorder="1" applyAlignment="1">
      <alignment horizontal="left" vertical="top"/>
    </xf>
    <xf numFmtId="15" fontId="135" fillId="0" borderId="20" xfId="0" applyNumberFormat="1" applyFont="1" applyBorder="1" applyAlignment="1">
      <alignment vertical="top"/>
    </xf>
    <xf numFmtId="0" fontId="135" fillId="0" borderId="20" xfId="0" applyFont="1" applyBorder="1" applyAlignment="1">
      <alignment vertical="top" wrapText="1"/>
    </xf>
    <xf numFmtId="0" fontId="135" fillId="0" borderId="20" xfId="0" applyFont="1" applyBorder="1" applyAlignment="1">
      <alignment vertical="top"/>
    </xf>
    <xf numFmtId="0" fontId="0" fillId="0" borderId="20" xfId="0" applyBorder="1" applyAlignment="1">
      <alignment vertical="top"/>
    </xf>
    <xf numFmtId="0" fontId="135" fillId="0" borderId="66" xfId="0" applyFont="1" applyBorder="1" applyAlignment="1">
      <alignment horizontal="left" vertical="top" wrapText="1"/>
    </xf>
    <xf numFmtId="0" fontId="135" fillId="0" borderId="64" xfId="0" applyFont="1" applyBorder="1" applyAlignment="1">
      <alignment horizontal="left" vertical="top" wrapText="1"/>
    </xf>
    <xf numFmtId="0" fontId="52" fillId="0" borderId="65" xfId="0" applyFont="1" applyBorder="1"/>
    <xf numFmtId="0" fontId="52" fillId="0" borderId="68" xfId="0" applyFont="1" applyBorder="1"/>
    <xf numFmtId="0" fontId="135" fillId="0" borderId="64" xfId="0" quotePrefix="1" applyFont="1" applyBorder="1" applyAlignment="1">
      <alignment vertical="top"/>
    </xf>
    <xf numFmtId="0" fontId="135" fillId="0" borderId="64" xfId="0" applyFont="1" applyBorder="1" applyAlignment="1">
      <alignment vertical="top"/>
    </xf>
    <xf numFmtId="0" fontId="135" fillId="0" borderId="66" xfId="0" applyFont="1" applyBorder="1" applyAlignment="1">
      <alignment vertical="top"/>
    </xf>
    <xf numFmtId="0" fontId="52" fillId="0" borderId="66" xfId="0" applyFont="1" applyBorder="1"/>
    <xf numFmtId="0" fontId="86" fillId="0" borderId="20" xfId="0" applyFont="1" applyBorder="1"/>
    <xf numFmtId="0" fontId="84" fillId="0" borderId="20" xfId="0" applyFont="1" applyBorder="1" applyAlignment="1">
      <alignment horizontal="center"/>
    </xf>
    <xf numFmtId="0" fontId="135" fillId="0" borderId="10" xfId="0" applyFont="1" applyBorder="1" applyAlignment="1">
      <alignment horizontal="left" vertical="top"/>
    </xf>
    <xf numFmtId="15" fontId="135" fillId="0" borderId="10" xfId="0" applyNumberFormat="1" applyFont="1" applyBorder="1" applyAlignment="1">
      <alignment vertical="top"/>
    </xf>
    <xf numFmtId="0" fontId="135" fillId="0" borderId="10" xfId="0" applyFont="1" applyBorder="1" applyAlignment="1">
      <alignment vertical="top" wrapText="1"/>
    </xf>
    <xf numFmtId="0" fontId="135" fillId="0" borderId="67" xfId="0" quotePrefix="1" applyFont="1" applyBorder="1" applyAlignment="1">
      <alignment vertical="top"/>
    </xf>
    <xf numFmtId="0" fontId="135" fillId="0" borderId="10" xfId="0" quotePrefix="1" applyFont="1" applyBorder="1" applyAlignment="1">
      <alignment vertical="top"/>
    </xf>
    <xf numFmtId="0" fontId="0" fillId="0" borderId="10" xfId="0" applyBorder="1" applyAlignment="1">
      <alignment vertical="top"/>
    </xf>
    <xf numFmtId="0" fontId="135" fillId="0" borderId="0" xfId="0" quotePrefix="1" applyFont="1" applyAlignment="1">
      <alignment vertical="top" wrapText="1"/>
    </xf>
    <xf numFmtId="0" fontId="135" fillId="0" borderId="10" xfId="0" quotePrefix="1" applyFont="1" applyBorder="1" applyAlignment="1">
      <alignment vertical="top" wrapText="1"/>
    </xf>
    <xf numFmtId="0" fontId="135" fillId="12" borderId="0" xfId="0" applyFont="1" applyFill="1" applyAlignment="1">
      <alignment horizontal="left" vertical="top"/>
    </xf>
    <xf numFmtId="15" fontId="135" fillId="12" borderId="0" xfId="0" applyNumberFormat="1" applyFont="1" applyFill="1" applyAlignment="1">
      <alignment vertical="top"/>
    </xf>
    <xf numFmtId="0" fontId="135" fillId="12" borderId="0" xfId="0" applyFont="1" applyFill="1" applyAlignment="1">
      <alignment vertical="top" wrapText="1"/>
    </xf>
    <xf numFmtId="0" fontId="135" fillId="12" borderId="64" xfId="0" applyFont="1" applyFill="1" applyBorder="1" applyAlignment="1">
      <alignment vertical="top"/>
    </xf>
    <xf numFmtId="0" fontId="135" fillId="12" borderId="0" xfId="0" applyFont="1" applyFill="1" applyAlignment="1">
      <alignment vertical="top"/>
    </xf>
    <xf numFmtId="0" fontId="0" fillId="12" borderId="0" xfId="0" applyFill="1" applyAlignment="1">
      <alignment vertical="top"/>
    </xf>
    <xf numFmtId="0" fontId="0" fillId="12" borderId="0" xfId="0" applyFill="1"/>
    <xf numFmtId="0" fontId="135" fillId="12" borderId="20" xfId="0" applyFont="1" applyFill="1" applyBorder="1" applyAlignment="1">
      <alignment horizontal="left" vertical="top"/>
    </xf>
    <xf numFmtId="15" fontId="135" fillId="12" borderId="20" xfId="0" applyNumberFormat="1" applyFont="1" applyFill="1" applyBorder="1" applyAlignment="1">
      <alignment vertical="top"/>
    </xf>
    <xf numFmtId="0" fontId="135" fillId="12" borderId="66" xfId="0" applyFont="1" applyFill="1" applyBorder="1" applyAlignment="1">
      <alignment horizontal="left" vertical="top" wrapText="1"/>
    </xf>
    <xf numFmtId="0" fontId="135" fillId="12" borderId="20" xfId="0" applyFont="1" applyFill="1" applyBorder="1" applyAlignment="1">
      <alignment horizontal="left" vertical="top" wrapText="1"/>
    </xf>
    <xf numFmtId="0" fontId="135" fillId="12" borderId="20" xfId="0" applyFont="1" applyFill="1" applyBorder="1" applyAlignment="1">
      <alignment vertical="top" wrapText="1"/>
    </xf>
    <xf numFmtId="0" fontId="135" fillId="12" borderId="66" xfId="0" applyFont="1" applyFill="1" applyBorder="1" applyAlignment="1">
      <alignment vertical="top"/>
    </xf>
    <xf numFmtId="0" fontId="135" fillId="12" borderId="20" xfId="0" applyFont="1" applyFill="1" applyBorder="1" applyAlignment="1">
      <alignment vertical="top"/>
    </xf>
    <xf numFmtId="0" fontId="0" fillId="12" borderId="20" xfId="0" applyFill="1" applyBorder="1" applyAlignment="1">
      <alignment vertical="top"/>
    </xf>
    <xf numFmtId="0" fontId="0" fillId="12" borderId="20" xfId="0" applyFill="1" applyBorder="1"/>
    <xf numFmtId="0" fontId="135" fillId="12" borderId="64" xfId="0" applyFont="1" applyFill="1" applyBorder="1" applyAlignment="1">
      <alignment horizontal="left" vertical="top" wrapText="1"/>
    </xf>
    <xf numFmtId="0" fontId="135" fillId="12" borderId="0" xfId="0" applyFont="1" applyFill="1" applyAlignment="1">
      <alignment horizontal="left" vertical="top" wrapText="1"/>
    </xf>
    <xf numFmtId="0" fontId="135" fillId="12" borderId="64" xfId="0" quotePrefix="1" applyFont="1" applyFill="1" applyBorder="1" applyAlignment="1">
      <alignment vertical="top"/>
    </xf>
    <xf numFmtId="0" fontId="135" fillId="12" borderId="0" xfId="0" quotePrefix="1" applyFont="1" applyFill="1" applyAlignment="1">
      <alignment vertical="top" wrapText="1"/>
    </xf>
    <xf numFmtId="0" fontId="135" fillId="12" borderId="0" xfId="0" quotePrefix="1" applyFont="1" applyFill="1" applyAlignment="1">
      <alignment vertical="top"/>
    </xf>
    <xf numFmtId="0" fontId="135" fillId="12" borderId="67" xfId="0" applyFont="1" applyFill="1" applyBorder="1" applyAlignment="1">
      <alignment horizontal="left" vertical="top" wrapText="1"/>
    </xf>
    <xf numFmtId="0" fontId="135" fillId="12" borderId="66" xfId="0" quotePrefix="1" applyFont="1" applyFill="1" applyBorder="1" applyAlignment="1">
      <alignment vertical="top"/>
    </xf>
    <xf numFmtId="0" fontId="135" fillId="12" borderId="20" xfId="0" quotePrefix="1" applyFont="1" applyFill="1" applyBorder="1" applyAlignment="1">
      <alignment vertical="top"/>
    </xf>
    <xf numFmtId="212" fontId="0" fillId="12" borderId="0" xfId="0" applyNumberFormat="1" applyFill="1" applyAlignment="1">
      <alignment vertical="top"/>
    </xf>
    <xf numFmtId="6" fontId="121" fillId="0" borderId="0" xfId="0" applyNumberFormat="1" applyFont="1" applyAlignment="1">
      <alignment horizontal="right"/>
    </xf>
    <xf numFmtId="0" fontId="121" fillId="0" borderId="0" xfId="0" applyFont="1" applyAlignment="1">
      <alignment horizontal="right"/>
    </xf>
    <xf numFmtId="0" fontId="105" fillId="0" borderId="0" xfId="0" applyFont="1" applyAlignment="1">
      <alignment horizontal="left" indent="3"/>
    </xf>
    <xf numFmtId="41" fontId="105" fillId="0" borderId="0" xfId="0" applyNumberFormat="1" applyFont="1"/>
    <xf numFmtId="41" fontId="105" fillId="0" borderId="43" xfId="0" applyNumberFormat="1" applyFont="1" applyBorder="1"/>
    <xf numFmtId="41" fontId="105" fillId="0" borderId="40" xfId="0" applyNumberFormat="1" applyFont="1" applyBorder="1"/>
    <xf numFmtId="41" fontId="105" fillId="0" borderId="64" xfId="0" applyNumberFormat="1" applyFont="1" applyBorder="1"/>
    <xf numFmtId="176" fontId="128" fillId="0" borderId="0" xfId="0" applyNumberFormat="1" applyFont="1"/>
    <xf numFmtId="177" fontId="128" fillId="0" borderId="0" xfId="1" applyNumberFormat="1" applyFont="1" applyBorder="1"/>
    <xf numFmtId="177" fontId="128" fillId="0" borderId="0" xfId="1" applyNumberFormat="1" applyFont="1"/>
    <xf numFmtId="177" fontId="128" fillId="0" borderId="43" xfId="1" applyNumberFormat="1" applyFont="1" applyBorder="1"/>
    <xf numFmtId="177" fontId="128" fillId="0" borderId="40" xfId="1" applyNumberFormat="1" applyFont="1" applyBorder="1"/>
    <xf numFmtId="177" fontId="128" fillId="0" borderId="64" xfId="1" applyNumberFormat="1" applyFont="1" applyBorder="1"/>
    <xf numFmtId="177" fontId="137" fillId="0" borderId="0" xfId="1" applyNumberFormat="1" applyFont="1" applyBorder="1"/>
    <xf numFmtId="175" fontId="128" fillId="0" borderId="33" xfId="0" applyNumberFormat="1" applyFont="1" applyBorder="1" applyAlignment="1">
      <alignment horizontal="center"/>
    </xf>
    <xf numFmtId="175" fontId="128" fillId="0" borderId="0" xfId="0" applyNumberFormat="1" applyFont="1" applyAlignment="1">
      <alignment horizontal="center"/>
    </xf>
    <xf numFmtId="175" fontId="128" fillId="0" borderId="34" xfId="0" applyNumberFormat="1" applyFont="1" applyBorder="1" applyAlignment="1">
      <alignment horizontal="center"/>
    </xf>
    <xf numFmtId="175" fontId="128" fillId="0" borderId="38" xfId="0" applyNumberFormat="1" applyFont="1" applyBorder="1" applyAlignment="1">
      <alignment horizontal="center"/>
    </xf>
    <xf numFmtId="0" fontId="138" fillId="0" borderId="0" xfId="0" applyFont="1"/>
    <xf numFmtId="183" fontId="105" fillId="0" borderId="40" xfId="1" applyNumberFormat="1" applyFont="1" applyBorder="1"/>
    <xf numFmtId="183" fontId="105" fillId="0" borderId="0" xfId="1" applyNumberFormat="1" applyFont="1" applyBorder="1"/>
    <xf numFmtId="183" fontId="105" fillId="0" borderId="64" xfId="1" applyNumberFormat="1" applyFont="1" applyBorder="1"/>
    <xf numFmtId="183" fontId="82" fillId="0" borderId="0" xfId="1" applyNumberFormat="1" applyFont="1" applyBorder="1"/>
    <xf numFmtId="183" fontId="105" fillId="0" borderId="26" xfId="1" applyNumberFormat="1" applyFont="1" applyBorder="1"/>
    <xf numFmtId="183" fontId="105" fillId="0" borderId="43" xfId="1" applyNumberFormat="1" applyFont="1" applyBorder="1"/>
    <xf numFmtId="183" fontId="105" fillId="0" borderId="0" xfId="1" applyNumberFormat="1" applyFont="1"/>
    <xf numFmtId="183" fontId="105" fillId="0" borderId="33" xfId="1" applyNumberFormat="1" applyFont="1" applyBorder="1" applyAlignment="1">
      <alignment horizontal="center"/>
    </xf>
    <xf numFmtId="183" fontId="81" fillId="0" borderId="0" xfId="1" applyNumberFormat="1" applyFont="1"/>
    <xf numFmtId="177" fontId="81" fillId="0" borderId="0" xfId="1" applyNumberFormat="1" applyFont="1"/>
    <xf numFmtId="183" fontId="105" fillId="0" borderId="0" xfId="1" applyNumberFormat="1" applyFont="1" applyBorder="1" applyAlignment="1">
      <alignment horizontal="center"/>
    </xf>
    <xf numFmtId="177" fontId="81" fillId="0" borderId="0" xfId="0" applyNumberFormat="1" applyFont="1"/>
    <xf numFmtId="0" fontId="139" fillId="0" borderId="0" xfId="0" applyFont="1"/>
    <xf numFmtId="178" fontId="139" fillId="0" borderId="0" xfId="0" applyNumberFormat="1" applyFont="1"/>
    <xf numFmtId="178" fontId="139" fillId="0" borderId="43" xfId="0" applyNumberFormat="1" applyFont="1" applyBorder="1"/>
    <xf numFmtId="178" fontId="139" fillId="0" borderId="40" xfId="0" applyNumberFormat="1" applyFont="1" applyBorder="1"/>
    <xf numFmtId="178" fontId="139" fillId="0" borderId="64" xfId="0" applyNumberFormat="1" applyFont="1" applyBorder="1"/>
    <xf numFmtId="178" fontId="139" fillId="0" borderId="26" xfId="0" applyNumberFormat="1" applyFont="1" applyBorder="1"/>
    <xf numFmtId="0" fontId="140" fillId="0" borderId="0" xfId="0" applyFont="1"/>
    <xf numFmtId="0" fontId="139" fillId="0" borderId="33" xfId="0" applyFont="1" applyBorder="1" applyAlignment="1">
      <alignment horizontal="center"/>
    </xf>
    <xf numFmtId="0" fontId="139" fillId="0" borderId="0" xfId="0" applyFont="1" applyAlignment="1">
      <alignment horizontal="center"/>
    </xf>
    <xf numFmtId="0" fontId="139" fillId="0" borderId="34" xfId="0" applyFont="1" applyBorder="1" applyAlignment="1">
      <alignment horizontal="center"/>
    </xf>
    <xf numFmtId="0" fontId="139" fillId="0" borderId="38" xfId="0" applyFont="1" applyBorder="1" applyAlignment="1">
      <alignment horizontal="center"/>
    </xf>
    <xf numFmtId="0" fontId="81" fillId="0" borderId="40" xfId="0" applyFont="1" applyBorder="1"/>
    <xf numFmtId="177" fontId="81" fillId="0" borderId="40" xfId="1" applyNumberFormat="1" applyFont="1" applyBorder="1"/>
    <xf numFmtId="0" fontId="82" fillId="0" borderId="40" xfId="0" applyFont="1" applyBorder="1"/>
    <xf numFmtId="183" fontId="81" fillId="0" borderId="0" xfId="1" applyNumberFormat="1" applyFont="1" applyBorder="1"/>
    <xf numFmtId="183" fontId="81" fillId="0" borderId="40" xfId="1" applyNumberFormat="1" applyFont="1" applyBorder="1"/>
    <xf numFmtId="177" fontId="111" fillId="0" borderId="40" xfId="1" applyNumberFormat="1" applyFont="1" applyBorder="1"/>
    <xf numFmtId="0" fontId="81" fillId="0" borderId="64" xfId="0" applyFont="1" applyBorder="1"/>
    <xf numFmtId="183" fontId="81" fillId="0" borderId="64" xfId="1" applyNumberFormat="1" applyFont="1" applyBorder="1"/>
    <xf numFmtId="0" fontId="93" fillId="0" borderId="27" xfId="0" applyFont="1" applyBorder="1"/>
    <xf numFmtId="0" fontId="102" fillId="0" borderId="0" xfId="0" applyFont="1"/>
    <xf numFmtId="0" fontId="141" fillId="0" borderId="0" xfId="0" applyFont="1" applyAlignment="1">
      <alignment horizontal="left" indent="1"/>
    </xf>
    <xf numFmtId="0" fontId="141" fillId="0" borderId="0" xfId="0" applyFont="1" applyAlignment="1">
      <alignment horizontal="left"/>
    </xf>
    <xf numFmtId="0" fontId="91" fillId="0" borderId="0" xfId="0" applyFont="1" applyAlignment="1">
      <alignment horizontal="left" indent="1"/>
    </xf>
    <xf numFmtId="0" fontId="142" fillId="0" borderId="0" xfId="0" applyFont="1" applyAlignment="1">
      <alignment horizontal="left" indent="1"/>
    </xf>
    <xf numFmtId="0" fontId="93" fillId="0" borderId="0" xfId="0" applyFont="1" applyAlignment="1">
      <alignment horizontal="left" indent="1"/>
    </xf>
    <xf numFmtId="168" fontId="86" fillId="0" borderId="0" xfId="0" applyNumberFormat="1" applyFont="1"/>
    <xf numFmtId="168" fontId="133" fillId="0" borderId="0" xfId="0" applyNumberFormat="1" applyFont="1"/>
    <xf numFmtId="183" fontId="85" fillId="0" borderId="0" xfId="1" applyNumberFormat="1" applyFont="1" applyBorder="1"/>
    <xf numFmtId="183" fontId="85" fillId="0" borderId="0" xfId="1" applyNumberFormat="1" applyFont="1"/>
    <xf numFmtId="168" fontId="85" fillId="0" borderId="0" xfId="0" applyNumberFormat="1" applyFont="1"/>
    <xf numFmtId="168" fontId="86" fillId="0" borderId="40" xfId="0" applyNumberFormat="1" applyFont="1" applyBorder="1"/>
    <xf numFmtId="183" fontId="85" fillId="0" borderId="40" xfId="1" applyNumberFormat="1" applyFont="1" applyBorder="1"/>
    <xf numFmtId="168" fontId="85" fillId="0" borderId="40" xfId="0" applyNumberFormat="1" applyFont="1" applyBorder="1"/>
    <xf numFmtId="168" fontId="133" fillId="0" borderId="40" xfId="0" applyNumberFormat="1" applyFont="1" applyBorder="1"/>
    <xf numFmtId="0" fontId="143" fillId="0" borderId="0" xfId="0" applyFont="1" applyAlignment="1">
      <alignment horizontal="left" indent="1"/>
    </xf>
    <xf numFmtId="0" fontId="131" fillId="0" borderId="0" xfId="0" applyFont="1"/>
    <xf numFmtId="0" fontId="136" fillId="12" borderId="66" xfId="0" applyFont="1" applyFill="1" applyBorder="1" applyAlignment="1">
      <alignment vertical="top"/>
    </xf>
    <xf numFmtId="0" fontId="136" fillId="12" borderId="20" xfId="0" applyFont="1" applyFill="1" applyBorder="1" applyAlignment="1">
      <alignment vertical="top" wrapText="1"/>
    </xf>
    <xf numFmtId="0" fontId="118" fillId="0" borderId="40" xfId="0" applyFont="1" applyBorder="1" applyAlignment="1">
      <alignment horizontal="center"/>
    </xf>
    <xf numFmtId="177" fontId="120" fillId="0" borderId="40" xfId="1" applyNumberFormat="1" applyFont="1" applyBorder="1"/>
    <xf numFmtId="178" fontId="82" fillId="0" borderId="40" xfId="0" applyNumberFormat="1" applyFont="1" applyBorder="1"/>
    <xf numFmtId="177" fontId="82" fillId="0" borderId="40" xfId="1" applyNumberFormat="1" applyFont="1" applyBorder="1"/>
    <xf numFmtId="0" fontId="121" fillId="0" borderId="40" xfId="0" applyFont="1" applyBorder="1" applyAlignment="1">
      <alignment horizontal="right"/>
    </xf>
    <xf numFmtId="41" fontId="109" fillId="0" borderId="40" xfId="0" applyNumberFormat="1" applyFont="1" applyBorder="1"/>
    <xf numFmtId="175" fontId="105" fillId="0" borderId="40" xfId="2" applyNumberFormat="1" applyFont="1" applyBorder="1"/>
    <xf numFmtId="180" fontId="82" fillId="0" borderId="40" xfId="0" applyNumberFormat="1" applyFont="1" applyBorder="1"/>
    <xf numFmtId="180" fontId="83" fillId="0" borderId="40" xfId="0" applyNumberFormat="1" applyFont="1" applyBorder="1"/>
    <xf numFmtId="0" fontId="118" fillId="0" borderId="64" xfId="0" applyFont="1" applyBorder="1" applyAlignment="1">
      <alignment horizontal="center"/>
    </xf>
    <xf numFmtId="177" fontId="120" fillId="0" borderId="64" xfId="1" applyNumberFormat="1" applyFont="1" applyBorder="1"/>
    <xf numFmtId="178" fontId="82" fillId="0" borderId="64" xfId="0" applyNumberFormat="1" applyFont="1" applyBorder="1"/>
    <xf numFmtId="177" fontId="82" fillId="0" borderId="64" xfId="1" applyNumberFormat="1" applyFont="1" applyBorder="1"/>
    <xf numFmtId="0" fontId="121" fillId="0" borderId="64" xfId="0" applyFont="1" applyBorder="1" applyAlignment="1">
      <alignment horizontal="right"/>
    </xf>
    <xf numFmtId="177" fontId="111" fillId="0" borderId="64" xfId="1" applyNumberFormat="1" applyFont="1" applyBorder="1"/>
    <xf numFmtId="175" fontId="105" fillId="0" borderId="64" xfId="2" applyNumberFormat="1" applyFont="1" applyBorder="1"/>
    <xf numFmtId="180" fontId="83" fillId="0" borderId="64" xfId="0" applyNumberFormat="1" applyFont="1" applyBorder="1"/>
    <xf numFmtId="180" fontId="123" fillId="0" borderId="40" xfId="0" applyNumberFormat="1" applyFont="1" applyBorder="1"/>
    <xf numFmtId="177" fontId="81" fillId="0" borderId="64" xfId="0" applyNumberFormat="1" applyFont="1" applyBorder="1"/>
    <xf numFmtId="0" fontId="129" fillId="0" borderId="0" xfId="0" applyFont="1"/>
    <xf numFmtId="177" fontId="108" fillId="0" borderId="0" xfId="0" applyNumberFormat="1" applyFont="1"/>
    <xf numFmtId="0" fontId="117" fillId="0" borderId="64" xfId="0" applyFont="1" applyBorder="1" applyAlignment="1">
      <alignment horizontal="centerContinuous"/>
    </xf>
    <xf numFmtId="6" fontId="121" fillId="0" borderId="64" xfId="0" applyNumberFormat="1" applyFont="1" applyBorder="1" applyAlignment="1">
      <alignment horizontal="right"/>
    </xf>
    <xf numFmtId="0" fontId="81" fillId="13" borderId="0" xfId="0" applyFont="1" applyFill="1"/>
    <xf numFmtId="0" fontId="144" fillId="13" borderId="0" xfId="0" applyFont="1" applyFill="1"/>
    <xf numFmtId="177" fontId="105" fillId="0" borderId="40" xfId="1" applyNumberFormat="1" applyFont="1" applyBorder="1" applyAlignment="1">
      <alignment horizontal="right"/>
    </xf>
    <xf numFmtId="178" fontId="81" fillId="0" borderId="0" xfId="0" applyNumberFormat="1" applyFont="1"/>
    <xf numFmtId="0" fontId="104" fillId="6" borderId="0" xfId="0" applyFont="1" applyFill="1"/>
    <xf numFmtId="0" fontId="83" fillId="6" borderId="0" xfId="0" applyFont="1" applyFill="1"/>
    <xf numFmtId="0" fontId="108" fillId="0" borderId="0" xfId="0" applyFont="1" applyAlignment="1">
      <alignment horizontal="left"/>
    </xf>
    <xf numFmtId="43" fontId="83" fillId="0" borderId="0" xfId="0" applyNumberFormat="1" applyFont="1"/>
    <xf numFmtId="177" fontId="114" fillId="0" borderId="0" xfId="0" applyNumberFormat="1" applyFont="1"/>
    <xf numFmtId="183" fontId="145" fillId="0" borderId="0" xfId="1" applyNumberFormat="1" applyFont="1"/>
    <xf numFmtId="177" fontId="146" fillId="0" borderId="0" xfId="1" applyNumberFormat="1" applyFont="1"/>
    <xf numFmtId="177" fontId="145" fillId="0" borderId="0" xfId="0" applyNumberFormat="1" applyFont="1"/>
    <xf numFmtId="183" fontId="111" fillId="0" borderId="0" xfId="1" applyNumberFormat="1" applyFont="1"/>
    <xf numFmtId="213" fontId="81" fillId="0" borderId="0" xfId="0" applyNumberFormat="1" applyFont="1"/>
    <xf numFmtId="1" fontId="81" fillId="0" borderId="0" xfId="0" applyNumberFormat="1" applyFont="1"/>
    <xf numFmtId="0" fontId="147" fillId="0" borderId="0" xfId="0" applyFont="1"/>
    <xf numFmtId="0" fontId="148" fillId="0" borderId="0" xfId="0" applyFont="1"/>
    <xf numFmtId="0" fontId="149" fillId="0" borderId="0" xfId="0" applyFont="1"/>
    <xf numFmtId="0" fontId="150" fillId="0" borderId="10" xfId="0" applyFont="1" applyBorder="1"/>
    <xf numFmtId="0" fontId="149" fillId="0" borderId="10" xfId="0" applyFont="1" applyBorder="1"/>
    <xf numFmtId="0" fontId="147" fillId="0" borderId="10" xfId="0" applyFont="1" applyBorder="1"/>
    <xf numFmtId="0" fontId="151" fillId="0" borderId="10" xfId="0" applyFont="1" applyBorder="1"/>
    <xf numFmtId="0" fontId="152" fillId="0" borderId="0" xfId="0" applyFont="1" applyAlignment="1">
      <alignment horizontal="centerContinuous"/>
    </xf>
    <xf numFmtId="0" fontId="147" fillId="0" borderId="0" xfId="0" applyFont="1" applyAlignment="1">
      <alignment horizontal="right"/>
    </xf>
    <xf numFmtId="0" fontId="153" fillId="0" borderId="0" xfId="0" applyFont="1" applyAlignment="1">
      <alignment horizontal="right"/>
    </xf>
    <xf numFmtId="0" fontId="153" fillId="0" borderId="40" xfId="0" applyFont="1" applyBorder="1" applyAlignment="1">
      <alignment horizontal="right"/>
    </xf>
    <xf numFmtId="0" fontId="153" fillId="0" borderId="0" xfId="0" applyFont="1"/>
    <xf numFmtId="0" fontId="153" fillId="0" borderId="43" xfId="0" applyFont="1" applyBorder="1"/>
    <xf numFmtId="0" fontId="153" fillId="0" borderId="40" xfId="0" applyFont="1" applyBorder="1"/>
    <xf numFmtId="0" fontId="155" fillId="0" borderId="0" xfId="0" applyFont="1" applyAlignment="1">
      <alignment horizontal="centerContinuous"/>
    </xf>
    <xf numFmtId="0" fontId="156" fillId="0" borderId="0" xfId="0" applyFont="1"/>
    <xf numFmtId="177" fontId="148" fillId="0" borderId="0" xfId="1" applyNumberFormat="1" applyFont="1"/>
    <xf numFmtId="0" fontId="157" fillId="0" borderId="0" xfId="0" applyFont="1" applyAlignment="1">
      <alignment horizontal="left" indent="1"/>
    </xf>
    <xf numFmtId="0" fontId="158" fillId="0" borderId="0" xfId="0" applyFont="1" applyAlignment="1">
      <alignment horizontal="left" indent="1"/>
    </xf>
    <xf numFmtId="178" fontId="158" fillId="0" borderId="0" xfId="0" applyNumberFormat="1" applyFont="1"/>
    <xf numFmtId="178" fontId="150" fillId="0" borderId="0" xfId="0" applyNumberFormat="1" applyFont="1"/>
    <xf numFmtId="0" fontId="148" fillId="0" borderId="0" xfId="0" applyFont="1" applyAlignment="1">
      <alignment horizontal="left" indent="1"/>
    </xf>
    <xf numFmtId="175" fontId="148" fillId="0" borderId="33" xfId="0" applyNumberFormat="1" applyFont="1" applyBorder="1" applyAlignment="1">
      <alignment horizontal="center"/>
    </xf>
    <xf numFmtId="175" fontId="148" fillId="0" borderId="0" xfId="0" applyNumberFormat="1" applyFont="1" applyAlignment="1">
      <alignment horizontal="center"/>
    </xf>
    <xf numFmtId="175" fontId="148" fillId="0" borderId="34" xfId="0" applyNumberFormat="1" applyFont="1" applyBorder="1" applyAlignment="1">
      <alignment horizontal="center"/>
    </xf>
    <xf numFmtId="0" fontId="148" fillId="0" borderId="40" xfId="0" applyFont="1" applyBorder="1"/>
    <xf numFmtId="177" fontId="148" fillId="0" borderId="40" xfId="1" applyNumberFormat="1" applyFont="1" applyBorder="1"/>
    <xf numFmtId="178" fontId="158" fillId="0" borderId="40" xfId="0" applyNumberFormat="1" applyFont="1" applyBorder="1"/>
    <xf numFmtId="177" fontId="148" fillId="0" borderId="0" xfId="1" applyNumberFormat="1" applyFont="1" applyBorder="1"/>
    <xf numFmtId="0" fontId="154" fillId="0" borderId="40" xfId="0" applyFont="1" applyBorder="1" applyAlignment="1">
      <alignment horizontal="centerContinuous"/>
    </xf>
    <xf numFmtId="177" fontId="147" fillId="0" borderId="0" xfId="1" applyNumberFormat="1" applyFont="1"/>
    <xf numFmtId="43" fontId="84" fillId="0" borderId="40" xfId="0" applyNumberFormat="1" applyFont="1" applyBorder="1"/>
    <xf numFmtId="185" fontId="93" fillId="0" borderId="0" xfId="0" applyNumberFormat="1" applyFont="1" applyAlignment="1">
      <alignment horizontal="right" vertical="top" wrapText="1"/>
    </xf>
    <xf numFmtId="0" fontId="130" fillId="0" borderId="0" xfId="0" applyFont="1" applyAlignment="1">
      <alignment horizontal="centerContinuous"/>
    </xf>
    <xf numFmtId="177" fontId="83" fillId="0" borderId="42" xfId="1" applyNumberFormat="1" applyFont="1" applyBorder="1"/>
    <xf numFmtId="178" fontId="105" fillId="0" borderId="42" xfId="0" applyNumberFormat="1" applyFont="1" applyBorder="1"/>
    <xf numFmtId="0" fontId="83" fillId="0" borderId="42" xfId="0" applyFont="1" applyBorder="1"/>
    <xf numFmtId="180" fontId="105" fillId="0" borderId="42" xfId="0" applyNumberFormat="1" applyFont="1" applyBorder="1"/>
    <xf numFmtId="0" fontId="108" fillId="0" borderId="42" xfId="0" applyFont="1" applyBorder="1" applyAlignment="1">
      <alignment horizontal="right"/>
    </xf>
    <xf numFmtId="0" fontId="81" fillId="0" borderId="42" xfId="0" applyFont="1" applyBorder="1"/>
    <xf numFmtId="183" fontId="83" fillId="0" borderId="0" xfId="1" applyNumberFormat="1" applyFont="1" applyBorder="1"/>
    <xf numFmtId="212" fontId="0" fillId="12" borderId="20" xfId="0" applyNumberFormat="1" applyFill="1" applyBorder="1" applyAlignment="1">
      <alignment vertical="top"/>
    </xf>
    <xf numFmtId="0" fontId="136" fillId="12" borderId="64" xfId="0" applyFont="1" applyFill="1" applyBorder="1" applyAlignment="1">
      <alignment vertical="top"/>
    </xf>
    <xf numFmtId="0" fontId="136" fillId="12" borderId="0" xfId="0" quotePrefix="1" applyFont="1" applyFill="1" applyAlignment="1">
      <alignment vertical="top" wrapText="1"/>
    </xf>
    <xf numFmtId="43" fontId="105" fillId="0" borderId="0" xfId="1" applyFont="1" applyBorder="1"/>
    <xf numFmtId="0" fontId="117" fillId="0" borderId="43" xfId="0" applyFont="1" applyBorder="1" applyAlignment="1">
      <alignment horizontal="centerContinuous"/>
    </xf>
    <xf numFmtId="8" fontId="121" fillId="0" borderId="0" xfId="0" applyNumberFormat="1" applyFont="1" applyAlignment="1">
      <alignment horizontal="right"/>
    </xf>
    <xf numFmtId="177" fontId="120" fillId="0" borderId="0" xfId="1" applyNumberFormat="1" applyFont="1" applyBorder="1"/>
    <xf numFmtId="0" fontId="41" fillId="0" borderId="0" xfId="0" applyFont="1"/>
    <xf numFmtId="0" fontId="41" fillId="0" borderId="20" xfId="0" applyFont="1" applyBorder="1"/>
    <xf numFmtId="0" fontId="0" fillId="0" borderId="20" xfId="0" applyBorder="1"/>
    <xf numFmtId="177" fontId="0" fillId="0" borderId="0" xfId="1" applyNumberFormat="1" applyFont="1"/>
    <xf numFmtId="175" fontId="0" fillId="0" borderId="0" xfId="2" applyNumberFormat="1" applyFont="1"/>
    <xf numFmtId="9" fontId="0" fillId="0" borderId="0" xfId="2" applyFont="1"/>
    <xf numFmtId="214" fontId="105" fillId="0" borderId="0" xfId="0" applyNumberFormat="1" applyFont="1"/>
    <xf numFmtId="0" fontId="0" fillId="0" borderId="0" xfId="0" applyAlignment="1">
      <alignment vertical="center"/>
    </xf>
    <xf numFmtId="215" fontId="0" fillId="0" borderId="0" xfId="0" applyNumberFormat="1" applyAlignment="1">
      <alignment vertical="center"/>
    </xf>
    <xf numFmtId="2" fontId="0" fillId="0" borderId="0" xfId="0" applyNumberFormat="1" applyAlignment="1">
      <alignment vertical="center"/>
    </xf>
    <xf numFmtId="216" fontId="0" fillId="0" borderId="0" xfId="0" applyNumberFormat="1" applyAlignment="1">
      <alignment vertical="center"/>
    </xf>
    <xf numFmtId="0" fontId="160" fillId="0" borderId="0" xfId="0" applyFont="1" applyAlignment="1">
      <alignment vertical="center"/>
    </xf>
    <xf numFmtId="217" fontId="0" fillId="0" borderId="0" xfId="0" applyNumberFormat="1" applyAlignment="1">
      <alignment vertical="center"/>
    </xf>
    <xf numFmtId="218" fontId="0" fillId="0" borderId="0" xfId="0" applyNumberFormat="1" applyAlignment="1">
      <alignment vertical="center"/>
    </xf>
    <xf numFmtId="211" fontId="108" fillId="0" borderId="0" xfId="0" applyNumberFormat="1" applyFont="1"/>
    <xf numFmtId="43" fontId="105" fillId="0" borderId="64" xfId="1" applyFont="1" applyBorder="1"/>
    <xf numFmtId="211" fontId="83" fillId="0" borderId="64" xfId="1" applyNumberFormat="1" applyFont="1" applyBorder="1"/>
    <xf numFmtId="176" fontId="83" fillId="0" borderId="64" xfId="0" applyNumberFormat="1" applyFont="1" applyBorder="1"/>
    <xf numFmtId="176" fontId="105" fillId="0" borderId="64" xfId="0" applyNumberFormat="1" applyFont="1" applyBorder="1"/>
    <xf numFmtId="175" fontId="83" fillId="0" borderId="64" xfId="2" applyNumberFormat="1" applyFont="1" applyBorder="1"/>
    <xf numFmtId="177" fontId="83" fillId="0" borderId="64" xfId="0" applyNumberFormat="1" applyFont="1" applyBorder="1"/>
    <xf numFmtId="0" fontId="81" fillId="0" borderId="43" xfId="0" applyFont="1" applyBorder="1"/>
    <xf numFmtId="183" fontId="83" fillId="0" borderId="43" xfId="1" applyNumberFormat="1" applyFont="1" applyBorder="1"/>
    <xf numFmtId="43" fontId="83" fillId="0" borderId="43" xfId="0" applyNumberFormat="1" applyFont="1" applyBorder="1"/>
    <xf numFmtId="183" fontId="83" fillId="0" borderId="64" xfId="1" applyNumberFormat="1" applyFont="1" applyBorder="1"/>
    <xf numFmtId="43" fontId="121" fillId="0" borderId="0" xfId="0" applyNumberFormat="1" applyFont="1" applyAlignment="1">
      <alignment horizontal="right"/>
    </xf>
    <xf numFmtId="0" fontId="118" fillId="0" borderId="42" xfId="0" applyFont="1" applyBorder="1" applyAlignment="1">
      <alignment horizontal="center"/>
    </xf>
    <xf numFmtId="177" fontId="120" fillId="0" borderId="42" xfId="1" applyNumberFormat="1" applyFont="1" applyBorder="1"/>
    <xf numFmtId="178" fontId="82" fillId="0" borderId="42" xfId="0" applyNumberFormat="1" applyFont="1" applyBorder="1"/>
    <xf numFmtId="177" fontId="82" fillId="0" borderId="42" xfId="1" applyNumberFormat="1" applyFont="1" applyBorder="1"/>
    <xf numFmtId="0" fontId="121" fillId="0" borderId="42" xfId="0" applyFont="1" applyBorder="1" applyAlignment="1">
      <alignment horizontal="right"/>
    </xf>
    <xf numFmtId="177" fontId="111" fillId="0" borderId="42" xfId="1" applyNumberFormat="1" applyFont="1" applyBorder="1"/>
    <xf numFmtId="41" fontId="109" fillId="0" borderId="42" xfId="0" applyNumberFormat="1" applyFont="1" applyBorder="1"/>
    <xf numFmtId="175" fontId="105" fillId="0" borderId="42" xfId="2" applyNumberFormat="1" applyFont="1" applyBorder="1"/>
    <xf numFmtId="180" fontId="83" fillId="0" borderId="42" xfId="0" applyNumberFormat="1" applyFont="1" applyBorder="1"/>
    <xf numFmtId="177" fontId="121" fillId="0" borderId="64" xfId="1" applyNumberFormat="1" applyFont="1" applyBorder="1"/>
    <xf numFmtId="178" fontId="121" fillId="0" borderId="64" xfId="0" applyNumberFormat="1" applyFont="1" applyBorder="1"/>
    <xf numFmtId="41" fontId="110" fillId="0" borderId="64" xfId="0" applyNumberFormat="1" applyFont="1" applyBorder="1"/>
    <xf numFmtId="177" fontId="81" fillId="0" borderId="43" xfId="1" applyNumberFormat="1" applyFont="1" applyBorder="1"/>
    <xf numFmtId="0" fontId="162" fillId="0" borderId="0" xfId="0" applyFont="1"/>
    <xf numFmtId="0" fontId="84" fillId="14" borderId="0" xfId="0" applyFont="1" applyFill="1"/>
    <xf numFmtId="168" fontId="99" fillId="14" borderId="0" xfId="0" applyNumberFormat="1" applyFont="1" applyFill="1" applyAlignment="1">
      <alignment horizontal="right" vertical="top" wrapText="1"/>
    </xf>
    <xf numFmtId="0" fontId="46" fillId="0" borderId="0" xfId="0" applyFont="1"/>
    <xf numFmtId="0" fontId="46" fillId="0" borderId="20" xfId="0" applyFont="1" applyBorder="1"/>
    <xf numFmtId="0" fontId="0" fillId="0" borderId="0" xfId="0" applyAlignment="1">
      <alignment wrapText="1"/>
    </xf>
    <xf numFmtId="0" fontId="46" fillId="0" borderId="0" xfId="0" applyFont="1" applyAlignment="1">
      <alignment wrapText="1"/>
    </xf>
    <xf numFmtId="0" fontId="135" fillId="0" borderId="0" xfId="0" applyFont="1"/>
    <xf numFmtId="0" fontId="163" fillId="0" borderId="0" xfId="0" applyFont="1" applyAlignment="1">
      <alignment horizontal="centerContinuous"/>
    </xf>
    <xf numFmtId="0" fontId="135" fillId="0" borderId="0" xfId="0" applyFont="1" applyAlignment="1">
      <alignment horizontal="right"/>
    </xf>
    <xf numFmtId="0" fontId="164" fillId="0" borderId="0" xfId="0" applyFont="1" applyAlignment="1">
      <alignment horizontal="right"/>
    </xf>
    <xf numFmtId="0" fontId="164" fillId="0" borderId="40" xfId="0" applyFont="1" applyBorder="1" applyAlignment="1">
      <alignment horizontal="right"/>
    </xf>
    <xf numFmtId="0" fontId="164" fillId="0" borderId="0" xfId="0" applyFont="1"/>
    <xf numFmtId="0" fontId="164" fillId="0" borderId="40" xfId="0" applyFont="1" applyBorder="1"/>
    <xf numFmtId="0" fontId="165" fillId="0" borderId="40" xfId="0" applyFont="1" applyBorder="1" applyAlignment="1">
      <alignment horizontal="centerContinuous"/>
    </xf>
    <xf numFmtId="0" fontId="166" fillId="0" borderId="0" xfId="0" applyFont="1" applyAlignment="1">
      <alignment horizontal="centerContinuous"/>
    </xf>
    <xf numFmtId="0" fontId="164" fillId="0" borderId="26" xfId="0" applyFont="1" applyBorder="1"/>
    <xf numFmtId="0" fontId="164" fillId="0" borderId="43" xfId="0" applyFont="1" applyBorder="1"/>
    <xf numFmtId="0" fontId="52" fillId="0" borderId="27" xfId="0" applyFont="1" applyBorder="1"/>
    <xf numFmtId="177" fontId="164" fillId="0" borderId="0" xfId="0" applyNumberFormat="1" applyFont="1"/>
    <xf numFmtId="211" fontId="164" fillId="0" borderId="0" xfId="0" applyNumberFormat="1" applyFont="1"/>
    <xf numFmtId="0" fontId="135" fillId="0" borderId="0" xfId="0" applyFont="1" applyAlignment="1">
      <alignment horizontal="left"/>
    </xf>
    <xf numFmtId="177" fontId="135" fillId="0" borderId="0" xfId="1" applyNumberFormat="1" applyFont="1" applyBorder="1"/>
    <xf numFmtId="177" fontId="135" fillId="0" borderId="40" xfId="1" applyNumberFormat="1" applyFont="1" applyBorder="1"/>
    <xf numFmtId="211" fontId="136" fillId="0" borderId="0" xfId="1" applyNumberFormat="1" applyFont="1" applyBorder="1"/>
    <xf numFmtId="177" fontId="0" fillId="0" borderId="0" xfId="1" applyNumberFormat="1" applyFont="1" applyBorder="1"/>
    <xf numFmtId="177" fontId="135" fillId="0" borderId="26" xfId="1" applyNumberFormat="1" applyFont="1" applyBorder="1"/>
    <xf numFmtId="177" fontId="135" fillId="0" borderId="43" xfId="1" applyNumberFormat="1" applyFont="1" applyBorder="1"/>
    <xf numFmtId="0" fontId="167" fillId="0" borderId="0" xfId="0" applyFont="1" applyAlignment="1">
      <alignment horizontal="left" indent="1"/>
    </xf>
    <xf numFmtId="178" fontId="167" fillId="0" borderId="0" xfId="0" applyNumberFormat="1" applyFont="1"/>
    <xf numFmtId="178" fontId="167" fillId="0" borderId="40" xfId="0" applyNumberFormat="1" applyFont="1" applyBorder="1"/>
    <xf numFmtId="0" fontId="167" fillId="0" borderId="0" xfId="0" applyFont="1"/>
    <xf numFmtId="178" fontId="167" fillId="0" borderId="26" xfId="0" applyNumberFormat="1" applyFont="1" applyBorder="1"/>
    <xf numFmtId="178" fontId="167" fillId="0" borderId="43" xfId="0" applyNumberFormat="1" applyFont="1" applyBorder="1"/>
    <xf numFmtId="177" fontId="167" fillId="0" borderId="0" xfId="1" applyNumberFormat="1" applyFont="1" applyBorder="1"/>
    <xf numFmtId="177" fontId="167" fillId="0" borderId="40" xfId="1" applyNumberFormat="1" applyFont="1" applyBorder="1"/>
    <xf numFmtId="177" fontId="41" fillId="0" borderId="0" xfId="1" applyNumberFormat="1" applyFont="1" applyBorder="1"/>
    <xf numFmtId="177" fontId="167" fillId="0" borderId="26" xfId="1" applyNumberFormat="1" applyFont="1" applyBorder="1"/>
    <xf numFmtId="177" fontId="167" fillId="0" borderId="43" xfId="1" applyNumberFormat="1" applyFont="1" applyBorder="1"/>
    <xf numFmtId="0" fontId="135" fillId="0" borderId="0" xfId="0" applyFont="1" applyAlignment="1">
      <alignment horizontal="left" indent="1"/>
    </xf>
    <xf numFmtId="6" fontId="135" fillId="0" borderId="0" xfId="0" applyNumberFormat="1" applyFont="1"/>
    <xf numFmtId="6" fontId="135" fillId="0" borderId="40" xfId="0" applyNumberFormat="1" applyFont="1" applyBorder="1"/>
    <xf numFmtId="43" fontId="167" fillId="0" borderId="0" xfId="1" applyFont="1" applyBorder="1"/>
    <xf numFmtId="6" fontId="135" fillId="0" borderId="26" xfId="0" applyNumberFormat="1" applyFont="1" applyBorder="1"/>
    <xf numFmtId="6" fontId="135" fillId="0" borderId="43" xfId="0" applyNumberFormat="1" applyFont="1" applyBorder="1"/>
    <xf numFmtId="211" fontId="135" fillId="0" borderId="0" xfId="1" applyNumberFormat="1" applyFont="1" applyBorder="1"/>
    <xf numFmtId="6" fontId="168" fillId="0" borderId="0" xfId="0" applyNumberFormat="1" applyFont="1" applyAlignment="1">
      <alignment horizontal="right"/>
    </xf>
    <xf numFmtId="8" fontId="168" fillId="0" borderId="0" xfId="0" applyNumberFormat="1" applyFont="1" applyAlignment="1">
      <alignment horizontal="right"/>
    </xf>
    <xf numFmtId="0" fontId="168" fillId="0" borderId="0" xfId="0" applyFont="1" applyAlignment="1">
      <alignment horizontal="right"/>
    </xf>
    <xf numFmtId="177" fontId="167" fillId="0" borderId="0" xfId="1" applyNumberFormat="1" applyFont="1" applyFill="1" applyBorder="1"/>
    <xf numFmtId="177" fontId="167" fillId="0" borderId="40" xfId="1" applyNumberFormat="1" applyFont="1" applyFill="1" applyBorder="1"/>
    <xf numFmtId="177" fontId="41" fillId="0" borderId="0" xfId="1" applyNumberFormat="1" applyFont="1" applyFill="1" applyBorder="1"/>
    <xf numFmtId="177" fontId="167" fillId="0" borderId="26" xfId="1" applyNumberFormat="1" applyFont="1" applyFill="1" applyBorder="1"/>
    <xf numFmtId="177" fontId="167" fillId="0" borderId="43" xfId="1" applyNumberFormat="1" applyFont="1" applyFill="1" applyBorder="1"/>
    <xf numFmtId="178" fontId="167" fillId="0" borderId="64" xfId="0" applyNumberFormat="1" applyFont="1" applyBorder="1"/>
    <xf numFmtId="0" fontId="0" fillId="0" borderId="40" xfId="0" applyBorder="1"/>
    <xf numFmtId="177" fontId="135" fillId="0" borderId="0" xfId="1" applyNumberFormat="1" applyFont="1" applyBorder="1" applyAlignment="1">
      <alignment horizontal="right"/>
    </xf>
    <xf numFmtId="177" fontId="135" fillId="0" borderId="40" xfId="1" applyNumberFormat="1" applyFont="1" applyBorder="1" applyAlignment="1">
      <alignment horizontal="right"/>
    </xf>
    <xf numFmtId="0" fontId="169" fillId="0" borderId="0" xfId="0" applyFont="1" applyAlignment="1">
      <alignment horizontal="left" indent="1"/>
    </xf>
    <xf numFmtId="177" fontId="167" fillId="0" borderId="0" xfId="1" applyNumberFormat="1" applyFont="1" applyBorder="1" applyAlignment="1">
      <alignment horizontal="right"/>
    </xf>
    <xf numFmtId="177" fontId="167" fillId="0" borderId="40" xfId="1" applyNumberFormat="1" applyFont="1" applyBorder="1" applyAlignment="1">
      <alignment horizontal="right"/>
    </xf>
    <xf numFmtId="219" fontId="167" fillId="0" borderId="0" xfId="0" applyNumberFormat="1" applyFont="1"/>
    <xf numFmtId="43" fontId="0" fillId="0" borderId="0" xfId="0" applyNumberFormat="1"/>
    <xf numFmtId="177" fontId="170" fillId="0" borderId="0" xfId="1" applyNumberFormat="1" applyFont="1"/>
    <xf numFmtId="0" fontId="155" fillId="0" borderId="40" xfId="0" applyFont="1" applyBorder="1" applyAlignment="1">
      <alignment horizontal="centerContinuous"/>
    </xf>
    <xf numFmtId="177" fontId="147" fillId="0" borderId="40" xfId="1" applyNumberFormat="1" applyFont="1" applyBorder="1"/>
    <xf numFmtId="0" fontId="81" fillId="0" borderId="65" xfId="0" applyFont="1" applyBorder="1"/>
    <xf numFmtId="0" fontId="115" fillId="6" borderId="65" xfId="0" applyFont="1" applyFill="1" applyBorder="1"/>
    <xf numFmtId="0" fontId="115" fillId="0" borderId="65" xfId="0" applyFont="1" applyBorder="1" applyAlignment="1">
      <alignment horizontal="centerContinuous"/>
    </xf>
    <xf numFmtId="9" fontId="115" fillId="0" borderId="65" xfId="0" applyNumberFormat="1" applyFont="1" applyBorder="1"/>
    <xf numFmtId="193" fontId="54" fillId="7" borderId="65" xfId="6" applyNumberFormat="1" applyFont="1" applyFill="1" applyBorder="1" applyAlignment="1">
      <alignment horizontal="left" indent="1"/>
    </xf>
    <xf numFmtId="193" fontId="58" fillId="7" borderId="65" xfId="7" applyNumberFormat="1" applyFont="1" applyFill="1" applyBorder="1"/>
    <xf numFmtId="193" fontId="53" fillId="7" borderId="65" xfId="6" applyNumberFormat="1" applyFont="1" applyFill="1" applyBorder="1" applyAlignment="1">
      <alignment horizontal="right"/>
    </xf>
    <xf numFmtId="193" fontId="54" fillId="7" borderId="65" xfId="6" applyNumberFormat="1" applyFont="1" applyFill="1" applyBorder="1" applyAlignment="1">
      <alignment horizontal="right"/>
    </xf>
    <xf numFmtId="193" fontId="54" fillId="8" borderId="65" xfId="6" applyNumberFormat="1" applyFont="1" applyFill="1" applyBorder="1" applyAlignment="1">
      <alignment horizontal="right"/>
    </xf>
    <xf numFmtId="193" fontId="53" fillId="8" borderId="65" xfId="6" applyNumberFormat="1" applyFont="1" applyFill="1" applyBorder="1" applyAlignment="1">
      <alignment horizontal="right"/>
    </xf>
    <xf numFmtId="183" fontId="49" fillId="7" borderId="65" xfId="6" applyNumberFormat="1" applyFill="1" applyBorder="1" applyAlignment="1">
      <alignment horizontal="left" indent="2"/>
    </xf>
    <xf numFmtId="183" fontId="50" fillId="7" borderId="65" xfId="6" applyNumberFormat="1" applyFont="1" applyFill="1" applyBorder="1" applyAlignment="1">
      <alignment horizontal="left" indent="3"/>
    </xf>
    <xf numFmtId="183" fontId="62" fillId="7" borderId="65" xfId="6" applyNumberFormat="1" applyFont="1" applyFill="1" applyBorder="1"/>
    <xf numFmtId="183" fontId="49" fillId="7" borderId="65" xfId="6" applyNumberFormat="1" applyFill="1" applyBorder="1"/>
    <xf numFmtId="183" fontId="50" fillId="7" borderId="65" xfId="6" applyNumberFormat="1" applyFont="1" applyFill="1" applyBorder="1"/>
    <xf numFmtId="183" fontId="50" fillId="8" borderId="65" xfId="6" applyNumberFormat="1" applyFont="1" applyFill="1" applyBorder="1"/>
    <xf numFmtId="183" fontId="62" fillId="8" borderId="65" xfId="6" applyNumberFormat="1" applyFont="1" applyFill="1" applyBorder="1"/>
    <xf numFmtId="183" fontId="49" fillId="8" borderId="65" xfId="6" applyNumberFormat="1" applyFill="1" applyBorder="1"/>
    <xf numFmtId="183" fontId="53" fillId="7" borderId="65" xfId="6" applyNumberFormat="1" applyFont="1" applyFill="1" applyBorder="1" applyAlignment="1">
      <alignment horizontal="left"/>
    </xf>
    <xf numFmtId="183" fontId="54" fillId="7" borderId="65" xfId="6" applyNumberFormat="1" applyFont="1" applyFill="1" applyBorder="1" applyAlignment="1">
      <alignment horizontal="left" indent="3"/>
    </xf>
    <xf numFmtId="183" fontId="53" fillId="7" borderId="65" xfId="6" applyNumberFormat="1" applyFont="1" applyFill="1" applyBorder="1"/>
    <xf numFmtId="183" fontId="54" fillId="7" borderId="65" xfId="6" applyNumberFormat="1" applyFont="1" applyFill="1" applyBorder="1"/>
    <xf numFmtId="183" fontId="54" fillId="8" borderId="65" xfId="6" applyNumberFormat="1" applyFont="1" applyFill="1" applyBorder="1"/>
    <xf numFmtId="183" fontId="53" fillId="8" borderId="65" xfId="6" applyNumberFormat="1" applyFont="1" applyFill="1" applyBorder="1"/>
    <xf numFmtId="41" fontId="13" fillId="0" borderId="65" xfId="0" applyNumberFormat="1" applyFont="1" applyBorder="1" applyAlignment="1">
      <alignment horizontal="right"/>
    </xf>
    <xf numFmtId="43" fontId="13" fillId="0" borderId="65" xfId="0" applyNumberFormat="1" applyFont="1" applyBorder="1" applyAlignment="1">
      <alignment horizontal="right"/>
    </xf>
    <xf numFmtId="14" fontId="121" fillId="0" borderId="0" xfId="0" applyNumberFormat="1" applyFont="1" applyAlignment="1">
      <alignment horizontal="center"/>
    </xf>
    <xf numFmtId="182" fontId="111" fillId="0" borderId="0" xfId="0" applyNumberFormat="1" applyFont="1" applyAlignment="1">
      <alignment horizontal="right"/>
    </xf>
    <xf numFmtId="0" fontId="135" fillId="12" borderId="0" xfId="0" applyFont="1" applyFill="1" applyAlignment="1">
      <alignment horizontal="center" vertical="top" wrapText="1"/>
    </xf>
    <xf numFmtId="0" fontId="135" fillId="12" borderId="20" xfId="0" applyFont="1" applyFill="1" applyBorder="1" applyAlignment="1">
      <alignment horizontal="center" vertical="top" wrapText="1"/>
    </xf>
    <xf numFmtId="0" fontId="135" fillId="0" borderId="0" xfId="0" applyFont="1" applyAlignment="1">
      <alignment horizontal="center" vertical="top" wrapText="1"/>
    </xf>
    <xf numFmtId="0" fontId="52" fillId="0" borderId="0" xfId="0" applyFont="1" applyAlignment="1">
      <alignment horizontal="center" wrapText="1"/>
    </xf>
    <xf numFmtId="0" fontId="52" fillId="0" borderId="20" xfId="0" applyFont="1" applyBorder="1" applyAlignment="1">
      <alignment horizontal="center" wrapText="1"/>
    </xf>
    <xf numFmtId="0" fontId="52" fillId="0" borderId="20" xfId="0" applyFont="1" applyBorder="1" applyAlignment="1">
      <alignment horizontal="center"/>
    </xf>
    <xf numFmtId="0" fontId="135" fillId="0" borderId="10" xfId="0" applyFont="1" applyBorder="1" applyAlignment="1">
      <alignment horizontal="center" vertical="top" wrapText="1"/>
    </xf>
    <xf numFmtId="0" fontId="135" fillId="0" borderId="20" xfId="0" applyFont="1" applyBorder="1" applyAlignment="1">
      <alignment horizontal="center" vertical="top" wrapText="1"/>
    </xf>
    <xf numFmtId="0" fontId="15" fillId="0" borderId="9" xfId="0" applyFont="1" applyBorder="1" applyAlignment="1">
      <alignment horizontal="left" vertical="top" wrapText="1"/>
    </xf>
    <xf numFmtId="0" fontId="15" fillId="0" borderId="10" xfId="0" applyFont="1" applyBorder="1" applyAlignment="1">
      <alignment horizontal="left" vertical="top" wrapText="1"/>
    </xf>
    <xf numFmtId="0" fontId="15" fillId="0" borderId="11" xfId="0" applyFont="1" applyBorder="1" applyAlignment="1">
      <alignment horizontal="left" vertical="top" wrapText="1"/>
    </xf>
    <xf numFmtId="0" fontId="15" fillId="0" borderId="12" xfId="0" applyFont="1" applyBorder="1" applyAlignment="1">
      <alignment horizontal="left" vertical="top" wrapText="1"/>
    </xf>
    <xf numFmtId="0" fontId="15" fillId="0" borderId="0" xfId="0" applyFont="1" applyAlignment="1">
      <alignment horizontal="left" vertical="top" wrapText="1"/>
    </xf>
    <xf numFmtId="0" fontId="15" fillId="0" borderId="13" xfId="0" applyFont="1" applyBorder="1" applyAlignment="1">
      <alignment horizontal="left" vertical="top" wrapText="1"/>
    </xf>
    <xf numFmtId="0" fontId="15" fillId="0" borderId="14" xfId="0" applyFont="1" applyBorder="1" applyAlignment="1">
      <alignment horizontal="left" vertical="top" wrapText="1"/>
    </xf>
    <xf numFmtId="0" fontId="15" fillId="0" borderId="15" xfId="0" applyFont="1" applyBorder="1" applyAlignment="1">
      <alignment horizontal="left" vertical="top" wrapText="1"/>
    </xf>
    <xf numFmtId="0" fontId="15" fillId="0" borderId="16" xfId="0" applyFont="1" applyBorder="1" applyAlignment="1">
      <alignment horizontal="left" vertical="top" wrapText="1"/>
    </xf>
    <xf numFmtId="0" fontId="13" fillId="0" borderId="20" xfId="0" applyFont="1" applyBorder="1" applyAlignment="1">
      <alignment horizontal="center"/>
    </xf>
    <xf numFmtId="0" fontId="13" fillId="0" borderId="23" xfId="0" applyFont="1" applyBorder="1" applyAlignment="1">
      <alignment horizontal="center"/>
    </xf>
  </cellXfs>
  <cellStyles count="10">
    <cellStyle name="Comma" xfId="1" builtinId="3"/>
    <cellStyle name="Currency 2" xfId="7" xr:uid="{56820C99-C510-4312-9550-E5C52AC2DF3D}"/>
    <cellStyle name="Good 2" xfId="8" xr:uid="{3129858D-E4D8-4A44-B958-0FCF5752976C}"/>
    <cellStyle name="Hyperlink" xfId="4" builtinId="8"/>
    <cellStyle name="Hyperlink 2" xfId="5" xr:uid="{15F69D7F-65CC-4B77-BEC7-AAB6B6BF8846}"/>
    <cellStyle name="Invisible" xfId="3" xr:uid="{00000000-0005-0000-0000-000002000000}"/>
    <cellStyle name="Normal" xfId="0" builtinId="0"/>
    <cellStyle name="Normal 2" xfId="6" xr:uid="{A7A4AE8D-2C3E-4F40-95BE-05224A99BC57}"/>
    <cellStyle name="Normal 2 2" xfId="9" xr:uid="{69529F7E-E5E3-41A2-AE14-9281C324AEA0}"/>
    <cellStyle name="Percent" xfId="2" builtinId="5"/>
  </cellStyles>
  <dxfs count="8">
    <dxf>
      <fill>
        <patternFill>
          <bgColor rgb="FFC6EFCE"/>
        </patternFill>
      </fill>
    </dxf>
    <dxf>
      <fill>
        <patternFill>
          <bgColor rgb="FFFFC7CE"/>
        </patternFill>
      </fill>
    </dxf>
    <dxf>
      <fill>
        <patternFill>
          <bgColor rgb="FFC6EFCE"/>
        </patternFill>
      </fill>
    </dxf>
    <dxf>
      <fill>
        <patternFill>
          <bgColor rgb="FFFFC7CE"/>
        </patternFill>
      </fill>
    </dxf>
    <dxf>
      <fill>
        <patternFill>
          <bgColor rgb="FFC6EFCE"/>
        </patternFill>
      </fill>
    </dxf>
    <dxf>
      <fill>
        <patternFill>
          <bgColor rgb="FFFFC7CE"/>
        </patternFill>
      </fill>
    </dxf>
    <dxf>
      <fill>
        <patternFill>
          <bgColor rgb="FFC6EFCE"/>
        </patternFill>
      </fill>
    </dxf>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GP Growth YoY (SCT Fiscal</a:t>
            </a:r>
            <a:r>
              <a:rPr lang="en-US" b="1" baseline="0"/>
              <a:t> Periods)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'v BYIT'!$A$14:$E$14</c:f>
              <c:strCache>
                <c:ptCount val="5"/>
                <c:pt idx="0">
                  <c:v>SCT</c:v>
                </c:pt>
              </c:strCache>
            </c:strRef>
          </c:tx>
          <c:spPr>
            <a:ln w="28575" cap="rnd">
              <a:solidFill>
                <a:schemeClr val="accent1"/>
              </a:solidFill>
              <a:round/>
            </a:ln>
            <a:effectLst/>
          </c:spPr>
          <c:marker>
            <c:symbol val="none"/>
          </c:marker>
          <c:cat>
            <c:strRef>
              <c:f>'v BYIT'!$K$5:$V$5</c:f>
              <c:strCache>
                <c:ptCount val="12"/>
                <c:pt idx="0">
                  <c:v>1H FY19</c:v>
                </c:pt>
                <c:pt idx="1">
                  <c:v>2H FY19</c:v>
                </c:pt>
                <c:pt idx="2">
                  <c:v>1H FY20</c:v>
                </c:pt>
                <c:pt idx="3">
                  <c:v>2H FY20</c:v>
                </c:pt>
                <c:pt idx="4">
                  <c:v>1H FY21</c:v>
                </c:pt>
                <c:pt idx="5">
                  <c:v>2H FY21</c:v>
                </c:pt>
                <c:pt idx="6">
                  <c:v>1H FY22</c:v>
                </c:pt>
                <c:pt idx="7">
                  <c:v>2H FY22</c:v>
                </c:pt>
                <c:pt idx="8">
                  <c:v>1H FY23</c:v>
                </c:pt>
                <c:pt idx="9">
                  <c:v>2H FY23</c:v>
                </c:pt>
                <c:pt idx="10">
                  <c:v>1H FY24</c:v>
                </c:pt>
                <c:pt idx="11">
                  <c:v>2H FY24</c:v>
                </c:pt>
              </c:strCache>
            </c:strRef>
          </c:cat>
          <c:val>
            <c:numRef>
              <c:f>'v BYIT'!$K$14:$W$14</c:f>
              <c:numCache>
                <c:formatCode>_(* #,##0.0%_);_(* \(#,##0.0%\);_(* "-"?_);_(* @_)</c:formatCode>
                <c:ptCount val="13"/>
                <c:pt idx="0">
                  <c:v>0.26507650163693519</c:v>
                </c:pt>
                <c:pt idx="1">
                  <c:v>0.1609022406506655</c:v>
                </c:pt>
                <c:pt idx="2">
                  <c:v>0.1795673483184046</c:v>
                </c:pt>
                <c:pt idx="3">
                  <c:v>6.4926033089781177E-2</c:v>
                </c:pt>
                <c:pt idx="4">
                  <c:v>0.20409771473601279</c:v>
                </c:pt>
                <c:pt idx="5">
                  <c:v>0.14400199946788361</c:v>
                </c:pt>
                <c:pt idx="6">
                  <c:v>0.11710941218467408</c:v>
                </c:pt>
                <c:pt idx="7">
                  <c:v>0.24740299096508656</c:v>
                </c:pt>
                <c:pt idx="8">
                  <c:v>0.17870195924399601</c:v>
                </c:pt>
                <c:pt idx="9">
                  <c:v>0.11173509454855779</c:v>
                </c:pt>
                <c:pt idx="10">
                  <c:v>0.10990997096930899</c:v>
                </c:pt>
                <c:pt idx="11">
                  <c:v>0.12431902264503791</c:v>
                </c:pt>
                <c:pt idx="12">
                  <c:v>0.12000000000000011</c:v>
                </c:pt>
              </c:numCache>
            </c:numRef>
          </c:val>
          <c:smooth val="0"/>
          <c:extLst>
            <c:ext xmlns:c16="http://schemas.microsoft.com/office/drawing/2014/chart" uri="{C3380CC4-5D6E-409C-BE32-E72D297353CC}">
              <c16:uniqueId val="{00000000-FE01-42F9-B475-EAB884487992}"/>
            </c:ext>
          </c:extLst>
        </c:ser>
        <c:ser>
          <c:idx val="1"/>
          <c:order val="1"/>
          <c:tx>
            <c:strRef>
              <c:f>'v BYIT'!$A$15:$E$15</c:f>
              <c:strCache>
                <c:ptCount val="5"/>
                <c:pt idx="0">
                  <c:v>BYIT</c:v>
                </c:pt>
              </c:strCache>
            </c:strRef>
          </c:tx>
          <c:spPr>
            <a:ln w="28575" cap="rnd">
              <a:solidFill>
                <a:schemeClr val="accent2"/>
              </a:solidFill>
              <a:round/>
            </a:ln>
            <a:effectLst/>
          </c:spPr>
          <c:marker>
            <c:symbol val="none"/>
          </c:marker>
          <c:cat>
            <c:strRef>
              <c:f>'v BYIT'!$K$5:$V$5</c:f>
              <c:strCache>
                <c:ptCount val="12"/>
                <c:pt idx="0">
                  <c:v>1H FY19</c:v>
                </c:pt>
                <c:pt idx="1">
                  <c:v>2H FY19</c:v>
                </c:pt>
                <c:pt idx="2">
                  <c:v>1H FY20</c:v>
                </c:pt>
                <c:pt idx="3">
                  <c:v>2H FY20</c:v>
                </c:pt>
                <c:pt idx="4">
                  <c:v>1H FY21</c:v>
                </c:pt>
                <c:pt idx="5">
                  <c:v>2H FY21</c:v>
                </c:pt>
                <c:pt idx="6">
                  <c:v>1H FY22</c:v>
                </c:pt>
                <c:pt idx="7">
                  <c:v>2H FY22</c:v>
                </c:pt>
                <c:pt idx="8">
                  <c:v>1H FY23</c:v>
                </c:pt>
                <c:pt idx="9">
                  <c:v>2H FY23</c:v>
                </c:pt>
                <c:pt idx="10">
                  <c:v>1H FY24</c:v>
                </c:pt>
                <c:pt idx="11">
                  <c:v>2H FY24</c:v>
                </c:pt>
              </c:strCache>
            </c:strRef>
          </c:cat>
          <c:val>
            <c:numRef>
              <c:f>'v BYIT'!$K$15:$W$15</c:f>
              <c:numCache>
                <c:formatCode>_(* #,##0.0%_);_(* \(#,##0.0%\);_(* "-"?_);_(* @_)</c:formatCode>
                <c:ptCount val="13"/>
                <c:pt idx="3">
                  <c:v>0.16084038663795264</c:v>
                </c:pt>
                <c:pt idx="4">
                  <c:v>0.10014510093424711</c:v>
                </c:pt>
                <c:pt idx="5">
                  <c:v>0.14114373233815813</c:v>
                </c:pt>
                <c:pt idx="6">
                  <c:v>0.26107781659994878</c:v>
                </c:pt>
                <c:pt idx="7">
                  <c:v>0.23818525519848777</c:v>
                </c:pt>
                <c:pt idx="8">
                  <c:v>0.17614678899082548</c:v>
                </c:pt>
                <c:pt idx="9">
                  <c:v>0.14961832061068692</c:v>
                </c:pt>
                <c:pt idx="10">
                  <c:v>9.9843993759750616E-2</c:v>
                </c:pt>
                <c:pt idx="11">
                  <c:v>9.0305444887118114E-2</c:v>
                </c:pt>
                <c:pt idx="12">
                  <c:v>0.15171631205673775</c:v>
                </c:pt>
              </c:numCache>
            </c:numRef>
          </c:val>
          <c:smooth val="0"/>
          <c:extLst>
            <c:ext xmlns:c16="http://schemas.microsoft.com/office/drawing/2014/chart" uri="{C3380CC4-5D6E-409C-BE32-E72D297353CC}">
              <c16:uniqueId val="{00000001-FE01-42F9-B475-EAB884487992}"/>
            </c:ext>
          </c:extLst>
        </c:ser>
        <c:ser>
          <c:idx val="2"/>
          <c:order val="2"/>
          <c:tx>
            <c:strRef>
              <c:f>'v BYIT'!$A$16:$E$16</c:f>
              <c:strCache>
                <c:ptCount val="5"/>
                <c:pt idx="0">
                  <c:v>CCC (UK)</c:v>
                </c:pt>
              </c:strCache>
            </c:strRef>
          </c:tx>
          <c:spPr>
            <a:ln w="28575" cap="rnd">
              <a:solidFill>
                <a:schemeClr val="accent3"/>
              </a:solidFill>
              <a:round/>
            </a:ln>
            <a:effectLst/>
          </c:spPr>
          <c:marker>
            <c:symbol val="none"/>
          </c:marker>
          <c:cat>
            <c:strRef>
              <c:f>'v BYIT'!$K$5:$V$5</c:f>
              <c:strCache>
                <c:ptCount val="12"/>
                <c:pt idx="0">
                  <c:v>1H FY19</c:v>
                </c:pt>
                <c:pt idx="1">
                  <c:v>2H FY19</c:v>
                </c:pt>
                <c:pt idx="2">
                  <c:v>1H FY20</c:v>
                </c:pt>
                <c:pt idx="3">
                  <c:v>2H FY20</c:v>
                </c:pt>
                <c:pt idx="4">
                  <c:v>1H FY21</c:v>
                </c:pt>
                <c:pt idx="5">
                  <c:v>2H FY21</c:v>
                </c:pt>
                <c:pt idx="6">
                  <c:v>1H FY22</c:v>
                </c:pt>
                <c:pt idx="7">
                  <c:v>2H FY22</c:v>
                </c:pt>
                <c:pt idx="8">
                  <c:v>1H FY23</c:v>
                </c:pt>
                <c:pt idx="9">
                  <c:v>2H FY23</c:v>
                </c:pt>
                <c:pt idx="10">
                  <c:v>1H FY24</c:v>
                </c:pt>
                <c:pt idx="11">
                  <c:v>2H FY24</c:v>
                </c:pt>
              </c:strCache>
            </c:strRef>
          </c:cat>
          <c:val>
            <c:numRef>
              <c:f>'v BYIT'!$K$16:$W$16</c:f>
              <c:numCache>
                <c:formatCode>_(* #,##0.0%_);_(* \(#,##0.0%\);_(* "-"?_);_(* @_)</c:formatCode>
                <c:ptCount val="13"/>
                <c:pt idx="0">
                  <c:v>1.5236552296090444E-2</c:v>
                </c:pt>
                <c:pt idx="1">
                  <c:v>1.0893159414517406E-2</c:v>
                </c:pt>
                <c:pt idx="2">
                  <c:v>0.13683770588347044</c:v>
                </c:pt>
                <c:pt idx="3">
                  <c:v>0.20785233048343255</c:v>
                </c:pt>
                <c:pt idx="4">
                  <c:v>5.7568263092810934E-2</c:v>
                </c:pt>
                <c:pt idx="5">
                  <c:v>8.541418622478103E-2</c:v>
                </c:pt>
                <c:pt idx="6">
                  <c:v>6.7359805331268729E-2</c:v>
                </c:pt>
                <c:pt idx="7">
                  <c:v>-2.1036814425244077E-2</c:v>
                </c:pt>
                <c:pt idx="8">
                  <c:v>-4.589193190229468E-2</c:v>
                </c:pt>
                <c:pt idx="9">
                  <c:v>-2.3791250959324661E-2</c:v>
                </c:pt>
                <c:pt idx="10">
                  <c:v>-4.1117145073700345E-2</c:v>
                </c:pt>
                <c:pt idx="11">
                  <c:v>-0.15251572327044027</c:v>
                </c:pt>
                <c:pt idx="12">
                  <c:v>-4.8543689320388328E-3</c:v>
                </c:pt>
              </c:numCache>
            </c:numRef>
          </c:val>
          <c:smooth val="0"/>
          <c:extLst>
            <c:ext xmlns:c16="http://schemas.microsoft.com/office/drawing/2014/chart" uri="{C3380CC4-5D6E-409C-BE32-E72D297353CC}">
              <c16:uniqueId val="{00000004-FE01-42F9-B475-EAB884487992}"/>
            </c:ext>
          </c:extLst>
        </c:ser>
        <c:ser>
          <c:idx val="3"/>
          <c:order val="3"/>
          <c:tx>
            <c:strRef>
              <c:f>'v BYIT'!$A$17</c:f>
              <c:strCache>
                <c:ptCount val="1"/>
                <c:pt idx="0">
                  <c:v>CDW (Other), Sales in USD</c:v>
                </c:pt>
              </c:strCache>
            </c:strRef>
          </c:tx>
          <c:spPr>
            <a:ln w="28575" cap="rnd">
              <a:solidFill>
                <a:schemeClr val="accent4"/>
              </a:solidFill>
              <a:round/>
            </a:ln>
            <a:effectLst/>
          </c:spPr>
          <c:marker>
            <c:symbol val="none"/>
          </c:marker>
          <c:val>
            <c:numRef>
              <c:f>'v BYIT'!$K$17:$W$17</c:f>
              <c:numCache>
                <c:formatCode>_(* #,##0.0%_);_(* \(#,##0.0%\);_(* "-"?_);_(* @_)</c:formatCode>
                <c:ptCount val="13"/>
                <c:pt idx="2">
                  <c:v>0.19829190846381262</c:v>
                </c:pt>
                <c:pt idx="3">
                  <c:v>-1.738885233574583E-2</c:v>
                </c:pt>
                <c:pt idx="4">
                  <c:v>-4.8519736842105643E-2</c:v>
                </c:pt>
                <c:pt idx="5">
                  <c:v>0.22154199349531267</c:v>
                </c:pt>
                <c:pt idx="6">
                  <c:v>0.25842696629213524</c:v>
                </c:pt>
                <c:pt idx="7">
                  <c:v>0.1797963978073609</c:v>
                </c:pt>
                <c:pt idx="8">
                  <c:v>6.9749694749694724E-2</c:v>
                </c:pt>
                <c:pt idx="9">
                  <c:v>-9.398645957785734E-2</c:v>
                </c:pt>
                <c:pt idx="10">
                  <c:v>-0.15216150663432726</c:v>
                </c:pt>
                <c:pt idx="11">
                  <c:v>-9.6556776556776525E-2</c:v>
                </c:pt>
                <c:pt idx="12">
                  <c:v>4.9305847707193928E-2</c:v>
                </c:pt>
              </c:numCache>
            </c:numRef>
          </c:val>
          <c:smooth val="0"/>
          <c:extLst>
            <c:ext xmlns:c16="http://schemas.microsoft.com/office/drawing/2014/chart" uri="{C3380CC4-5D6E-409C-BE32-E72D297353CC}">
              <c16:uniqueId val="{00000000-6EE5-4FAB-9CAD-4536F9C072EE}"/>
            </c:ext>
          </c:extLst>
        </c:ser>
        <c:dLbls>
          <c:showLegendKey val="0"/>
          <c:showVal val="0"/>
          <c:showCatName val="0"/>
          <c:showSerName val="0"/>
          <c:showPercent val="0"/>
          <c:showBubbleSize val="0"/>
        </c:dLbls>
        <c:smooth val="0"/>
        <c:axId val="1836592448"/>
        <c:axId val="1246307727"/>
      </c:lineChart>
      <c:catAx>
        <c:axId val="183659244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307727"/>
        <c:crosses val="autoZero"/>
        <c:auto val="1"/>
        <c:lblAlgn val="ctr"/>
        <c:lblOffset val="100"/>
        <c:noMultiLvlLbl val="0"/>
      </c:catAx>
      <c:valAx>
        <c:axId val="1246307727"/>
        <c:scaling>
          <c:orientation val="minMax"/>
        </c:scaling>
        <c:delete val="0"/>
        <c:axPos val="l"/>
        <c:majorGridlines>
          <c:spPr>
            <a:ln w="9525" cap="flat" cmpd="sng" algn="ctr">
              <a:solidFill>
                <a:schemeClr val="tx1">
                  <a:lumMod val="15000"/>
                  <a:lumOff val="85000"/>
                </a:schemeClr>
              </a:solidFill>
              <a:round/>
            </a:ln>
            <a:effectLst/>
          </c:spPr>
        </c:majorGridlines>
        <c:numFmt formatCode="_(* #,##0.0%_);_(* \(#,##0.0%\);_(* &quot;-&quot;?_);_(* @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65924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Charts!$B$68</c:f>
              <c:strCache>
                <c:ptCount val="1"/>
                <c:pt idx="0">
                  <c:v>Softcat plc (LSE:SCT) - Dividend Adjusted Share Pricing</c:v>
                </c:pt>
              </c:strCache>
            </c:strRef>
          </c:tx>
          <c:spPr>
            <a:ln w="28575" cap="rnd">
              <a:solidFill>
                <a:schemeClr val="accent1"/>
              </a:solidFill>
              <a:round/>
            </a:ln>
            <a:effectLst/>
          </c:spPr>
          <c:marker>
            <c:symbol val="none"/>
          </c:marker>
          <c:cat>
            <c:numRef>
              <c:f>Charts!$A$69:$A$512</c:f>
              <c:numCache>
                <c:formatCode>[$-409]mmm\-yy;@</c:formatCode>
                <c:ptCount val="444"/>
                <c:pt idx="0">
                  <c:v>42321</c:v>
                </c:pt>
                <c:pt idx="1">
                  <c:v>42328</c:v>
                </c:pt>
                <c:pt idx="2">
                  <c:v>42335</c:v>
                </c:pt>
                <c:pt idx="3">
                  <c:v>42342</c:v>
                </c:pt>
                <c:pt idx="4">
                  <c:v>42349</c:v>
                </c:pt>
                <c:pt idx="5">
                  <c:v>42356</c:v>
                </c:pt>
                <c:pt idx="6">
                  <c:v>42363</c:v>
                </c:pt>
                <c:pt idx="7">
                  <c:v>42370</c:v>
                </c:pt>
                <c:pt idx="8">
                  <c:v>42377</c:v>
                </c:pt>
                <c:pt idx="9">
                  <c:v>42384</c:v>
                </c:pt>
                <c:pt idx="10">
                  <c:v>42391</c:v>
                </c:pt>
                <c:pt idx="11">
                  <c:v>42398</c:v>
                </c:pt>
                <c:pt idx="12">
                  <c:v>42405</c:v>
                </c:pt>
                <c:pt idx="13">
                  <c:v>42412</c:v>
                </c:pt>
                <c:pt idx="14">
                  <c:v>42419</c:v>
                </c:pt>
                <c:pt idx="15">
                  <c:v>42426</c:v>
                </c:pt>
                <c:pt idx="16">
                  <c:v>42433</c:v>
                </c:pt>
                <c:pt idx="17">
                  <c:v>42440</c:v>
                </c:pt>
                <c:pt idx="18">
                  <c:v>42447</c:v>
                </c:pt>
                <c:pt idx="19">
                  <c:v>42454</c:v>
                </c:pt>
                <c:pt idx="20">
                  <c:v>42461</c:v>
                </c:pt>
                <c:pt idx="21">
                  <c:v>42468</c:v>
                </c:pt>
                <c:pt idx="22">
                  <c:v>42475</c:v>
                </c:pt>
                <c:pt idx="23">
                  <c:v>42482</c:v>
                </c:pt>
                <c:pt idx="24">
                  <c:v>42489</c:v>
                </c:pt>
                <c:pt idx="25">
                  <c:v>42496</c:v>
                </c:pt>
                <c:pt idx="26">
                  <c:v>42503</c:v>
                </c:pt>
                <c:pt idx="27">
                  <c:v>42510</c:v>
                </c:pt>
                <c:pt idx="28">
                  <c:v>42517</c:v>
                </c:pt>
                <c:pt idx="29">
                  <c:v>42524</c:v>
                </c:pt>
                <c:pt idx="30">
                  <c:v>42531</c:v>
                </c:pt>
                <c:pt idx="31">
                  <c:v>42538</c:v>
                </c:pt>
                <c:pt idx="32">
                  <c:v>42545</c:v>
                </c:pt>
                <c:pt idx="33">
                  <c:v>42552</c:v>
                </c:pt>
                <c:pt idx="34">
                  <c:v>42559</c:v>
                </c:pt>
                <c:pt idx="35">
                  <c:v>42566</c:v>
                </c:pt>
                <c:pt idx="36">
                  <c:v>42573</c:v>
                </c:pt>
                <c:pt idx="37">
                  <c:v>42580</c:v>
                </c:pt>
                <c:pt idx="38">
                  <c:v>42587</c:v>
                </c:pt>
                <c:pt idx="39">
                  <c:v>42594</c:v>
                </c:pt>
                <c:pt idx="40">
                  <c:v>42601</c:v>
                </c:pt>
                <c:pt idx="41">
                  <c:v>42608</c:v>
                </c:pt>
                <c:pt idx="42">
                  <c:v>42615</c:v>
                </c:pt>
                <c:pt idx="43">
                  <c:v>42622</c:v>
                </c:pt>
                <c:pt idx="44">
                  <c:v>42629</c:v>
                </c:pt>
                <c:pt idx="45">
                  <c:v>42636</c:v>
                </c:pt>
                <c:pt idx="46">
                  <c:v>42643</c:v>
                </c:pt>
                <c:pt idx="47">
                  <c:v>42650</c:v>
                </c:pt>
                <c:pt idx="48">
                  <c:v>42657</c:v>
                </c:pt>
                <c:pt idx="49">
                  <c:v>42664</c:v>
                </c:pt>
                <c:pt idx="50">
                  <c:v>42671</c:v>
                </c:pt>
                <c:pt idx="51">
                  <c:v>42678</c:v>
                </c:pt>
                <c:pt idx="52">
                  <c:v>42685</c:v>
                </c:pt>
                <c:pt idx="53">
                  <c:v>42692</c:v>
                </c:pt>
                <c:pt idx="54">
                  <c:v>42699</c:v>
                </c:pt>
                <c:pt idx="55">
                  <c:v>42706</c:v>
                </c:pt>
                <c:pt idx="56">
                  <c:v>42713</c:v>
                </c:pt>
                <c:pt idx="57">
                  <c:v>42720</c:v>
                </c:pt>
                <c:pt idx="58">
                  <c:v>42727</c:v>
                </c:pt>
                <c:pt idx="59">
                  <c:v>42734</c:v>
                </c:pt>
                <c:pt idx="60">
                  <c:v>42741</c:v>
                </c:pt>
                <c:pt idx="61">
                  <c:v>42748</c:v>
                </c:pt>
                <c:pt idx="62">
                  <c:v>42755</c:v>
                </c:pt>
                <c:pt idx="63">
                  <c:v>42762</c:v>
                </c:pt>
                <c:pt idx="64">
                  <c:v>42769</c:v>
                </c:pt>
                <c:pt idx="65">
                  <c:v>42776</c:v>
                </c:pt>
                <c:pt idx="66">
                  <c:v>42783</c:v>
                </c:pt>
                <c:pt idx="67">
                  <c:v>42790</c:v>
                </c:pt>
                <c:pt idx="68">
                  <c:v>42797</c:v>
                </c:pt>
                <c:pt idx="69">
                  <c:v>42804</c:v>
                </c:pt>
                <c:pt idx="70">
                  <c:v>42811</c:v>
                </c:pt>
                <c:pt idx="71">
                  <c:v>42818</c:v>
                </c:pt>
                <c:pt idx="72">
                  <c:v>42825</c:v>
                </c:pt>
                <c:pt idx="73">
                  <c:v>42832</c:v>
                </c:pt>
                <c:pt idx="74">
                  <c:v>42839</c:v>
                </c:pt>
                <c:pt idx="75">
                  <c:v>42846</c:v>
                </c:pt>
                <c:pt idx="76">
                  <c:v>42853</c:v>
                </c:pt>
                <c:pt idx="77">
                  <c:v>42860</c:v>
                </c:pt>
                <c:pt idx="78">
                  <c:v>42867</c:v>
                </c:pt>
                <c:pt idx="79">
                  <c:v>42874</c:v>
                </c:pt>
                <c:pt idx="80">
                  <c:v>42881</c:v>
                </c:pt>
                <c:pt idx="81">
                  <c:v>42888</c:v>
                </c:pt>
                <c:pt idx="82">
                  <c:v>42895</c:v>
                </c:pt>
                <c:pt idx="83">
                  <c:v>42902</c:v>
                </c:pt>
                <c:pt idx="84">
                  <c:v>42909</c:v>
                </c:pt>
                <c:pt idx="85">
                  <c:v>42916</c:v>
                </c:pt>
                <c:pt idx="86">
                  <c:v>42923</c:v>
                </c:pt>
                <c:pt idx="87">
                  <c:v>42930</c:v>
                </c:pt>
                <c:pt idx="88">
                  <c:v>42937</c:v>
                </c:pt>
                <c:pt idx="89">
                  <c:v>42944</c:v>
                </c:pt>
                <c:pt idx="90">
                  <c:v>42951</c:v>
                </c:pt>
                <c:pt idx="91">
                  <c:v>42958</c:v>
                </c:pt>
                <c:pt idx="92">
                  <c:v>42965</c:v>
                </c:pt>
                <c:pt idx="93">
                  <c:v>42972</c:v>
                </c:pt>
                <c:pt idx="94">
                  <c:v>42979</c:v>
                </c:pt>
                <c:pt idx="95">
                  <c:v>42986</c:v>
                </c:pt>
                <c:pt idx="96">
                  <c:v>42993</c:v>
                </c:pt>
                <c:pt idx="97">
                  <c:v>43000</c:v>
                </c:pt>
                <c:pt idx="98">
                  <c:v>43007</c:v>
                </c:pt>
                <c:pt idx="99">
                  <c:v>43014</c:v>
                </c:pt>
                <c:pt idx="100">
                  <c:v>43021</c:v>
                </c:pt>
                <c:pt idx="101">
                  <c:v>43028</c:v>
                </c:pt>
                <c:pt idx="102">
                  <c:v>43035</c:v>
                </c:pt>
                <c:pt idx="103">
                  <c:v>43042</c:v>
                </c:pt>
                <c:pt idx="104">
                  <c:v>43049</c:v>
                </c:pt>
                <c:pt idx="105">
                  <c:v>43056</c:v>
                </c:pt>
                <c:pt idx="106">
                  <c:v>43063</c:v>
                </c:pt>
                <c:pt idx="107">
                  <c:v>43070</c:v>
                </c:pt>
                <c:pt idx="108">
                  <c:v>43077</c:v>
                </c:pt>
                <c:pt idx="109">
                  <c:v>43084</c:v>
                </c:pt>
                <c:pt idx="110">
                  <c:v>43091</c:v>
                </c:pt>
                <c:pt idx="111">
                  <c:v>43098</c:v>
                </c:pt>
                <c:pt idx="112">
                  <c:v>43105</c:v>
                </c:pt>
                <c:pt idx="113">
                  <c:v>43112</c:v>
                </c:pt>
                <c:pt idx="114">
                  <c:v>43119</c:v>
                </c:pt>
                <c:pt idx="115">
                  <c:v>43126</c:v>
                </c:pt>
                <c:pt idx="116">
                  <c:v>43133</c:v>
                </c:pt>
                <c:pt idx="117">
                  <c:v>43140</c:v>
                </c:pt>
                <c:pt idx="118">
                  <c:v>43147</c:v>
                </c:pt>
                <c:pt idx="119">
                  <c:v>43154</c:v>
                </c:pt>
                <c:pt idx="120">
                  <c:v>43161</c:v>
                </c:pt>
                <c:pt idx="121">
                  <c:v>43168</c:v>
                </c:pt>
                <c:pt idx="122">
                  <c:v>43175</c:v>
                </c:pt>
                <c:pt idx="123">
                  <c:v>43182</c:v>
                </c:pt>
                <c:pt idx="124">
                  <c:v>43189</c:v>
                </c:pt>
                <c:pt idx="125">
                  <c:v>43196</c:v>
                </c:pt>
                <c:pt idx="126">
                  <c:v>43203</c:v>
                </c:pt>
                <c:pt idx="127">
                  <c:v>43210</c:v>
                </c:pt>
                <c:pt idx="128">
                  <c:v>43217</c:v>
                </c:pt>
                <c:pt idx="129">
                  <c:v>43224</c:v>
                </c:pt>
                <c:pt idx="130">
                  <c:v>43231</c:v>
                </c:pt>
                <c:pt idx="131">
                  <c:v>43238</c:v>
                </c:pt>
                <c:pt idx="132">
                  <c:v>43245</c:v>
                </c:pt>
                <c:pt idx="133">
                  <c:v>43252</c:v>
                </c:pt>
                <c:pt idx="134">
                  <c:v>43259</c:v>
                </c:pt>
                <c:pt idx="135">
                  <c:v>43266</c:v>
                </c:pt>
                <c:pt idx="136">
                  <c:v>43273</c:v>
                </c:pt>
                <c:pt idx="137">
                  <c:v>43280</c:v>
                </c:pt>
                <c:pt idx="138">
                  <c:v>43287</c:v>
                </c:pt>
                <c:pt idx="139">
                  <c:v>43294</c:v>
                </c:pt>
                <c:pt idx="140">
                  <c:v>43301</c:v>
                </c:pt>
                <c:pt idx="141">
                  <c:v>43308</c:v>
                </c:pt>
                <c:pt idx="142">
                  <c:v>43315</c:v>
                </c:pt>
                <c:pt idx="143">
                  <c:v>43322</c:v>
                </c:pt>
                <c:pt idx="144">
                  <c:v>43329</c:v>
                </c:pt>
                <c:pt idx="145">
                  <c:v>43336</c:v>
                </c:pt>
                <c:pt idx="146">
                  <c:v>43343</c:v>
                </c:pt>
                <c:pt idx="147">
                  <c:v>43350</c:v>
                </c:pt>
                <c:pt idx="148">
                  <c:v>43357</c:v>
                </c:pt>
                <c:pt idx="149">
                  <c:v>43364</c:v>
                </c:pt>
                <c:pt idx="150">
                  <c:v>43371</c:v>
                </c:pt>
                <c:pt idx="151">
                  <c:v>43378</c:v>
                </c:pt>
                <c:pt idx="152">
                  <c:v>43385</c:v>
                </c:pt>
                <c:pt idx="153">
                  <c:v>43392</c:v>
                </c:pt>
                <c:pt idx="154">
                  <c:v>43399</c:v>
                </c:pt>
                <c:pt idx="155">
                  <c:v>43406</c:v>
                </c:pt>
                <c:pt idx="156">
                  <c:v>43413</c:v>
                </c:pt>
                <c:pt idx="157">
                  <c:v>43420</c:v>
                </c:pt>
                <c:pt idx="158">
                  <c:v>43427</c:v>
                </c:pt>
                <c:pt idx="159">
                  <c:v>43434</c:v>
                </c:pt>
                <c:pt idx="160">
                  <c:v>43441</c:v>
                </c:pt>
                <c:pt idx="161">
                  <c:v>43448</c:v>
                </c:pt>
                <c:pt idx="162">
                  <c:v>43455</c:v>
                </c:pt>
                <c:pt idx="163">
                  <c:v>43462</c:v>
                </c:pt>
                <c:pt idx="164">
                  <c:v>43469</c:v>
                </c:pt>
                <c:pt idx="165">
                  <c:v>43476</c:v>
                </c:pt>
                <c:pt idx="166">
                  <c:v>43483</c:v>
                </c:pt>
                <c:pt idx="167">
                  <c:v>43490</c:v>
                </c:pt>
                <c:pt idx="168">
                  <c:v>43497</c:v>
                </c:pt>
                <c:pt idx="169">
                  <c:v>43504</c:v>
                </c:pt>
                <c:pt idx="170">
                  <c:v>43511</c:v>
                </c:pt>
                <c:pt idx="171">
                  <c:v>43518</c:v>
                </c:pt>
                <c:pt idx="172">
                  <c:v>43525</c:v>
                </c:pt>
                <c:pt idx="173">
                  <c:v>43532</c:v>
                </c:pt>
                <c:pt idx="174">
                  <c:v>43539</c:v>
                </c:pt>
                <c:pt idx="175">
                  <c:v>43546</c:v>
                </c:pt>
                <c:pt idx="176">
                  <c:v>43553</c:v>
                </c:pt>
                <c:pt idx="177">
                  <c:v>43560</c:v>
                </c:pt>
                <c:pt idx="178">
                  <c:v>43567</c:v>
                </c:pt>
                <c:pt idx="179">
                  <c:v>43574</c:v>
                </c:pt>
                <c:pt idx="180">
                  <c:v>43581</c:v>
                </c:pt>
                <c:pt idx="181">
                  <c:v>43588</c:v>
                </c:pt>
                <c:pt idx="182">
                  <c:v>43595</c:v>
                </c:pt>
                <c:pt idx="183">
                  <c:v>43602</c:v>
                </c:pt>
                <c:pt idx="184">
                  <c:v>43609</c:v>
                </c:pt>
                <c:pt idx="185">
                  <c:v>43616</c:v>
                </c:pt>
                <c:pt idx="186">
                  <c:v>43623</c:v>
                </c:pt>
                <c:pt idx="187">
                  <c:v>43630</c:v>
                </c:pt>
                <c:pt idx="188">
                  <c:v>43637</c:v>
                </c:pt>
                <c:pt idx="189">
                  <c:v>43644</c:v>
                </c:pt>
                <c:pt idx="190">
                  <c:v>43651</c:v>
                </c:pt>
                <c:pt idx="191">
                  <c:v>43658</c:v>
                </c:pt>
                <c:pt idx="192">
                  <c:v>43665</c:v>
                </c:pt>
                <c:pt idx="193">
                  <c:v>43672</c:v>
                </c:pt>
                <c:pt idx="194">
                  <c:v>43679</c:v>
                </c:pt>
                <c:pt idx="195">
                  <c:v>43686</c:v>
                </c:pt>
                <c:pt idx="196">
                  <c:v>43693</c:v>
                </c:pt>
                <c:pt idx="197">
                  <c:v>43700</c:v>
                </c:pt>
                <c:pt idx="198">
                  <c:v>43707</c:v>
                </c:pt>
                <c:pt idx="199">
                  <c:v>43714</c:v>
                </c:pt>
                <c:pt idx="200">
                  <c:v>43721</c:v>
                </c:pt>
                <c:pt idx="201">
                  <c:v>43728</c:v>
                </c:pt>
                <c:pt idx="202">
                  <c:v>43735</c:v>
                </c:pt>
                <c:pt idx="203">
                  <c:v>43742</c:v>
                </c:pt>
                <c:pt idx="204">
                  <c:v>43749</c:v>
                </c:pt>
                <c:pt idx="205">
                  <c:v>43756</c:v>
                </c:pt>
                <c:pt idx="206">
                  <c:v>43763</c:v>
                </c:pt>
                <c:pt idx="207">
                  <c:v>43770</c:v>
                </c:pt>
                <c:pt idx="208">
                  <c:v>43777</c:v>
                </c:pt>
                <c:pt idx="209">
                  <c:v>43784</c:v>
                </c:pt>
                <c:pt idx="210">
                  <c:v>43791</c:v>
                </c:pt>
                <c:pt idx="211">
                  <c:v>43798</c:v>
                </c:pt>
                <c:pt idx="212">
                  <c:v>43805</c:v>
                </c:pt>
                <c:pt idx="213">
                  <c:v>43812</c:v>
                </c:pt>
                <c:pt idx="214">
                  <c:v>43819</c:v>
                </c:pt>
                <c:pt idx="215">
                  <c:v>43826</c:v>
                </c:pt>
                <c:pt idx="216">
                  <c:v>43833</c:v>
                </c:pt>
                <c:pt idx="217">
                  <c:v>43840</c:v>
                </c:pt>
                <c:pt idx="218">
                  <c:v>43847</c:v>
                </c:pt>
                <c:pt idx="219">
                  <c:v>43854</c:v>
                </c:pt>
                <c:pt idx="220">
                  <c:v>43861</c:v>
                </c:pt>
                <c:pt idx="221">
                  <c:v>43868</c:v>
                </c:pt>
                <c:pt idx="222">
                  <c:v>43875</c:v>
                </c:pt>
                <c:pt idx="223">
                  <c:v>43882</c:v>
                </c:pt>
                <c:pt idx="224">
                  <c:v>43889</c:v>
                </c:pt>
                <c:pt idx="225">
                  <c:v>43896</c:v>
                </c:pt>
                <c:pt idx="226">
                  <c:v>43903</c:v>
                </c:pt>
                <c:pt idx="227">
                  <c:v>43910</c:v>
                </c:pt>
                <c:pt idx="228">
                  <c:v>43917</c:v>
                </c:pt>
                <c:pt idx="229">
                  <c:v>43924</c:v>
                </c:pt>
                <c:pt idx="230">
                  <c:v>43931</c:v>
                </c:pt>
                <c:pt idx="231">
                  <c:v>43938</c:v>
                </c:pt>
                <c:pt idx="232">
                  <c:v>43945</c:v>
                </c:pt>
                <c:pt idx="233">
                  <c:v>43952</c:v>
                </c:pt>
                <c:pt idx="234">
                  <c:v>43959</c:v>
                </c:pt>
                <c:pt idx="235">
                  <c:v>43966</c:v>
                </c:pt>
                <c:pt idx="236">
                  <c:v>43973</c:v>
                </c:pt>
                <c:pt idx="237">
                  <c:v>43980</c:v>
                </c:pt>
                <c:pt idx="238">
                  <c:v>43987</c:v>
                </c:pt>
                <c:pt idx="239">
                  <c:v>43994</c:v>
                </c:pt>
                <c:pt idx="240">
                  <c:v>44001</c:v>
                </c:pt>
                <c:pt idx="241">
                  <c:v>44008</c:v>
                </c:pt>
                <c:pt idx="242">
                  <c:v>44015</c:v>
                </c:pt>
                <c:pt idx="243">
                  <c:v>44022</c:v>
                </c:pt>
                <c:pt idx="244">
                  <c:v>44029</c:v>
                </c:pt>
                <c:pt idx="245">
                  <c:v>44036</c:v>
                </c:pt>
                <c:pt idx="246">
                  <c:v>44043</c:v>
                </c:pt>
                <c:pt idx="247">
                  <c:v>44050</c:v>
                </c:pt>
                <c:pt idx="248">
                  <c:v>44057</c:v>
                </c:pt>
                <c:pt idx="249">
                  <c:v>44064</c:v>
                </c:pt>
                <c:pt idx="250">
                  <c:v>44071</c:v>
                </c:pt>
                <c:pt idx="251">
                  <c:v>44078</c:v>
                </c:pt>
                <c:pt idx="252">
                  <c:v>44085</c:v>
                </c:pt>
                <c:pt idx="253">
                  <c:v>44092</c:v>
                </c:pt>
                <c:pt idx="254">
                  <c:v>44099</c:v>
                </c:pt>
                <c:pt idx="255">
                  <c:v>44106</c:v>
                </c:pt>
                <c:pt idx="256">
                  <c:v>44113</c:v>
                </c:pt>
                <c:pt idx="257">
                  <c:v>44120</c:v>
                </c:pt>
                <c:pt idx="258">
                  <c:v>44127</c:v>
                </c:pt>
                <c:pt idx="259">
                  <c:v>44134</c:v>
                </c:pt>
                <c:pt idx="260">
                  <c:v>44141</c:v>
                </c:pt>
                <c:pt idx="261">
                  <c:v>44148</c:v>
                </c:pt>
                <c:pt idx="262">
                  <c:v>44155</c:v>
                </c:pt>
                <c:pt idx="263">
                  <c:v>44162</c:v>
                </c:pt>
                <c:pt idx="264">
                  <c:v>44169</c:v>
                </c:pt>
                <c:pt idx="265">
                  <c:v>44176</c:v>
                </c:pt>
                <c:pt idx="266">
                  <c:v>44183</c:v>
                </c:pt>
                <c:pt idx="267">
                  <c:v>44190</c:v>
                </c:pt>
                <c:pt idx="268">
                  <c:v>44197</c:v>
                </c:pt>
                <c:pt idx="269">
                  <c:v>44204</c:v>
                </c:pt>
                <c:pt idx="270">
                  <c:v>44211</c:v>
                </c:pt>
                <c:pt idx="271">
                  <c:v>44218</c:v>
                </c:pt>
                <c:pt idx="272">
                  <c:v>44225</c:v>
                </c:pt>
                <c:pt idx="273">
                  <c:v>44232</c:v>
                </c:pt>
                <c:pt idx="274">
                  <c:v>44239</c:v>
                </c:pt>
                <c:pt idx="275">
                  <c:v>44246</c:v>
                </c:pt>
                <c:pt idx="276">
                  <c:v>44253</c:v>
                </c:pt>
                <c:pt idx="277">
                  <c:v>44260</c:v>
                </c:pt>
                <c:pt idx="278">
                  <c:v>44267</c:v>
                </c:pt>
                <c:pt idx="279">
                  <c:v>44274</c:v>
                </c:pt>
                <c:pt idx="280">
                  <c:v>44281</c:v>
                </c:pt>
                <c:pt idx="281">
                  <c:v>44288</c:v>
                </c:pt>
                <c:pt idx="282">
                  <c:v>44295</c:v>
                </c:pt>
                <c:pt idx="283">
                  <c:v>44302</c:v>
                </c:pt>
                <c:pt idx="284">
                  <c:v>44309</c:v>
                </c:pt>
                <c:pt idx="285">
                  <c:v>44316</c:v>
                </c:pt>
                <c:pt idx="286">
                  <c:v>44323</c:v>
                </c:pt>
                <c:pt idx="287">
                  <c:v>44330</c:v>
                </c:pt>
                <c:pt idx="288">
                  <c:v>44337</c:v>
                </c:pt>
                <c:pt idx="289">
                  <c:v>44344</c:v>
                </c:pt>
                <c:pt idx="290">
                  <c:v>44351</c:v>
                </c:pt>
                <c:pt idx="291">
                  <c:v>44358</c:v>
                </c:pt>
                <c:pt idx="292">
                  <c:v>44365</c:v>
                </c:pt>
                <c:pt idx="293">
                  <c:v>44372</c:v>
                </c:pt>
                <c:pt idx="294">
                  <c:v>44379</c:v>
                </c:pt>
                <c:pt idx="295">
                  <c:v>44386</c:v>
                </c:pt>
                <c:pt idx="296">
                  <c:v>44393</c:v>
                </c:pt>
                <c:pt idx="297">
                  <c:v>44400</c:v>
                </c:pt>
                <c:pt idx="298">
                  <c:v>44407</c:v>
                </c:pt>
                <c:pt idx="299">
                  <c:v>44414</c:v>
                </c:pt>
                <c:pt idx="300">
                  <c:v>44421</c:v>
                </c:pt>
                <c:pt idx="301">
                  <c:v>44428</c:v>
                </c:pt>
                <c:pt idx="302">
                  <c:v>44435</c:v>
                </c:pt>
                <c:pt idx="303">
                  <c:v>44442</c:v>
                </c:pt>
                <c:pt idx="304">
                  <c:v>44449</c:v>
                </c:pt>
                <c:pt idx="305">
                  <c:v>44456</c:v>
                </c:pt>
                <c:pt idx="306">
                  <c:v>44463</c:v>
                </c:pt>
                <c:pt idx="307">
                  <c:v>44470</c:v>
                </c:pt>
                <c:pt idx="308">
                  <c:v>44477</c:v>
                </c:pt>
                <c:pt idx="309">
                  <c:v>44484</c:v>
                </c:pt>
                <c:pt idx="310">
                  <c:v>44491</c:v>
                </c:pt>
                <c:pt idx="311">
                  <c:v>44498</c:v>
                </c:pt>
                <c:pt idx="312">
                  <c:v>44505</c:v>
                </c:pt>
                <c:pt idx="313">
                  <c:v>44512</c:v>
                </c:pt>
                <c:pt idx="314">
                  <c:v>44519</c:v>
                </c:pt>
                <c:pt idx="315">
                  <c:v>44526</c:v>
                </c:pt>
                <c:pt idx="316">
                  <c:v>44533</c:v>
                </c:pt>
                <c:pt idx="317">
                  <c:v>44540</c:v>
                </c:pt>
                <c:pt idx="318">
                  <c:v>44547</c:v>
                </c:pt>
                <c:pt idx="319">
                  <c:v>44554</c:v>
                </c:pt>
                <c:pt idx="320">
                  <c:v>44561</c:v>
                </c:pt>
                <c:pt idx="321">
                  <c:v>44568</c:v>
                </c:pt>
                <c:pt idx="322">
                  <c:v>44575</c:v>
                </c:pt>
                <c:pt idx="323">
                  <c:v>44582</c:v>
                </c:pt>
                <c:pt idx="324">
                  <c:v>44589</c:v>
                </c:pt>
                <c:pt idx="325">
                  <c:v>44596</c:v>
                </c:pt>
                <c:pt idx="326">
                  <c:v>44603</c:v>
                </c:pt>
                <c:pt idx="327">
                  <c:v>44610</c:v>
                </c:pt>
                <c:pt idx="328">
                  <c:v>44617</c:v>
                </c:pt>
                <c:pt idx="329">
                  <c:v>44624</c:v>
                </c:pt>
                <c:pt idx="330">
                  <c:v>44631</c:v>
                </c:pt>
                <c:pt idx="331">
                  <c:v>44638</c:v>
                </c:pt>
                <c:pt idx="332">
                  <c:v>44645</c:v>
                </c:pt>
                <c:pt idx="333">
                  <c:v>44652</c:v>
                </c:pt>
                <c:pt idx="334">
                  <c:v>44659</c:v>
                </c:pt>
                <c:pt idx="335">
                  <c:v>44666</c:v>
                </c:pt>
                <c:pt idx="336">
                  <c:v>44673</c:v>
                </c:pt>
                <c:pt idx="337">
                  <c:v>44680</c:v>
                </c:pt>
                <c:pt idx="338">
                  <c:v>44687</c:v>
                </c:pt>
                <c:pt idx="339">
                  <c:v>44694</c:v>
                </c:pt>
                <c:pt idx="340">
                  <c:v>44701</c:v>
                </c:pt>
                <c:pt idx="341">
                  <c:v>44708</c:v>
                </c:pt>
                <c:pt idx="342">
                  <c:v>44715</c:v>
                </c:pt>
                <c:pt idx="343">
                  <c:v>44722</c:v>
                </c:pt>
                <c:pt idx="344">
                  <c:v>44729</c:v>
                </c:pt>
                <c:pt idx="345">
                  <c:v>44736</c:v>
                </c:pt>
                <c:pt idx="346">
                  <c:v>44743</c:v>
                </c:pt>
                <c:pt idx="347">
                  <c:v>44750</c:v>
                </c:pt>
                <c:pt idx="348">
                  <c:v>44757</c:v>
                </c:pt>
                <c:pt idx="349">
                  <c:v>44764</c:v>
                </c:pt>
                <c:pt idx="350">
                  <c:v>44771</c:v>
                </c:pt>
                <c:pt idx="351">
                  <c:v>44778</c:v>
                </c:pt>
                <c:pt idx="352">
                  <c:v>44785</c:v>
                </c:pt>
                <c:pt idx="353">
                  <c:v>44792</c:v>
                </c:pt>
                <c:pt idx="354">
                  <c:v>44799</c:v>
                </c:pt>
                <c:pt idx="355">
                  <c:v>44806</c:v>
                </c:pt>
                <c:pt idx="356">
                  <c:v>44813</c:v>
                </c:pt>
                <c:pt idx="357">
                  <c:v>44820</c:v>
                </c:pt>
                <c:pt idx="358">
                  <c:v>44827</c:v>
                </c:pt>
                <c:pt idx="359">
                  <c:v>44834</c:v>
                </c:pt>
                <c:pt idx="360">
                  <c:v>44841</c:v>
                </c:pt>
                <c:pt idx="361">
                  <c:v>44848</c:v>
                </c:pt>
                <c:pt idx="362">
                  <c:v>44855</c:v>
                </c:pt>
                <c:pt idx="363">
                  <c:v>44862</c:v>
                </c:pt>
                <c:pt idx="364">
                  <c:v>44869</c:v>
                </c:pt>
                <c:pt idx="365">
                  <c:v>44876</c:v>
                </c:pt>
                <c:pt idx="366">
                  <c:v>44883</c:v>
                </c:pt>
                <c:pt idx="367">
                  <c:v>44890</c:v>
                </c:pt>
                <c:pt idx="368">
                  <c:v>44897</c:v>
                </c:pt>
                <c:pt idx="369">
                  <c:v>44904</c:v>
                </c:pt>
                <c:pt idx="370">
                  <c:v>44911</c:v>
                </c:pt>
                <c:pt idx="371">
                  <c:v>44918</c:v>
                </c:pt>
                <c:pt idx="372">
                  <c:v>44925</c:v>
                </c:pt>
                <c:pt idx="373">
                  <c:v>44932</c:v>
                </c:pt>
                <c:pt idx="374">
                  <c:v>44939</c:v>
                </c:pt>
                <c:pt idx="375">
                  <c:v>44946</c:v>
                </c:pt>
                <c:pt idx="376">
                  <c:v>44953</c:v>
                </c:pt>
                <c:pt idx="377">
                  <c:v>44960</c:v>
                </c:pt>
                <c:pt idx="378">
                  <c:v>44967</c:v>
                </c:pt>
                <c:pt idx="379">
                  <c:v>44974</c:v>
                </c:pt>
                <c:pt idx="380">
                  <c:v>44981</c:v>
                </c:pt>
                <c:pt idx="381">
                  <c:v>44988</c:v>
                </c:pt>
                <c:pt idx="382">
                  <c:v>44995</c:v>
                </c:pt>
                <c:pt idx="383">
                  <c:v>45002</c:v>
                </c:pt>
                <c:pt idx="384">
                  <c:v>45009</c:v>
                </c:pt>
                <c:pt idx="385">
                  <c:v>45016</c:v>
                </c:pt>
                <c:pt idx="386">
                  <c:v>45023</c:v>
                </c:pt>
                <c:pt idx="387">
                  <c:v>45030</c:v>
                </c:pt>
                <c:pt idx="388">
                  <c:v>45037</c:v>
                </c:pt>
                <c:pt idx="389">
                  <c:v>45044</c:v>
                </c:pt>
                <c:pt idx="390">
                  <c:v>45051</c:v>
                </c:pt>
                <c:pt idx="391">
                  <c:v>45058</c:v>
                </c:pt>
                <c:pt idx="392">
                  <c:v>45065</c:v>
                </c:pt>
                <c:pt idx="393">
                  <c:v>45072</c:v>
                </c:pt>
                <c:pt idx="394">
                  <c:v>45079</c:v>
                </c:pt>
                <c:pt idx="395">
                  <c:v>45086</c:v>
                </c:pt>
                <c:pt idx="396">
                  <c:v>45093</c:v>
                </c:pt>
                <c:pt idx="397">
                  <c:v>45100</c:v>
                </c:pt>
                <c:pt idx="398">
                  <c:v>45107</c:v>
                </c:pt>
                <c:pt idx="399">
                  <c:v>45114</c:v>
                </c:pt>
                <c:pt idx="400">
                  <c:v>45121</c:v>
                </c:pt>
                <c:pt idx="401">
                  <c:v>45128</c:v>
                </c:pt>
                <c:pt idx="402">
                  <c:v>45135</c:v>
                </c:pt>
                <c:pt idx="403">
                  <c:v>45142</c:v>
                </c:pt>
                <c:pt idx="404">
                  <c:v>45149</c:v>
                </c:pt>
                <c:pt idx="405">
                  <c:v>45156</c:v>
                </c:pt>
                <c:pt idx="406">
                  <c:v>45163</c:v>
                </c:pt>
                <c:pt idx="407">
                  <c:v>45170</c:v>
                </c:pt>
                <c:pt idx="408">
                  <c:v>45177</c:v>
                </c:pt>
                <c:pt idx="409">
                  <c:v>45184</c:v>
                </c:pt>
                <c:pt idx="410">
                  <c:v>45191</c:v>
                </c:pt>
                <c:pt idx="411">
                  <c:v>45198</c:v>
                </c:pt>
                <c:pt idx="412">
                  <c:v>45205</c:v>
                </c:pt>
                <c:pt idx="413">
                  <c:v>45212</c:v>
                </c:pt>
                <c:pt idx="414">
                  <c:v>45219</c:v>
                </c:pt>
                <c:pt idx="415">
                  <c:v>45226</c:v>
                </c:pt>
                <c:pt idx="416">
                  <c:v>45233</c:v>
                </c:pt>
                <c:pt idx="417">
                  <c:v>45240</c:v>
                </c:pt>
                <c:pt idx="418">
                  <c:v>45247</c:v>
                </c:pt>
                <c:pt idx="419">
                  <c:v>45254</c:v>
                </c:pt>
                <c:pt idx="420">
                  <c:v>45261</c:v>
                </c:pt>
                <c:pt idx="421">
                  <c:v>45268</c:v>
                </c:pt>
                <c:pt idx="422">
                  <c:v>45275</c:v>
                </c:pt>
                <c:pt idx="423">
                  <c:v>45282</c:v>
                </c:pt>
                <c:pt idx="424">
                  <c:v>45289</c:v>
                </c:pt>
                <c:pt idx="425">
                  <c:v>45296</c:v>
                </c:pt>
                <c:pt idx="426">
                  <c:v>45303</c:v>
                </c:pt>
                <c:pt idx="427">
                  <c:v>45310</c:v>
                </c:pt>
                <c:pt idx="428">
                  <c:v>45317</c:v>
                </c:pt>
                <c:pt idx="429">
                  <c:v>45324</c:v>
                </c:pt>
                <c:pt idx="430">
                  <c:v>45331</c:v>
                </c:pt>
                <c:pt idx="431">
                  <c:v>45338</c:v>
                </c:pt>
                <c:pt idx="432">
                  <c:v>45345</c:v>
                </c:pt>
                <c:pt idx="433">
                  <c:v>45352</c:v>
                </c:pt>
                <c:pt idx="434">
                  <c:v>45359</c:v>
                </c:pt>
                <c:pt idx="435">
                  <c:v>45366</c:v>
                </c:pt>
                <c:pt idx="436">
                  <c:v>45373</c:v>
                </c:pt>
                <c:pt idx="437">
                  <c:v>45380</c:v>
                </c:pt>
                <c:pt idx="438">
                  <c:v>45387</c:v>
                </c:pt>
                <c:pt idx="439">
                  <c:v>45394</c:v>
                </c:pt>
                <c:pt idx="440">
                  <c:v>45401</c:v>
                </c:pt>
                <c:pt idx="441">
                  <c:v>45408</c:v>
                </c:pt>
                <c:pt idx="442">
                  <c:v>45415</c:v>
                </c:pt>
              </c:numCache>
            </c:numRef>
          </c:cat>
          <c:val>
            <c:numRef>
              <c:f>Charts!$B$69:$B$512</c:f>
              <c:numCache>
                <c:formatCode>0.00</c:formatCode>
                <c:ptCount val="444"/>
                <c:pt idx="0">
                  <c:v>2.1080220000000001</c:v>
                </c:pt>
                <c:pt idx="1">
                  <c:v>2.1833089999999999</c:v>
                </c:pt>
                <c:pt idx="2">
                  <c:v>2.1080220000000001</c:v>
                </c:pt>
                <c:pt idx="3">
                  <c:v>2.1607229999999999</c:v>
                </c:pt>
                <c:pt idx="4">
                  <c:v>2.2585950000000001</c:v>
                </c:pt>
                <c:pt idx="5">
                  <c:v>2.4091680000000002</c:v>
                </c:pt>
                <c:pt idx="6">
                  <c:v>2.469398</c:v>
                </c:pt>
                <c:pt idx="7">
                  <c:v>2.560683</c:v>
                </c:pt>
                <c:pt idx="8">
                  <c:v>2.5296270000000001</c:v>
                </c:pt>
                <c:pt idx="9">
                  <c:v>2.3696429999999999</c:v>
                </c:pt>
                <c:pt idx="10">
                  <c:v>2.4035220000000002</c:v>
                </c:pt>
                <c:pt idx="11">
                  <c:v>2.5597409999999998</c:v>
                </c:pt>
                <c:pt idx="12">
                  <c:v>2.5672700000000002</c:v>
                </c:pt>
                <c:pt idx="13">
                  <c:v>2.2736529999999999</c:v>
                </c:pt>
                <c:pt idx="14">
                  <c:v>2.3225889999999998</c:v>
                </c:pt>
                <c:pt idx="15">
                  <c:v>2.5503309999999999</c:v>
                </c:pt>
                <c:pt idx="16">
                  <c:v>2.5635059999999998</c:v>
                </c:pt>
                <c:pt idx="17">
                  <c:v>2.4091680000000002</c:v>
                </c:pt>
                <c:pt idx="18">
                  <c:v>2.2698879999999999</c:v>
                </c:pt>
                <c:pt idx="19">
                  <c:v>2.333882</c:v>
                </c:pt>
                <c:pt idx="20">
                  <c:v>2.3587799999999999</c:v>
                </c:pt>
                <c:pt idx="21">
                  <c:v>2.4776280000000002</c:v>
                </c:pt>
                <c:pt idx="22">
                  <c:v>2.497309</c:v>
                </c:pt>
                <c:pt idx="23">
                  <c:v>2.4178250000000001</c:v>
                </c:pt>
                <c:pt idx="24">
                  <c:v>2.4147970000000001</c:v>
                </c:pt>
                <c:pt idx="25">
                  <c:v>2.4185819999999998</c:v>
                </c:pt>
                <c:pt idx="26">
                  <c:v>2.3784619999999999</c:v>
                </c:pt>
                <c:pt idx="27">
                  <c:v>2.3845179999999999</c:v>
                </c:pt>
                <c:pt idx="28">
                  <c:v>2.62297</c:v>
                </c:pt>
                <c:pt idx="29">
                  <c:v>2.7289479999999999</c:v>
                </c:pt>
                <c:pt idx="30">
                  <c:v>2.8160020000000001</c:v>
                </c:pt>
                <c:pt idx="31">
                  <c:v>2.5737649999999999</c:v>
                </c:pt>
                <c:pt idx="32">
                  <c:v>2.5949610000000001</c:v>
                </c:pt>
                <c:pt idx="33">
                  <c:v>2.4980660000000001</c:v>
                </c:pt>
                <c:pt idx="34">
                  <c:v>2.2565870000000001</c:v>
                </c:pt>
                <c:pt idx="35">
                  <c:v>2.3845179999999999</c:v>
                </c:pt>
                <c:pt idx="36">
                  <c:v>2.5192619999999999</c:v>
                </c:pt>
                <c:pt idx="37">
                  <c:v>2.6290249999999999</c:v>
                </c:pt>
                <c:pt idx="38">
                  <c:v>2.5866340000000001</c:v>
                </c:pt>
                <c:pt idx="39">
                  <c:v>2.5737649999999999</c:v>
                </c:pt>
                <c:pt idx="40">
                  <c:v>2.5465140000000002</c:v>
                </c:pt>
                <c:pt idx="41">
                  <c:v>2.4791409999999998</c:v>
                </c:pt>
                <c:pt idx="42">
                  <c:v>2.523047</c:v>
                </c:pt>
                <c:pt idx="43">
                  <c:v>2.4208530000000001</c:v>
                </c:pt>
                <c:pt idx="44">
                  <c:v>2.4473479999999999</c:v>
                </c:pt>
                <c:pt idx="45">
                  <c:v>2.4246379999999998</c:v>
                </c:pt>
                <c:pt idx="46">
                  <c:v>2.4223669999999999</c:v>
                </c:pt>
                <c:pt idx="47">
                  <c:v>2.3489390000000001</c:v>
                </c:pt>
                <c:pt idx="48">
                  <c:v>2.264913</c:v>
                </c:pt>
                <c:pt idx="49">
                  <c:v>2.5586250000000001</c:v>
                </c:pt>
                <c:pt idx="50">
                  <c:v>2.439778</c:v>
                </c:pt>
                <c:pt idx="51">
                  <c:v>2.3777050000000002</c:v>
                </c:pt>
                <c:pt idx="52">
                  <c:v>2.4488620000000001</c:v>
                </c:pt>
                <c:pt idx="53">
                  <c:v>2.4503879999999998</c:v>
                </c:pt>
                <c:pt idx="54">
                  <c:v>2.3879280000000001</c:v>
                </c:pt>
                <c:pt idx="55">
                  <c:v>2.3062480000000001</c:v>
                </c:pt>
                <c:pt idx="56">
                  <c:v>2.3615020000000002</c:v>
                </c:pt>
                <c:pt idx="57">
                  <c:v>2.3983379999999999</c:v>
                </c:pt>
                <c:pt idx="58">
                  <c:v>2.3735140000000001</c:v>
                </c:pt>
                <c:pt idx="59">
                  <c:v>2.3615020000000002</c:v>
                </c:pt>
                <c:pt idx="60">
                  <c:v>2.3599000000000001</c:v>
                </c:pt>
                <c:pt idx="61">
                  <c:v>2.3847239999999998</c:v>
                </c:pt>
                <c:pt idx="62">
                  <c:v>2.3663059999999998</c:v>
                </c:pt>
                <c:pt idx="63">
                  <c:v>2.4423810000000001</c:v>
                </c:pt>
                <c:pt idx="64">
                  <c:v>2.52406</c:v>
                </c:pt>
                <c:pt idx="65">
                  <c:v>2.5288650000000001</c:v>
                </c:pt>
                <c:pt idx="66">
                  <c:v>2.5432790000000001</c:v>
                </c:pt>
                <c:pt idx="67">
                  <c:v>2.5632980000000001</c:v>
                </c:pt>
                <c:pt idx="68">
                  <c:v>2.5977320000000002</c:v>
                </c:pt>
                <c:pt idx="69">
                  <c:v>2.6345679999999998</c:v>
                </c:pt>
                <c:pt idx="70">
                  <c:v>2.7682980000000001</c:v>
                </c:pt>
                <c:pt idx="71">
                  <c:v>3.1230440000000002</c:v>
                </c:pt>
                <c:pt idx="72">
                  <c:v>3.1782509999999999</c:v>
                </c:pt>
                <c:pt idx="73">
                  <c:v>3.3629769999999999</c:v>
                </c:pt>
                <c:pt idx="74">
                  <c:v>3.4049230000000001</c:v>
                </c:pt>
                <c:pt idx="75">
                  <c:v>3.4194429999999998</c:v>
                </c:pt>
                <c:pt idx="76">
                  <c:v>3.3234499999999998</c:v>
                </c:pt>
                <c:pt idx="77">
                  <c:v>3.4589690000000002</c:v>
                </c:pt>
                <c:pt idx="78">
                  <c:v>3.5283419999999999</c:v>
                </c:pt>
                <c:pt idx="79">
                  <c:v>3.605782</c:v>
                </c:pt>
                <c:pt idx="80">
                  <c:v>3.4202499999999998</c:v>
                </c:pt>
                <c:pt idx="81">
                  <c:v>3.4976889999999998</c:v>
                </c:pt>
                <c:pt idx="82">
                  <c:v>3.2508509999999999</c:v>
                </c:pt>
                <c:pt idx="83">
                  <c:v>3.2911839999999999</c:v>
                </c:pt>
                <c:pt idx="84">
                  <c:v>3.2621440000000002</c:v>
                </c:pt>
                <c:pt idx="85">
                  <c:v>3.1806709999999998</c:v>
                </c:pt>
                <c:pt idx="86">
                  <c:v>3.0532180000000002</c:v>
                </c:pt>
                <c:pt idx="87">
                  <c:v>3.0814509999999999</c:v>
                </c:pt>
                <c:pt idx="88">
                  <c:v>3.162118</c:v>
                </c:pt>
                <c:pt idx="89">
                  <c:v>3.1701839999999999</c:v>
                </c:pt>
                <c:pt idx="90">
                  <c:v>3.2145510000000002</c:v>
                </c:pt>
                <c:pt idx="91">
                  <c:v>3.1822840000000001</c:v>
                </c:pt>
                <c:pt idx="92">
                  <c:v>3.2758569999999998</c:v>
                </c:pt>
                <c:pt idx="93">
                  <c:v>3.31135</c:v>
                </c:pt>
                <c:pt idx="94">
                  <c:v>3.2419769999999999</c:v>
                </c:pt>
                <c:pt idx="95">
                  <c:v>3.3073169999999998</c:v>
                </c:pt>
                <c:pt idx="96">
                  <c:v>3.1742180000000002</c:v>
                </c:pt>
                <c:pt idx="97">
                  <c:v>3.2452040000000002</c:v>
                </c:pt>
                <c:pt idx="98">
                  <c:v>3.3920159999999999</c:v>
                </c:pt>
                <c:pt idx="99">
                  <c:v>3.3976630000000001</c:v>
                </c:pt>
                <c:pt idx="100">
                  <c:v>3.521083</c:v>
                </c:pt>
                <c:pt idx="101">
                  <c:v>3.95668</c:v>
                </c:pt>
                <c:pt idx="102">
                  <c:v>4.1704460000000001</c:v>
                </c:pt>
                <c:pt idx="103">
                  <c:v>4.3343920000000002</c:v>
                </c:pt>
                <c:pt idx="104">
                  <c:v>4.5519480000000003</c:v>
                </c:pt>
                <c:pt idx="105">
                  <c:v>4.5352129999999997</c:v>
                </c:pt>
                <c:pt idx="106">
                  <c:v>4.5226620000000004</c:v>
                </c:pt>
                <c:pt idx="107">
                  <c:v>4.3260240000000003</c:v>
                </c:pt>
                <c:pt idx="108">
                  <c:v>4.2716349999999998</c:v>
                </c:pt>
                <c:pt idx="109">
                  <c:v>4.3887809999999998</c:v>
                </c:pt>
                <c:pt idx="110">
                  <c:v>4.3469429999999996</c:v>
                </c:pt>
                <c:pt idx="111">
                  <c:v>4.351127</c:v>
                </c:pt>
                <c:pt idx="112">
                  <c:v>4.4850079999999997</c:v>
                </c:pt>
                <c:pt idx="113">
                  <c:v>4.342759</c:v>
                </c:pt>
                <c:pt idx="114">
                  <c:v>4.3260240000000003</c:v>
                </c:pt>
                <c:pt idx="115">
                  <c:v>4.3343920000000002</c:v>
                </c:pt>
                <c:pt idx="116">
                  <c:v>4.342759</c:v>
                </c:pt>
                <c:pt idx="117">
                  <c:v>4.3929640000000001</c:v>
                </c:pt>
                <c:pt idx="118">
                  <c:v>4.7109310000000004</c:v>
                </c:pt>
                <c:pt idx="119">
                  <c:v>4.8448120000000001</c:v>
                </c:pt>
                <c:pt idx="120">
                  <c:v>5.0037960000000004</c:v>
                </c:pt>
                <c:pt idx="121">
                  <c:v>5.2799250000000004</c:v>
                </c:pt>
                <c:pt idx="122">
                  <c:v>5.4556440000000004</c:v>
                </c:pt>
                <c:pt idx="123">
                  <c:v>5.4054380000000002</c:v>
                </c:pt>
                <c:pt idx="124">
                  <c:v>5.7344989999999996</c:v>
                </c:pt>
                <c:pt idx="125">
                  <c:v>5.5915569999999999</c:v>
                </c:pt>
                <c:pt idx="126">
                  <c:v>5.6588240000000001</c:v>
                </c:pt>
                <c:pt idx="127">
                  <c:v>5.8017659999999998</c:v>
                </c:pt>
                <c:pt idx="128">
                  <c:v>5.8017659999999998</c:v>
                </c:pt>
                <c:pt idx="129">
                  <c:v>5.7933579999999996</c:v>
                </c:pt>
                <c:pt idx="130">
                  <c:v>6.0035670000000003</c:v>
                </c:pt>
                <c:pt idx="131">
                  <c:v>5.6335990000000002</c:v>
                </c:pt>
                <c:pt idx="132">
                  <c:v>6.1717339999999998</c:v>
                </c:pt>
                <c:pt idx="133">
                  <c:v>6.4492099999999999</c:v>
                </c:pt>
                <c:pt idx="134">
                  <c:v>6.4408010000000004</c:v>
                </c:pt>
                <c:pt idx="135">
                  <c:v>6.2558170000000004</c:v>
                </c:pt>
                <c:pt idx="136">
                  <c:v>6.3903509999999999</c:v>
                </c:pt>
                <c:pt idx="137">
                  <c:v>6.4408010000000004</c:v>
                </c:pt>
                <c:pt idx="138">
                  <c:v>6.08765</c:v>
                </c:pt>
                <c:pt idx="139">
                  <c:v>6.7855439999999998</c:v>
                </c:pt>
                <c:pt idx="140">
                  <c:v>6.7098690000000003</c:v>
                </c:pt>
                <c:pt idx="141">
                  <c:v>6.9032609999999996</c:v>
                </c:pt>
                <c:pt idx="142">
                  <c:v>7.037795</c:v>
                </c:pt>
                <c:pt idx="143">
                  <c:v>6.8359940000000003</c:v>
                </c:pt>
                <c:pt idx="144">
                  <c:v>7.1050610000000001</c:v>
                </c:pt>
                <c:pt idx="145">
                  <c:v>7.0546110000000004</c:v>
                </c:pt>
                <c:pt idx="146">
                  <c:v>7.1471030000000004</c:v>
                </c:pt>
                <c:pt idx="147">
                  <c:v>6.9116689999999998</c:v>
                </c:pt>
                <c:pt idx="148">
                  <c:v>6.8780359999999998</c:v>
                </c:pt>
                <c:pt idx="149">
                  <c:v>6.7519099999999996</c:v>
                </c:pt>
                <c:pt idx="150">
                  <c:v>6.6846439999999996</c:v>
                </c:pt>
                <c:pt idx="151">
                  <c:v>6.608968</c:v>
                </c:pt>
                <c:pt idx="152">
                  <c:v>6.0960590000000003</c:v>
                </c:pt>
                <c:pt idx="153">
                  <c:v>6.2474090000000002</c:v>
                </c:pt>
                <c:pt idx="154">
                  <c:v>5.6083740000000004</c:v>
                </c:pt>
                <c:pt idx="155">
                  <c:v>5.6233510000000004</c:v>
                </c:pt>
                <c:pt idx="156">
                  <c:v>5.7194019999999997</c:v>
                </c:pt>
                <c:pt idx="157">
                  <c:v>5.4137849999999998</c:v>
                </c:pt>
                <c:pt idx="158">
                  <c:v>5.2740739999999997</c:v>
                </c:pt>
                <c:pt idx="159">
                  <c:v>5.2566110000000004</c:v>
                </c:pt>
                <c:pt idx="160">
                  <c:v>5.195487</c:v>
                </c:pt>
                <c:pt idx="161">
                  <c:v>5.2566110000000004</c:v>
                </c:pt>
                <c:pt idx="162">
                  <c:v>5.1605600000000003</c:v>
                </c:pt>
                <c:pt idx="163">
                  <c:v>5.0033849999999997</c:v>
                </c:pt>
                <c:pt idx="164">
                  <c:v>5.0470449999999998</c:v>
                </c:pt>
                <c:pt idx="165">
                  <c:v>5.9377000000000004</c:v>
                </c:pt>
                <c:pt idx="166">
                  <c:v>6.0424829999999998</c:v>
                </c:pt>
                <c:pt idx="167">
                  <c:v>6.1559970000000002</c:v>
                </c:pt>
                <c:pt idx="168">
                  <c:v>6.1385339999999999</c:v>
                </c:pt>
                <c:pt idx="169">
                  <c:v>6.190925</c:v>
                </c:pt>
                <c:pt idx="170">
                  <c:v>6.2520480000000003</c:v>
                </c:pt>
                <c:pt idx="171">
                  <c:v>6.5227380000000004</c:v>
                </c:pt>
                <c:pt idx="172">
                  <c:v>6.7934270000000003</c:v>
                </c:pt>
                <c:pt idx="173">
                  <c:v>6.5663970000000003</c:v>
                </c:pt>
                <c:pt idx="174">
                  <c:v>7.1863630000000001</c:v>
                </c:pt>
                <c:pt idx="175">
                  <c:v>7.3435370000000004</c:v>
                </c:pt>
                <c:pt idx="176">
                  <c:v>7.2474860000000003</c:v>
                </c:pt>
                <c:pt idx="177">
                  <c:v>7.47879</c:v>
                </c:pt>
                <c:pt idx="178">
                  <c:v>7.6236259999999998</c:v>
                </c:pt>
                <c:pt idx="179">
                  <c:v>7.6280150000000004</c:v>
                </c:pt>
                <c:pt idx="180">
                  <c:v>7.7245720000000002</c:v>
                </c:pt>
                <c:pt idx="181">
                  <c:v>8.1766349999999992</c:v>
                </c:pt>
                <c:pt idx="182">
                  <c:v>7.9045189999999996</c:v>
                </c:pt>
                <c:pt idx="183">
                  <c:v>8.2512469999999993</c:v>
                </c:pt>
                <c:pt idx="184">
                  <c:v>8.2380800000000001</c:v>
                </c:pt>
                <c:pt idx="185">
                  <c:v>7.9835200000000004</c:v>
                </c:pt>
                <c:pt idx="186">
                  <c:v>8.1634679999999999</c:v>
                </c:pt>
                <c:pt idx="187">
                  <c:v>8.2600250000000006</c:v>
                </c:pt>
                <c:pt idx="188">
                  <c:v>8.2424689999999998</c:v>
                </c:pt>
                <c:pt idx="189">
                  <c:v>8.5277519999999996</c:v>
                </c:pt>
                <c:pt idx="190">
                  <c:v>8.5233629999999998</c:v>
                </c:pt>
                <c:pt idx="191">
                  <c:v>8.3565819999999995</c:v>
                </c:pt>
                <c:pt idx="192">
                  <c:v>8.2380800000000001</c:v>
                </c:pt>
                <c:pt idx="193">
                  <c:v>8.3741380000000003</c:v>
                </c:pt>
                <c:pt idx="194">
                  <c:v>8.1590790000000002</c:v>
                </c:pt>
                <c:pt idx="195">
                  <c:v>8.023021</c:v>
                </c:pt>
                <c:pt idx="196">
                  <c:v>8.2731919999999999</c:v>
                </c:pt>
                <c:pt idx="197">
                  <c:v>8.6857539999999993</c:v>
                </c:pt>
                <c:pt idx="198">
                  <c:v>9.1290390000000006</c:v>
                </c:pt>
                <c:pt idx="199">
                  <c:v>8.9710370000000008</c:v>
                </c:pt>
                <c:pt idx="200">
                  <c:v>8.6243090000000002</c:v>
                </c:pt>
                <c:pt idx="201">
                  <c:v>8.7471999999999994</c:v>
                </c:pt>
                <c:pt idx="202">
                  <c:v>8.769145</c:v>
                </c:pt>
                <c:pt idx="203">
                  <c:v>8.5672519999999999</c:v>
                </c:pt>
                <c:pt idx="204">
                  <c:v>8.3609709999999993</c:v>
                </c:pt>
                <c:pt idx="205">
                  <c:v>8.5277519999999996</c:v>
                </c:pt>
                <c:pt idx="206">
                  <c:v>8.3390260000000005</c:v>
                </c:pt>
                <c:pt idx="207">
                  <c:v>8.4443610000000007</c:v>
                </c:pt>
                <c:pt idx="208">
                  <c:v>9.8623539999999998</c:v>
                </c:pt>
                <c:pt idx="209">
                  <c:v>10.393266000000001</c:v>
                </c:pt>
                <c:pt idx="210">
                  <c:v>10.447257</c:v>
                </c:pt>
                <c:pt idx="211">
                  <c:v>10.132308999999999</c:v>
                </c:pt>
                <c:pt idx="212">
                  <c:v>9.9073469999999997</c:v>
                </c:pt>
                <c:pt idx="213">
                  <c:v>10.00633</c:v>
                </c:pt>
                <c:pt idx="214">
                  <c:v>10.132308999999999</c:v>
                </c:pt>
                <c:pt idx="215">
                  <c:v>10.546239999999999</c:v>
                </c:pt>
                <c:pt idx="216">
                  <c:v>10.654222000000001</c:v>
                </c:pt>
                <c:pt idx="217">
                  <c:v>10.357272</c:v>
                </c:pt>
                <c:pt idx="218">
                  <c:v>11.104146999999999</c:v>
                </c:pt>
                <c:pt idx="219">
                  <c:v>11.221128</c:v>
                </c:pt>
                <c:pt idx="220">
                  <c:v>10.393266000000001</c:v>
                </c:pt>
                <c:pt idx="221">
                  <c:v>10.978168</c:v>
                </c:pt>
                <c:pt idx="222">
                  <c:v>11.320111000000001</c:v>
                </c:pt>
                <c:pt idx="223">
                  <c:v>10.708213000000001</c:v>
                </c:pt>
                <c:pt idx="224">
                  <c:v>9.5024139999999999</c:v>
                </c:pt>
                <c:pt idx="225">
                  <c:v>9.3134460000000008</c:v>
                </c:pt>
                <c:pt idx="226">
                  <c:v>8.8005309999999994</c:v>
                </c:pt>
                <c:pt idx="227">
                  <c:v>8.3821010000000005</c:v>
                </c:pt>
                <c:pt idx="228">
                  <c:v>9.1784680000000005</c:v>
                </c:pt>
                <c:pt idx="229">
                  <c:v>8.4720859999999991</c:v>
                </c:pt>
                <c:pt idx="230">
                  <c:v>9.6013979999999997</c:v>
                </c:pt>
                <c:pt idx="231">
                  <c:v>9.9973320000000001</c:v>
                </c:pt>
                <c:pt idx="232">
                  <c:v>9.8983480000000004</c:v>
                </c:pt>
                <c:pt idx="233">
                  <c:v>10.105314</c:v>
                </c:pt>
                <c:pt idx="234">
                  <c:v>10.24929</c:v>
                </c:pt>
                <c:pt idx="235">
                  <c:v>10.492248999999999</c:v>
                </c:pt>
                <c:pt idx="236">
                  <c:v>11.311113000000001</c:v>
                </c:pt>
                <c:pt idx="237">
                  <c:v>10.312279</c:v>
                </c:pt>
                <c:pt idx="238">
                  <c:v>10.096315000000001</c:v>
                </c:pt>
                <c:pt idx="239">
                  <c:v>9.2864500000000003</c:v>
                </c:pt>
                <c:pt idx="240">
                  <c:v>9.8803509999999992</c:v>
                </c:pt>
                <c:pt idx="241">
                  <c:v>9.8803509999999992</c:v>
                </c:pt>
                <c:pt idx="242">
                  <c:v>10.222294</c:v>
                </c:pt>
                <c:pt idx="243">
                  <c:v>10.420261</c:v>
                </c:pt>
                <c:pt idx="244">
                  <c:v>10.348273000000001</c:v>
                </c:pt>
                <c:pt idx="245">
                  <c:v>10.573236</c:v>
                </c:pt>
                <c:pt idx="246">
                  <c:v>11.347106999999999</c:v>
                </c:pt>
                <c:pt idx="247">
                  <c:v>12.390931999999999</c:v>
                </c:pt>
                <c:pt idx="248">
                  <c:v>11.833024999999999</c:v>
                </c:pt>
                <c:pt idx="249">
                  <c:v>11.869019</c:v>
                </c:pt>
                <c:pt idx="250">
                  <c:v>12.444922999999999</c:v>
                </c:pt>
                <c:pt idx="251">
                  <c:v>11.707046</c:v>
                </c:pt>
                <c:pt idx="252">
                  <c:v>11.248123</c:v>
                </c:pt>
                <c:pt idx="253">
                  <c:v>11.194132</c:v>
                </c:pt>
                <c:pt idx="254">
                  <c:v>10.753206</c:v>
                </c:pt>
                <c:pt idx="255">
                  <c:v>10.618228</c:v>
                </c:pt>
                <c:pt idx="256">
                  <c:v>10.834192</c:v>
                </c:pt>
                <c:pt idx="257">
                  <c:v>11.095148999999999</c:v>
                </c:pt>
                <c:pt idx="258">
                  <c:v>10.654222000000001</c:v>
                </c:pt>
                <c:pt idx="259">
                  <c:v>10.123310999999999</c:v>
                </c:pt>
                <c:pt idx="260">
                  <c:v>10.322535999999999</c:v>
                </c:pt>
                <c:pt idx="261">
                  <c:v>10.267384</c:v>
                </c:pt>
                <c:pt idx="262">
                  <c:v>11.085466</c:v>
                </c:pt>
                <c:pt idx="263">
                  <c:v>10.533950000000001</c:v>
                </c:pt>
                <c:pt idx="264">
                  <c:v>10.451223000000001</c:v>
                </c:pt>
                <c:pt idx="265">
                  <c:v>11.250921</c:v>
                </c:pt>
                <c:pt idx="266">
                  <c:v>11.995467</c:v>
                </c:pt>
                <c:pt idx="267">
                  <c:v>12.326376</c:v>
                </c:pt>
                <c:pt idx="268">
                  <c:v>12.629709999999999</c:v>
                </c:pt>
                <c:pt idx="269">
                  <c:v>13.852236</c:v>
                </c:pt>
                <c:pt idx="270">
                  <c:v>13.815469</c:v>
                </c:pt>
                <c:pt idx="271">
                  <c:v>14.173954</c:v>
                </c:pt>
                <c:pt idx="272">
                  <c:v>13.879811999999999</c:v>
                </c:pt>
                <c:pt idx="273">
                  <c:v>14.541631000000001</c:v>
                </c:pt>
                <c:pt idx="274">
                  <c:v>14.339409</c:v>
                </c:pt>
                <c:pt idx="275">
                  <c:v>14.173954</c:v>
                </c:pt>
                <c:pt idx="276">
                  <c:v>13.456982999999999</c:v>
                </c:pt>
                <c:pt idx="277">
                  <c:v>13.190417999999999</c:v>
                </c:pt>
                <c:pt idx="278">
                  <c:v>13.833853</c:v>
                </c:pt>
                <c:pt idx="279">
                  <c:v>14.477288</c:v>
                </c:pt>
                <c:pt idx="280">
                  <c:v>16.315673</c:v>
                </c:pt>
                <c:pt idx="281">
                  <c:v>16.816248000000002</c:v>
                </c:pt>
                <c:pt idx="282">
                  <c:v>17.941635999999999</c:v>
                </c:pt>
                <c:pt idx="283">
                  <c:v>17.646452</c:v>
                </c:pt>
                <c:pt idx="284">
                  <c:v>17.766370999999999</c:v>
                </c:pt>
                <c:pt idx="285">
                  <c:v>17.683350000000001</c:v>
                </c:pt>
                <c:pt idx="286">
                  <c:v>17.249798999999999</c:v>
                </c:pt>
                <c:pt idx="287">
                  <c:v>16.207432000000001</c:v>
                </c:pt>
                <c:pt idx="288">
                  <c:v>16.327349999999999</c:v>
                </c:pt>
                <c:pt idx="289">
                  <c:v>16.871594999999999</c:v>
                </c:pt>
                <c:pt idx="290">
                  <c:v>16.779350000000001</c:v>
                </c:pt>
                <c:pt idx="291">
                  <c:v>16.899269</c:v>
                </c:pt>
                <c:pt idx="292">
                  <c:v>16.078289000000002</c:v>
                </c:pt>
                <c:pt idx="293">
                  <c:v>16.530289</c:v>
                </c:pt>
                <c:pt idx="294">
                  <c:v>16.438044000000001</c:v>
                </c:pt>
                <c:pt idx="295">
                  <c:v>16.788575000000002</c:v>
                </c:pt>
                <c:pt idx="296">
                  <c:v>16.816248000000002</c:v>
                </c:pt>
                <c:pt idx="297">
                  <c:v>17.342044000000001</c:v>
                </c:pt>
                <c:pt idx="298">
                  <c:v>17.830942</c:v>
                </c:pt>
                <c:pt idx="299">
                  <c:v>18.172248</c:v>
                </c:pt>
                <c:pt idx="300">
                  <c:v>18.615023999999998</c:v>
                </c:pt>
                <c:pt idx="301">
                  <c:v>19.316085000000001</c:v>
                </c:pt>
                <c:pt idx="302">
                  <c:v>19.648167000000001</c:v>
                </c:pt>
                <c:pt idx="303">
                  <c:v>20.127841</c:v>
                </c:pt>
                <c:pt idx="304">
                  <c:v>20.330779</c:v>
                </c:pt>
                <c:pt idx="305">
                  <c:v>20.330779</c:v>
                </c:pt>
                <c:pt idx="306">
                  <c:v>19.998698000000001</c:v>
                </c:pt>
                <c:pt idx="307">
                  <c:v>18.522779</c:v>
                </c:pt>
                <c:pt idx="308">
                  <c:v>18.006208000000001</c:v>
                </c:pt>
                <c:pt idx="309">
                  <c:v>19.113147000000001</c:v>
                </c:pt>
                <c:pt idx="310">
                  <c:v>18.615023999999998</c:v>
                </c:pt>
                <c:pt idx="311">
                  <c:v>17.923186999999999</c:v>
                </c:pt>
                <c:pt idx="312">
                  <c:v>18.273717999999999</c:v>
                </c:pt>
                <c:pt idx="313">
                  <c:v>17.800135999999998</c:v>
                </c:pt>
                <c:pt idx="314">
                  <c:v>18.476447</c:v>
                </c:pt>
                <c:pt idx="315">
                  <c:v>17.236543000000001</c:v>
                </c:pt>
                <c:pt idx="316">
                  <c:v>16.926566999999999</c:v>
                </c:pt>
                <c:pt idx="317">
                  <c:v>16.532053000000001</c:v>
                </c:pt>
                <c:pt idx="318">
                  <c:v>16.344187999999999</c:v>
                </c:pt>
                <c:pt idx="319">
                  <c:v>16.785668999999999</c:v>
                </c:pt>
                <c:pt idx="320">
                  <c:v>16.945353999999998</c:v>
                </c:pt>
                <c:pt idx="321">
                  <c:v>15.386081000000001</c:v>
                </c:pt>
                <c:pt idx="322">
                  <c:v>15.789989</c:v>
                </c:pt>
                <c:pt idx="323">
                  <c:v>15.902706999999999</c:v>
                </c:pt>
                <c:pt idx="324">
                  <c:v>15.113678</c:v>
                </c:pt>
                <c:pt idx="325">
                  <c:v>14.728555999999999</c:v>
                </c:pt>
                <c:pt idx="326">
                  <c:v>14.850668000000001</c:v>
                </c:pt>
                <c:pt idx="327">
                  <c:v>14.446759999999999</c:v>
                </c:pt>
                <c:pt idx="328">
                  <c:v>14.277682</c:v>
                </c:pt>
                <c:pt idx="329">
                  <c:v>13.573191</c:v>
                </c:pt>
                <c:pt idx="330">
                  <c:v>14.258895000000001</c:v>
                </c:pt>
                <c:pt idx="331">
                  <c:v>16.212682999999998</c:v>
                </c:pt>
                <c:pt idx="332">
                  <c:v>15.902706999999999</c:v>
                </c:pt>
                <c:pt idx="333">
                  <c:v>15.883921000000001</c:v>
                </c:pt>
                <c:pt idx="334">
                  <c:v>14.663829</c:v>
                </c:pt>
                <c:pt idx="335">
                  <c:v>14.154275999999999</c:v>
                </c:pt>
                <c:pt idx="336">
                  <c:v>14.088222</c:v>
                </c:pt>
                <c:pt idx="337">
                  <c:v>13.361636000000001</c:v>
                </c:pt>
                <c:pt idx="338">
                  <c:v>12.267039</c:v>
                </c:pt>
                <c:pt idx="339">
                  <c:v>12.540687999999999</c:v>
                </c:pt>
                <c:pt idx="340">
                  <c:v>12.521815999999999</c:v>
                </c:pt>
                <c:pt idx="341">
                  <c:v>13.540924</c:v>
                </c:pt>
                <c:pt idx="342">
                  <c:v>13.191784999999999</c:v>
                </c:pt>
                <c:pt idx="343">
                  <c:v>12.455762</c:v>
                </c:pt>
                <c:pt idx="344">
                  <c:v>12.229293999999999</c:v>
                </c:pt>
                <c:pt idx="345">
                  <c:v>12.729412</c:v>
                </c:pt>
                <c:pt idx="346">
                  <c:v>12.257603</c:v>
                </c:pt>
                <c:pt idx="347">
                  <c:v>12.484071</c:v>
                </c:pt>
                <c:pt idx="348">
                  <c:v>12.446325999999999</c:v>
                </c:pt>
                <c:pt idx="349">
                  <c:v>12.955880000000001</c:v>
                </c:pt>
                <c:pt idx="350">
                  <c:v>13.163475999999999</c:v>
                </c:pt>
                <c:pt idx="351">
                  <c:v>13.493743</c:v>
                </c:pt>
                <c:pt idx="352">
                  <c:v>13.531487</c:v>
                </c:pt>
                <c:pt idx="353">
                  <c:v>12.455762</c:v>
                </c:pt>
                <c:pt idx="354">
                  <c:v>12.153805</c:v>
                </c:pt>
                <c:pt idx="355">
                  <c:v>11.983953</c:v>
                </c:pt>
                <c:pt idx="356">
                  <c:v>12.050007000000001</c:v>
                </c:pt>
                <c:pt idx="357">
                  <c:v>11.163005</c:v>
                </c:pt>
                <c:pt idx="358">
                  <c:v>10.945973</c:v>
                </c:pt>
                <c:pt idx="359">
                  <c:v>11.229058999999999</c:v>
                </c:pt>
                <c:pt idx="360">
                  <c:v>11.087516000000001</c:v>
                </c:pt>
                <c:pt idx="361">
                  <c:v>10.228823</c:v>
                </c:pt>
                <c:pt idx="362">
                  <c:v>10.370366000000001</c:v>
                </c:pt>
                <c:pt idx="363">
                  <c:v>10.823302999999999</c:v>
                </c:pt>
                <c:pt idx="364">
                  <c:v>11.342293</c:v>
                </c:pt>
                <c:pt idx="365">
                  <c:v>12.518003</c:v>
                </c:pt>
                <c:pt idx="366">
                  <c:v>12.179677999999999</c:v>
                </c:pt>
                <c:pt idx="367">
                  <c:v>12.489004</c:v>
                </c:pt>
                <c:pt idx="368">
                  <c:v>12.605</c:v>
                </c:pt>
                <c:pt idx="369">
                  <c:v>11.812355</c:v>
                </c:pt>
                <c:pt idx="370">
                  <c:v>11.657692000000001</c:v>
                </c:pt>
                <c:pt idx="371">
                  <c:v>11.406364999999999</c:v>
                </c:pt>
                <c:pt idx="372">
                  <c:v>11.445031</c:v>
                </c:pt>
                <c:pt idx="373">
                  <c:v>11.976684000000001</c:v>
                </c:pt>
                <c:pt idx="374">
                  <c:v>11.831688</c:v>
                </c:pt>
                <c:pt idx="375">
                  <c:v>11.860687</c:v>
                </c:pt>
                <c:pt idx="376">
                  <c:v>11.541695000000001</c:v>
                </c:pt>
                <c:pt idx="377">
                  <c:v>12.605</c:v>
                </c:pt>
                <c:pt idx="378">
                  <c:v>11.938018</c:v>
                </c:pt>
                <c:pt idx="379">
                  <c:v>12.083014</c:v>
                </c:pt>
                <c:pt idx="380">
                  <c:v>11.464364</c:v>
                </c:pt>
                <c:pt idx="381">
                  <c:v>11.522361999999999</c:v>
                </c:pt>
                <c:pt idx="382">
                  <c:v>10.797382000000001</c:v>
                </c:pt>
                <c:pt idx="383">
                  <c:v>10.729717000000001</c:v>
                </c:pt>
                <c:pt idx="384">
                  <c:v>11.164705</c:v>
                </c:pt>
                <c:pt idx="385">
                  <c:v>12.527668999999999</c:v>
                </c:pt>
                <c:pt idx="386">
                  <c:v>12.585668</c:v>
                </c:pt>
                <c:pt idx="387">
                  <c:v>12.847488999999999</c:v>
                </c:pt>
                <c:pt idx="388">
                  <c:v>13.090629</c:v>
                </c:pt>
                <c:pt idx="389">
                  <c:v>13.003098</c:v>
                </c:pt>
                <c:pt idx="390">
                  <c:v>13.265689</c:v>
                </c:pt>
                <c:pt idx="391">
                  <c:v>12.857215</c:v>
                </c:pt>
                <c:pt idx="392">
                  <c:v>13.314317000000001</c:v>
                </c:pt>
                <c:pt idx="393">
                  <c:v>12.886391</c:v>
                </c:pt>
                <c:pt idx="394">
                  <c:v>13.538005</c:v>
                </c:pt>
                <c:pt idx="395">
                  <c:v>13.683889000000001</c:v>
                </c:pt>
                <c:pt idx="396">
                  <c:v>14.277149</c:v>
                </c:pt>
                <c:pt idx="397">
                  <c:v>13.372669999999999</c:v>
                </c:pt>
                <c:pt idx="398">
                  <c:v>13.771419</c:v>
                </c:pt>
                <c:pt idx="399">
                  <c:v>13.353218999999999</c:v>
                </c:pt>
                <c:pt idx="400">
                  <c:v>14.209070000000001</c:v>
                </c:pt>
                <c:pt idx="401">
                  <c:v>14.500837000000001</c:v>
                </c:pt>
                <c:pt idx="402">
                  <c:v>14.559191</c:v>
                </c:pt>
                <c:pt idx="403">
                  <c:v>14.364679000000001</c:v>
                </c:pt>
                <c:pt idx="404">
                  <c:v>14.607818999999999</c:v>
                </c:pt>
                <c:pt idx="405">
                  <c:v>13.868675</c:v>
                </c:pt>
                <c:pt idx="406">
                  <c:v>13.732517</c:v>
                </c:pt>
                <c:pt idx="407">
                  <c:v>14.607818999999999</c:v>
                </c:pt>
                <c:pt idx="408">
                  <c:v>14.753702000000001</c:v>
                </c:pt>
                <c:pt idx="409">
                  <c:v>14.247972000000001</c:v>
                </c:pt>
                <c:pt idx="410">
                  <c:v>14.160442</c:v>
                </c:pt>
                <c:pt idx="411">
                  <c:v>14.189619</c:v>
                </c:pt>
                <c:pt idx="412">
                  <c:v>14.374404999999999</c:v>
                </c:pt>
                <c:pt idx="413">
                  <c:v>13.771419</c:v>
                </c:pt>
                <c:pt idx="414">
                  <c:v>13.654712</c:v>
                </c:pt>
                <c:pt idx="415">
                  <c:v>12.049992</c:v>
                </c:pt>
                <c:pt idx="416">
                  <c:v>12.691879999999999</c:v>
                </c:pt>
                <c:pt idx="417">
                  <c:v>12.812999</c:v>
                </c:pt>
                <c:pt idx="418">
                  <c:v>12.992062000000001</c:v>
                </c:pt>
                <c:pt idx="419">
                  <c:v>12.385236000000001</c:v>
                </c:pt>
                <c:pt idx="420">
                  <c:v>12.713519</c:v>
                </c:pt>
                <c:pt idx="421">
                  <c:v>12.812999</c:v>
                </c:pt>
                <c:pt idx="422">
                  <c:v>13.131334000000001</c:v>
                </c:pt>
                <c:pt idx="423">
                  <c:v>13.529253000000001</c:v>
                </c:pt>
                <c:pt idx="424">
                  <c:v>13.529253000000001</c:v>
                </c:pt>
                <c:pt idx="425">
                  <c:v>13.041802000000001</c:v>
                </c:pt>
                <c:pt idx="426">
                  <c:v>13.131334000000001</c:v>
                </c:pt>
                <c:pt idx="427">
                  <c:v>13.519304999999999</c:v>
                </c:pt>
                <c:pt idx="428">
                  <c:v>14.165924</c:v>
                </c:pt>
                <c:pt idx="429">
                  <c:v>14.723011</c:v>
                </c:pt>
                <c:pt idx="430">
                  <c:v>14.772751</c:v>
                </c:pt>
                <c:pt idx="431">
                  <c:v>15.051294</c:v>
                </c:pt>
                <c:pt idx="432">
                  <c:v>14.951815</c:v>
                </c:pt>
                <c:pt idx="433">
                  <c:v>14.902075</c:v>
                </c:pt>
                <c:pt idx="434">
                  <c:v>15.170669999999999</c:v>
                </c:pt>
                <c:pt idx="435">
                  <c:v>15.648173</c:v>
                </c:pt>
                <c:pt idx="436">
                  <c:v>14.882179000000001</c:v>
                </c:pt>
                <c:pt idx="437">
                  <c:v>15.797393</c:v>
                </c:pt>
                <c:pt idx="438">
                  <c:v>16.046092000000002</c:v>
                </c:pt>
                <c:pt idx="439">
                  <c:v>16</c:v>
                </c:pt>
                <c:pt idx="440">
                  <c:v>15.5</c:v>
                </c:pt>
                <c:pt idx="441">
                  <c:v>15.76</c:v>
                </c:pt>
                <c:pt idx="442">
                  <c:v>16.100000000000001</c:v>
                </c:pt>
              </c:numCache>
            </c:numRef>
          </c:val>
          <c:smooth val="0"/>
          <c:extLst>
            <c:ext xmlns:c16="http://schemas.microsoft.com/office/drawing/2014/chart" uri="{C3380CC4-5D6E-409C-BE32-E72D297353CC}">
              <c16:uniqueId val="{00000000-2213-4601-8CEC-66B05248B497}"/>
            </c:ext>
          </c:extLst>
        </c:ser>
        <c:dLbls>
          <c:showLegendKey val="0"/>
          <c:showVal val="0"/>
          <c:showCatName val="0"/>
          <c:showSerName val="0"/>
          <c:showPercent val="0"/>
          <c:showBubbleSize val="0"/>
        </c:dLbls>
        <c:smooth val="0"/>
        <c:axId val="154171840"/>
        <c:axId val="154173280"/>
      </c:lineChart>
      <c:dateAx>
        <c:axId val="154171840"/>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73280"/>
        <c:crosses val="autoZero"/>
        <c:auto val="1"/>
        <c:lblOffset val="100"/>
        <c:baseTimeUnit val="days"/>
      </c:dateAx>
      <c:valAx>
        <c:axId val="154173280"/>
        <c:scaling>
          <c:orientation val="minMax"/>
        </c:scaling>
        <c:delete val="0"/>
        <c:axPos val="l"/>
        <c:majorGridlines>
          <c:spPr>
            <a:ln w="9525" cap="flat" cmpd="sng" algn="ctr">
              <a:solidFill>
                <a:schemeClr val="tx1">
                  <a:lumMod val="15000"/>
                  <a:lumOff val="85000"/>
                </a:schemeClr>
              </a:solidFill>
              <a:round/>
            </a:ln>
            <a:effectLst/>
          </c:spPr>
        </c:majorGridlines>
        <c:numFmt formatCode="[$£-809]#,##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718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Charts!$A$42</c:f>
              <c:strCache>
                <c:ptCount val="1"/>
                <c:pt idx="0">
                  <c:v>LTM Operating Margin of GP %</c:v>
                </c:pt>
              </c:strCache>
            </c:strRef>
          </c:tx>
          <c:spPr>
            <a:ln w="28575" cap="rnd">
              <a:solidFill>
                <a:schemeClr val="accent1"/>
              </a:solidFill>
              <a:round/>
            </a:ln>
            <a:effectLst/>
          </c:spPr>
          <c:marker>
            <c:symbol val="none"/>
          </c:marker>
          <c:cat>
            <c:strRef>
              <c:f>Charts!$B$41:$R$41</c:f>
              <c:strCache>
                <c:ptCount val="17"/>
                <c:pt idx="0">
                  <c:v>1H FY16</c:v>
                </c:pt>
                <c:pt idx="1">
                  <c:v>2H FY16</c:v>
                </c:pt>
                <c:pt idx="2">
                  <c:v>1H FY17</c:v>
                </c:pt>
                <c:pt idx="3">
                  <c:v>2H FY17</c:v>
                </c:pt>
                <c:pt idx="4">
                  <c:v>1H FY18</c:v>
                </c:pt>
                <c:pt idx="5">
                  <c:v>2H FY18</c:v>
                </c:pt>
                <c:pt idx="6">
                  <c:v>1H FY19</c:v>
                </c:pt>
                <c:pt idx="7">
                  <c:v>2H FY19</c:v>
                </c:pt>
                <c:pt idx="8">
                  <c:v>1H FY20</c:v>
                </c:pt>
                <c:pt idx="9">
                  <c:v>2H FY20</c:v>
                </c:pt>
                <c:pt idx="10">
                  <c:v>1H FY21</c:v>
                </c:pt>
                <c:pt idx="11">
                  <c:v>2H FY21</c:v>
                </c:pt>
                <c:pt idx="12">
                  <c:v>1H FY22</c:v>
                </c:pt>
                <c:pt idx="13">
                  <c:v>2H FY22</c:v>
                </c:pt>
                <c:pt idx="14">
                  <c:v>1H FY23</c:v>
                </c:pt>
                <c:pt idx="15">
                  <c:v>2H FY23</c:v>
                </c:pt>
                <c:pt idx="16">
                  <c:v>1H FY24</c:v>
                </c:pt>
              </c:strCache>
            </c:strRef>
          </c:cat>
          <c:val>
            <c:numRef>
              <c:f>Charts!$B$42:$R$42</c:f>
              <c:numCache>
                <c:formatCode>0.0%</c:formatCode>
                <c:ptCount val="17"/>
                <c:pt idx="0">
                  <c:v>0.38512535174071838</c:v>
                </c:pt>
                <c:pt idx="1">
                  <c:v>0.37992163489815017</c:v>
                </c:pt>
                <c:pt idx="2">
                  <c:v>0.37214629661373494</c:v>
                </c:pt>
                <c:pt idx="3">
                  <c:v>0.36794494618607076</c:v>
                </c:pt>
                <c:pt idx="4">
                  <c:v>0.35613128845820163</c:v>
                </c:pt>
                <c:pt idx="5">
                  <c:v>0.38833543613662713</c:v>
                </c:pt>
                <c:pt idx="6">
                  <c:v>0.39880000000000015</c:v>
                </c:pt>
                <c:pt idx="7">
                  <c:v>0.40013640044898491</c:v>
                </c:pt>
                <c:pt idx="8">
                  <c:v>0.39935479063569784</c:v>
                </c:pt>
                <c:pt idx="9">
                  <c:v>0.39767081733522813</c:v>
                </c:pt>
                <c:pt idx="10">
                  <c:v>0.42677091030069964</c:v>
                </c:pt>
                <c:pt idx="11">
                  <c:v>0.43210618111290416</c:v>
                </c:pt>
                <c:pt idx="12">
                  <c:v>0.43301210181270422</c:v>
                </c:pt>
                <c:pt idx="13">
                  <c:v>0.41607835946334143</c:v>
                </c:pt>
                <c:pt idx="14">
                  <c:v>0.38153327326699643</c:v>
                </c:pt>
                <c:pt idx="15">
                  <c:v>0.37690929031912912</c:v>
                </c:pt>
                <c:pt idx="16">
                  <c:v>0.3675659182791326</c:v>
                </c:pt>
              </c:numCache>
            </c:numRef>
          </c:val>
          <c:smooth val="0"/>
          <c:extLst>
            <c:ext xmlns:c16="http://schemas.microsoft.com/office/drawing/2014/chart" uri="{C3380CC4-5D6E-409C-BE32-E72D297353CC}">
              <c16:uniqueId val="{00000000-395B-45BD-BAD3-58E0264828BE}"/>
            </c:ext>
          </c:extLst>
        </c:ser>
        <c:dLbls>
          <c:showLegendKey val="0"/>
          <c:showVal val="0"/>
          <c:showCatName val="0"/>
          <c:showSerName val="0"/>
          <c:showPercent val="0"/>
          <c:showBubbleSize val="0"/>
        </c:dLbls>
        <c:marker val="1"/>
        <c:smooth val="0"/>
        <c:axId val="872571584"/>
        <c:axId val="872584064"/>
      </c:lineChart>
      <c:lineChart>
        <c:grouping val="standard"/>
        <c:varyColors val="0"/>
        <c:ser>
          <c:idx val="1"/>
          <c:order val="1"/>
          <c:tx>
            <c:strRef>
              <c:f>Charts!$A$43</c:f>
              <c:strCache>
                <c:ptCount val="1"/>
                <c:pt idx="0">
                  <c:v>NTM P/E Multiple (avg.)</c:v>
                </c:pt>
              </c:strCache>
            </c:strRef>
          </c:tx>
          <c:spPr>
            <a:ln w="28575" cap="rnd">
              <a:solidFill>
                <a:schemeClr val="accent2"/>
              </a:solidFill>
              <a:round/>
            </a:ln>
            <a:effectLst/>
          </c:spPr>
          <c:marker>
            <c:symbol val="none"/>
          </c:marker>
          <c:val>
            <c:numRef>
              <c:f>Charts!$B$43:$R$43</c:f>
              <c:numCache>
                <c:formatCode>0.0\x</c:formatCode>
                <c:ptCount val="17"/>
                <c:pt idx="1">
                  <c:v>17.681395867599203</c:v>
                </c:pt>
                <c:pt idx="2">
                  <c:v>16.119781905144773</c:v>
                </c:pt>
                <c:pt idx="3">
                  <c:v>18.719465678702583</c:v>
                </c:pt>
                <c:pt idx="4">
                  <c:v>21.314619892115495</c:v>
                </c:pt>
                <c:pt idx="5">
                  <c:v>27.281112632657067</c:v>
                </c:pt>
                <c:pt idx="6">
                  <c:v>23.938681243001863</c:v>
                </c:pt>
                <c:pt idx="7">
                  <c:v>26.273879890083109</c:v>
                </c:pt>
                <c:pt idx="8">
                  <c:v>29.289221697995217</c:v>
                </c:pt>
                <c:pt idx="9">
                  <c:v>29.328920172199844</c:v>
                </c:pt>
                <c:pt idx="10">
                  <c:v>32.622556605137895</c:v>
                </c:pt>
                <c:pt idx="11">
                  <c:v>38.588138071855013</c:v>
                </c:pt>
                <c:pt idx="12">
                  <c:v>40.151052666502366</c:v>
                </c:pt>
                <c:pt idx="13">
                  <c:v>27.914848481865477</c:v>
                </c:pt>
                <c:pt idx="14">
                  <c:v>22.904916211363631</c:v>
                </c:pt>
                <c:pt idx="15">
                  <c:v>23.651617475406088</c:v>
                </c:pt>
                <c:pt idx="16">
                  <c:v>23.934531475227022</c:v>
                </c:pt>
              </c:numCache>
            </c:numRef>
          </c:val>
          <c:smooth val="0"/>
          <c:extLst>
            <c:ext xmlns:c16="http://schemas.microsoft.com/office/drawing/2014/chart" uri="{C3380CC4-5D6E-409C-BE32-E72D297353CC}">
              <c16:uniqueId val="{00000001-395B-45BD-BAD3-58E0264828BE}"/>
            </c:ext>
          </c:extLst>
        </c:ser>
        <c:dLbls>
          <c:showLegendKey val="0"/>
          <c:showVal val="0"/>
          <c:showCatName val="0"/>
          <c:showSerName val="0"/>
          <c:showPercent val="0"/>
          <c:showBubbleSize val="0"/>
        </c:dLbls>
        <c:marker val="1"/>
        <c:smooth val="0"/>
        <c:axId val="155296080"/>
        <c:axId val="155283600"/>
      </c:lineChart>
      <c:catAx>
        <c:axId val="872571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584064"/>
        <c:crosses val="autoZero"/>
        <c:auto val="1"/>
        <c:lblAlgn val="ctr"/>
        <c:lblOffset val="100"/>
        <c:noMultiLvlLbl val="0"/>
      </c:catAx>
      <c:valAx>
        <c:axId val="87258406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571584"/>
        <c:crosses val="autoZero"/>
        <c:crossBetween val="between"/>
      </c:valAx>
      <c:valAx>
        <c:axId val="155283600"/>
        <c:scaling>
          <c:orientation val="minMax"/>
        </c:scaling>
        <c:delete val="0"/>
        <c:axPos val="r"/>
        <c:numFmt formatCode="0.0\x"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96080"/>
        <c:crosses val="max"/>
        <c:crossBetween val="between"/>
      </c:valAx>
      <c:catAx>
        <c:axId val="155296080"/>
        <c:scaling>
          <c:orientation val="minMax"/>
        </c:scaling>
        <c:delete val="1"/>
        <c:axPos val="b"/>
        <c:majorTickMark val="out"/>
        <c:minorTickMark val="none"/>
        <c:tickLblPos val="nextTo"/>
        <c:crossAx val="15528360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Charts!$A$37</c:f>
              <c:strCache>
                <c:ptCount val="1"/>
                <c:pt idx="0">
                  <c:v>LTM GP</c:v>
                </c:pt>
              </c:strCache>
            </c:strRef>
          </c:tx>
          <c:spPr>
            <a:solidFill>
              <a:schemeClr val="accent1"/>
            </a:solidFill>
            <a:ln>
              <a:noFill/>
            </a:ln>
            <a:effectLst/>
          </c:spPr>
          <c:invertIfNegative val="0"/>
          <c:cat>
            <c:strRef>
              <c:f>Charts!$B$36:$R$36</c:f>
              <c:strCache>
                <c:ptCount val="17"/>
                <c:pt idx="0">
                  <c:v>1H FY16</c:v>
                </c:pt>
                <c:pt idx="1">
                  <c:v>2H FY16</c:v>
                </c:pt>
                <c:pt idx="2">
                  <c:v>1H FY17</c:v>
                </c:pt>
                <c:pt idx="3">
                  <c:v>2H FY17</c:v>
                </c:pt>
                <c:pt idx="4">
                  <c:v>1H FY18</c:v>
                </c:pt>
                <c:pt idx="5">
                  <c:v>2H FY18</c:v>
                </c:pt>
                <c:pt idx="6">
                  <c:v>1H FY19</c:v>
                </c:pt>
                <c:pt idx="7">
                  <c:v>2H FY19</c:v>
                </c:pt>
                <c:pt idx="8">
                  <c:v>1H FY20</c:v>
                </c:pt>
                <c:pt idx="9">
                  <c:v>2H FY20</c:v>
                </c:pt>
                <c:pt idx="10">
                  <c:v>1H FY21</c:v>
                </c:pt>
                <c:pt idx="11">
                  <c:v>2H FY21</c:v>
                </c:pt>
                <c:pt idx="12">
                  <c:v>1H FY22</c:v>
                </c:pt>
                <c:pt idx="13">
                  <c:v>2H FY22</c:v>
                </c:pt>
                <c:pt idx="14">
                  <c:v>1H FY23</c:v>
                </c:pt>
                <c:pt idx="15">
                  <c:v>2H FY23</c:v>
                </c:pt>
                <c:pt idx="16">
                  <c:v>1H FY24</c:v>
                </c:pt>
              </c:strCache>
            </c:strRef>
          </c:cat>
          <c:val>
            <c:numRef>
              <c:f>Charts!$B$37:$R$37</c:f>
              <c:numCache>
                <c:formatCode>_(* #,##0_);_(* \(#,##0\);_(* "-"??_);_(@_)</c:formatCode>
                <c:ptCount val="17"/>
                <c:pt idx="0">
                  <c:v>109.81100000000004</c:v>
                </c:pt>
                <c:pt idx="1">
                  <c:v>120.71699999999998</c:v>
                </c:pt>
                <c:pt idx="2">
                  <c:v>128.34199999999998</c:v>
                </c:pt>
                <c:pt idx="3">
                  <c:v>136.303</c:v>
                </c:pt>
                <c:pt idx="4">
                  <c:v>149.83799999999997</c:v>
                </c:pt>
                <c:pt idx="5">
                  <c:v>175.16300000000001</c:v>
                </c:pt>
                <c:pt idx="6">
                  <c:v>195.00000000000006</c:v>
                </c:pt>
                <c:pt idx="7">
                  <c:v>211.14300000000003</c:v>
                </c:pt>
                <c:pt idx="8">
                  <c:v>228.14300000000003</c:v>
                </c:pt>
                <c:pt idx="9">
                  <c:v>235.70499999999993</c:v>
                </c:pt>
                <c:pt idx="10">
                  <c:v>258.49699999999996</c:v>
                </c:pt>
                <c:pt idx="11">
                  <c:v>276.35799999999995</c:v>
                </c:pt>
                <c:pt idx="12">
                  <c:v>292.10499999999996</c:v>
                </c:pt>
                <c:pt idx="13">
                  <c:v>327.20999999999992</c:v>
                </c:pt>
                <c:pt idx="14">
                  <c:v>354.05299999999983</c:v>
                </c:pt>
                <c:pt idx="15">
                  <c:v>373.83</c:v>
                </c:pt>
                <c:pt idx="16">
                  <c:v>393.29</c:v>
                </c:pt>
              </c:numCache>
            </c:numRef>
          </c:val>
          <c:extLst>
            <c:ext xmlns:c16="http://schemas.microsoft.com/office/drawing/2014/chart" uri="{C3380CC4-5D6E-409C-BE32-E72D297353CC}">
              <c16:uniqueId val="{00000000-F861-4C2C-801A-7435F574B730}"/>
            </c:ext>
          </c:extLst>
        </c:ser>
        <c:ser>
          <c:idx val="1"/>
          <c:order val="1"/>
          <c:tx>
            <c:strRef>
              <c:f>Charts!$A$38</c:f>
              <c:strCache>
                <c:ptCount val="1"/>
                <c:pt idx="0">
                  <c:v>LTM Operating Costs</c:v>
                </c:pt>
              </c:strCache>
            </c:strRef>
          </c:tx>
          <c:spPr>
            <a:solidFill>
              <a:schemeClr val="accent2"/>
            </a:solidFill>
            <a:ln>
              <a:noFill/>
            </a:ln>
            <a:effectLst/>
          </c:spPr>
          <c:invertIfNegative val="0"/>
          <c:cat>
            <c:strRef>
              <c:f>Charts!$B$36:$R$36</c:f>
              <c:strCache>
                <c:ptCount val="17"/>
                <c:pt idx="0">
                  <c:v>1H FY16</c:v>
                </c:pt>
                <c:pt idx="1">
                  <c:v>2H FY16</c:v>
                </c:pt>
                <c:pt idx="2">
                  <c:v>1H FY17</c:v>
                </c:pt>
                <c:pt idx="3">
                  <c:v>2H FY17</c:v>
                </c:pt>
                <c:pt idx="4">
                  <c:v>1H FY18</c:v>
                </c:pt>
                <c:pt idx="5">
                  <c:v>2H FY18</c:v>
                </c:pt>
                <c:pt idx="6">
                  <c:v>1H FY19</c:v>
                </c:pt>
                <c:pt idx="7">
                  <c:v>2H FY19</c:v>
                </c:pt>
                <c:pt idx="8">
                  <c:v>1H FY20</c:v>
                </c:pt>
                <c:pt idx="9">
                  <c:v>2H FY20</c:v>
                </c:pt>
                <c:pt idx="10">
                  <c:v>1H FY21</c:v>
                </c:pt>
                <c:pt idx="11">
                  <c:v>2H FY21</c:v>
                </c:pt>
                <c:pt idx="12">
                  <c:v>1H FY22</c:v>
                </c:pt>
                <c:pt idx="13">
                  <c:v>2H FY22</c:v>
                </c:pt>
                <c:pt idx="14">
                  <c:v>1H FY23</c:v>
                </c:pt>
                <c:pt idx="15">
                  <c:v>2H FY23</c:v>
                </c:pt>
                <c:pt idx="16">
                  <c:v>1H FY24</c:v>
                </c:pt>
              </c:strCache>
            </c:strRef>
          </c:cat>
          <c:val>
            <c:numRef>
              <c:f>Charts!$B$38:$R$38</c:f>
              <c:numCache>
                <c:formatCode>_(* #,##0_);_(* \(#,##0\);_(* "-"??_);_(@_)</c:formatCode>
                <c:ptCount val="17"/>
                <c:pt idx="0">
                  <c:v>67.52</c:v>
                </c:pt>
                <c:pt idx="1">
                  <c:v>74.853999999999999</c:v>
                </c:pt>
                <c:pt idx="2">
                  <c:v>80.580000000000013</c:v>
                </c:pt>
                <c:pt idx="3">
                  <c:v>86.150999999999996</c:v>
                </c:pt>
                <c:pt idx="4">
                  <c:v>96.475999999999971</c:v>
                </c:pt>
                <c:pt idx="5">
                  <c:v>107.14099999999999</c:v>
                </c:pt>
                <c:pt idx="6">
                  <c:v>117.23400000000001</c:v>
                </c:pt>
                <c:pt idx="7">
                  <c:v>126.657</c:v>
                </c:pt>
                <c:pt idx="8">
                  <c:v>137.03300000000002</c:v>
                </c:pt>
                <c:pt idx="9">
                  <c:v>141.97200000000004</c:v>
                </c:pt>
                <c:pt idx="10">
                  <c:v>148.17800000000003</c:v>
                </c:pt>
                <c:pt idx="11">
                  <c:v>156.94200000000001</c:v>
                </c:pt>
                <c:pt idx="12">
                  <c:v>165.62</c:v>
                </c:pt>
                <c:pt idx="13">
                  <c:v>191.065</c:v>
                </c:pt>
                <c:pt idx="14">
                  <c:v>218.97</c:v>
                </c:pt>
                <c:pt idx="15">
                  <c:v>232.92999999999995</c:v>
                </c:pt>
                <c:pt idx="16">
                  <c:v>248.72999999999996</c:v>
                </c:pt>
              </c:numCache>
            </c:numRef>
          </c:val>
          <c:extLst>
            <c:ext xmlns:c16="http://schemas.microsoft.com/office/drawing/2014/chart" uri="{C3380CC4-5D6E-409C-BE32-E72D297353CC}">
              <c16:uniqueId val="{00000001-F861-4C2C-801A-7435F574B730}"/>
            </c:ext>
          </c:extLst>
        </c:ser>
        <c:dLbls>
          <c:showLegendKey val="0"/>
          <c:showVal val="0"/>
          <c:showCatName val="0"/>
          <c:showSerName val="0"/>
          <c:showPercent val="0"/>
          <c:showBubbleSize val="0"/>
        </c:dLbls>
        <c:gapWidth val="219"/>
        <c:overlap val="-27"/>
        <c:axId val="313305952"/>
        <c:axId val="313312192"/>
      </c:barChart>
      <c:lineChart>
        <c:grouping val="standard"/>
        <c:varyColors val="0"/>
        <c:ser>
          <c:idx val="2"/>
          <c:order val="2"/>
          <c:tx>
            <c:strRef>
              <c:f>Charts!$A$39</c:f>
              <c:strCache>
                <c:ptCount val="1"/>
                <c:pt idx="0">
                  <c:v>NTM P/E Multiple (avg.)</c:v>
                </c:pt>
              </c:strCache>
            </c:strRef>
          </c:tx>
          <c:spPr>
            <a:ln w="28575" cap="rnd">
              <a:solidFill>
                <a:schemeClr val="accent3"/>
              </a:solidFill>
              <a:round/>
            </a:ln>
            <a:effectLst/>
          </c:spPr>
          <c:marker>
            <c:symbol val="none"/>
          </c:marker>
          <c:cat>
            <c:strRef>
              <c:f>Charts!$B$36:$R$36</c:f>
              <c:strCache>
                <c:ptCount val="17"/>
                <c:pt idx="0">
                  <c:v>1H FY16</c:v>
                </c:pt>
                <c:pt idx="1">
                  <c:v>2H FY16</c:v>
                </c:pt>
                <c:pt idx="2">
                  <c:v>1H FY17</c:v>
                </c:pt>
                <c:pt idx="3">
                  <c:v>2H FY17</c:v>
                </c:pt>
                <c:pt idx="4">
                  <c:v>1H FY18</c:v>
                </c:pt>
                <c:pt idx="5">
                  <c:v>2H FY18</c:v>
                </c:pt>
                <c:pt idx="6">
                  <c:v>1H FY19</c:v>
                </c:pt>
                <c:pt idx="7">
                  <c:v>2H FY19</c:v>
                </c:pt>
                <c:pt idx="8">
                  <c:v>1H FY20</c:v>
                </c:pt>
                <c:pt idx="9">
                  <c:v>2H FY20</c:v>
                </c:pt>
                <c:pt idx="10">
                  <c:v>1H FY21</c:v>
                </c:pt>
                <c:pt idx="11">
                  <c:v>2H FY21</c:v>
                </c:pt>
                <c:pt idx="12">
                  <c:v>1H FY22</c:v>
                </c:pt>
                <c:pt idx="13">
                  <c:v>2H FY22</c:v>
                </c:pt>
                <c:pt idx="14">
                  <c:v>1H FY23</c:v>
                </c:pt>
                <c:pt idx="15">
                  <c:v>2H FY23</c:v>
                </c:pt>
                <c:pt idx="16">
                  <c:v>1H FY24</c:v>
                </c:pt>
              </c:strCache>
            </c:strRef>
          </c:cat>
          <c:val>
            <c:numRef>
              <c:f>Charts!$B$39:$R$39</c:f>
              <c:numCache>
                <c:formatCode>0.0\x</c:formatCode>
                <c:ptCount val="17"/>
                <c:pt idx="1">
                  <c:v>17.681395867599203</c:v>
                </c:pt>
                <c:pt idx="2">
                  <c:v>16.119781905144773</c:v>
                </c:pt>
                <c:pt idx="3">
                  <c:v>18.719465678702583</c:v>
                </c:pt>
                <c:pt idx="4">
                  <c:v>21.314619892115495</c:v>
                </c:pt>
                <c:pt idx="5">
                  <c:v>27.281112632657067</c:v>
                </c:pt>
                <c:pt idx="6">
                  <c:v>23.938681243001863</c:v>
                </c:pt>
                <c:pt idx="7">
                  <c:v>26.273879890083109</c:v>
                </c:pt>
                <c:pt idx="8">
                  <c:v>29.289221697995217</c:v>
                </c:pt>
                <c:pt idx="9">
                  <c:v>29.328920172199844</c:v>
                </c:pt>
                <c:pt idx="10">
                  <c:v>32.622556605137895</c:v>
                </c:pt>
                <c:pt idx="11">
                  <c:v>38.588138071855013</c:v>
                </c:pt>
                <c:pt idx="12">
                  <c:v>40.151052666502366</c:v>
                </c:pt>
                <c:pt idx="13">
                  <c:v>27.914848481865477</c:v>
                </c:pt>
                <c:pt idx="14">
                  <c:v>22.904916211363631</c:v>
                </c:pt>
                <c:pt idx="15">
                  <c:v>23.651617475406088</c:v>
                </c:pt>
                <c:pt idx="16">
                  <c:v>23.934531475227022</c:v>
                </c:pt>
              </c:numCache>
            </c:numRef>
          </c:val>
          <c:smooth val="0"/>
          <c:extLst>
            <c:ext xmlns:c16="http://schemas.microsoft.com/office/drawing/2014/chart" uri="{C3380CC4-5D6E-409C-BE32-E72D297353CC}">
              <c16:uniqueId val="{00000002-F861-4C2C-801A-7435F574B730}"/>
            </c:ext>
          </c:extLst>
        </c:ser>
        <c:dLbls>
          <c:showLegendKey val="0"/>
          <c:showVal val="0"/>
          <c:showCatName val="0"/>
          <c:showSerName val="0"/>
          <c:showPercent val="0"/>
          <c:showBubbleSize val="0"/>
        </c:dLbls>
        <c:marker val="1"/>
        <c:smooth val="0"/>
        <c:axId val="16567455"/>
        <c:axId val="16560255"/>
      </c:lineChart>
      <c:catAx>
        <c:axId val="313305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312192"/>
        <c:crosses val="autoZero"/>
        <c:auto val="1"/>
        <c:lblAlgn val="ctr"/>
        <c:lblOffset val="100"/>
        <c:noMultiLvlLbl val="0"/>
      </c:catAx>
      <c:valAx>
        <c:axId val="313312192"/>
        <c:scaling>
          <c:orientation val="minMax"/>
        </c:scaling>
        <c:delete val="0"/>
        <c:axPos val="l"/>
        <c:majorGridlines>
          <c:spPr>
            <a:ln w="9525" cap="flat" cmpd="sng" algn="ctr">
              <a:solidFill>
                <a:schemeClr val="tx1">
                  <a:lumMod val="15000"/>
                  <a:lumOff val="85000"/>
                </a:schemeClr>
              </a:solidFill>
              <a:round/>
            </a:ln>
            <a:effectLst/>
          </c:spPr>
        </c:majorGridlines>
        <c:numFmt formatCode="[$£-8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305952"/>
        <c:crosses val="autoZero"/>
        <c:crossBetween val="between"/>
      </c:valAx>
      <c:valAx>
        <c:axId val="16560255"/>
        <c:scaling>
          <c:orientation val="minMax"/>
        </c:scaling>
        <c:delete val="0"/>
        <c:axPos val="r"/>
        <c:numFmt formatCode="0.0\x"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67455"/>
        <c:crosses val="max"/>
        <c:crossBetween val="between"/>
      </c:valAx>
      <c:catAx>
        <c:axId val="16567455"/>
        <c:scaling>
          <c:orientation val="minMax"/>
        </c:scaling>
        <c:delete val="1"/>
        <c:axPos val="b"/>
        <c:numFmt formatCode="General" sourceLinked="1"/>
        <c:majorTickMark val="out"/>
        <c:minorTickMark val="none"/>
        <c:tickLblPos val="nextTo"/>
        <c:crossAx val="16560255"/>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Charts!$A$7</c:f>
              <c:strCache>
                <c:ptCount val="1"/>
                <c:pt idx="0">
                  <c:v>Gross Invoiced Income</c:v>
                </c:pt>
              </c:strCache>
            </c:strRef>
          </c:tx>
          <c:spPr>
            <a:solidFill>
              <a:schemeClr val="accent1"/>
            </a:solidFill>
            <a:ln>
              <a:noFill/>
            </a:ln>
            <a:effectLst/>
          </c:spPr>
          <c:invertIfNegative val="0"/>
          <c:cat>
            <c:strRef>
              <c:f>Charts!$B$6:$AD$6</c:f>
              <c:strCache>
                <c:ptCount val="29"/>
                <c:pt idx="0">
                  <c:v>FY1995</c:v>
                </c:pt>
                <c:pt idx="1">
                  <c:v>FY1996</c:v>
                </c:pt>
                <c:pt idx="2">
                  <c:v>FY1997</c:v>
                </c:pt>
                <c:pt idx="3">
                  <c:v>FY1998</c:v>
                </c:pt>
                <c:pt idx="4">
                  <c:v>FY1999</c:v>
                </c:pt>
                <c:pt idx="5">
                  <c:v>FY2000</c:v>
                </c:pt>
                <c:pt idx="6">
                  <c:v>FY2001</c:v>
                </c:pt>
                <c:pt idx="7">
                  <c:v>FY2002</c:v>
                </c:pt>
                <c:pt idx="8">
                  <c:v>FY2003</c:v>
                </c:pt>
                <c:pt idx="9">
                  <c:v>FY2004</c:v>
                </c:pt>
                <c:pt idx="10">
                  <c:v>FY2005</c:v>
                </c:pt>
                <c:pt idx="11">
                  <c:v>FY2006</c:v>
                </c:pt>
                <c:pt idx="12">
                  <c:v>FY2007</c:v>
                </c:pt>
                <c:pt idx="13">
                  <c:v>FY2008</c:v>
                </c:pt>
                <c:pt idx="14">
                  <c:v>FY2009</c:v>
                </c:pt>
                <c:pt idx="15">
                  <c:v>FY2010</c:v>
                </c:pt>
                <c:pt idx="16">
                  <c:v>FY2011</c:v>
                </c:pt>
                <c:pt idx="17">
                  <c:v>FY2012</c:v>
                </c:pt>
                <c:pt idx="18">
                  <c:v>FY2013</c:v>
                </c:pt>
                <c:pt idx="19">
                  <c:v>FY2014</c:v>
                </c:pt>
                <c:pt idx="20">
                  <c:v>FY2015</c:v>
                </c:pt>
                <c:pt idx="21">
                  <c:v>FY2016</c:v>
                </c:pt>
                <c:pt idx="22">
                  <c:v>FY2017</c:v>
                </c:pt>
                <c:pt idx="23">
                  <c:v>FY2018</c:v>
                </c:pt>
                <c:pt idx="24">
                  <c:v>FY2019</c:v>
                </c:pt>
                <c:pt idx="25">
                  <c:v>FY2020</c:v>
                </c:pt>
                <c:pt idx="26">
                  <c:v>FY2021</c:v>
                </c:pt>
                <c:pt idx="27">
                  <c:v>FY2022</c:v>
                </c:pt>
                <c:pt idx="28">
                  <c:v>FY2023</c:v>
                </c:pt>
              </c:strCache>
            </c:strRef>
          </c:cat>
          <c:val>
            <c:numRef>
              <c:f>Charts!$B$7:$AD$7</c:f>
              <c:numCache>
                <c:formatCode>_(* #,##0_);_(* \(#,##0\);_(* "-"??_);_(@_)</c:formatCode>
                <c:ptCount val="29"/>
                <c:pt idx="0">
                  <c:v>1.8</c:v>
                </c:pt>
                <c:pt idx="1">
                  <c:v>3.3957359999999999</c:v>
                </c:pt>
                <c:pt idx="2">
                  <c:v>4.7642249999999997</c:v>
                </c:pt>
                <c:pt idx="3">
                  <c:v>9.0365660000000005</c:v>
                </c:pt>
                <c:pt idx="4">
                  <c:v>16.317861000000001</c:v>
                </c:pt>
                <c:pt idx="5">
                  <c:v>18.367162</c:v>
                </c:pt>
                <c:pt idx="6">
                  <c:v>31.868970000000001</c:v>
                </c:pt>
                <c:pt idx="7">
                  <c:v>38.608544999999999</c:v>
                </c:pt>
                <c:pt idx="8">
                  <c:v>39.477041</c:v>
                </c:pt>
                <c:pt idx="9">
                  <c:v>51.132738000000003</c:v>
                </c:pt>
                <c:pt idx="10">
                  <c:v>57.104958000000003</c:v>
                </c:pt>
                <c:pt idx="11">
                  <c:v>67.277880999999994</c:v>
                </c:pt>
                <c:pt idx="12">
                  <c:v>89.142482000000001</c:v>
                </c:pt>
                <c:pt idx="13">
                  <c:v>102.915905</c:v>
                </c:pt>
                <c:pt idx="14">
                  <c:v>113.11424700000001</c:v>
                </c:pt>
                <c:pt idx="15">
                  <c:v>145.75140099999999</c:v>
                </c:pt>
                <c:pt idx="16">
                  <c:v>219.22811799999999</c:v>
                </c:pt>
                <c:pt idx="17">
                  <c:v>304.055497</c:v>
                </c:pt>
                <c:pt idx="18">
                  <c:v>395.75599999999997</c:v>
                </c:pt>
                <c:pt idx="19">
                  <c:v>504.79700000000003</c:v>
                </c:pt>
                <c:pt idx="20">
                  <c:v>596.08399999999995</c:v>
                </c:pt>
                <c:pt idx="21">
                  <c:v>672.351</c:v>
                </c:pt>
                <c:pt idx="22">
                  <c:v>832.476</c:v>
                </c:pt>
                <c:pt idx="23">
                  <c:v>1081.6780000000001</c:v>
                </c:pt>
                <c:pt idx="24">
                  <c:v>1414.0640000000001</c:v>
                </c:pt>
                <c:pt idx="25">
                  <c:v>1646.191</c:v>
                </c:pt>
                <c:pt idx="26">
                  <c:v>1938.44</c:v>
                </c:pt>
                <c:pt idx="27">
                  <c:v>2507.5369999999998</c:v>
                </c:pt>
                <c:pt idx="28">
                  <c:v>2563</c:v>
                </c:pt>
              </c:numCache>
            </c:numRef>
          </c:val>
          <c:extLst>
            <c:ext xmlns:c16="http://schemas.microsoft.com/office/drawing/2014/chart" uri="{C3380CC4-5D6E-409C-BE32-E72D297353CC}">
              <c16:uniqueId val="{00000000-1602-4407-A6A8-21D659837B7C}"/>
            </c:ext>
          </c:extLst>
        </c:ser>
        <c:dLbls>
          <c:showLegendKey val="0"/>
          <c:showVal val="0"/>
          <c:showCatName val="0"/>
          <c:showSerName val="0"/>
          <c:showPercent val="0"/>
          <c:showBubbleSize val="0"/>
        </c:dLbls>
        <c:gapWidth val="219"/>
        <c:overlap val="-27"/>
        <c:axId val="65371311"/>
        <c:axId val="65370831"/>
      </c:barChart>
      <c:catAx>
        <c:axId val="65371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70831"/>
        <c:crosses val="autoZero"/>
        <c:auto val="1"/>
        <c:lblAlgn val="ctr"/>
        <c:lblOffset val="100"/>
        <c:noMultiLvlLbl val="0"/>
      </c:catAx>
      <c:valAx>
        <c:axId val="65370831"/>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713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Charts!$A$10</c:f>
              <c:strCache>
                <c:ptCount val="1"/>
                <c:pt idx="0">
                  <c:v>Gross Profit</c:v>
                </c:pt>
              </c:strCache>
            </c:strRef>
          </c:tx>
          <c:spPr>
            <a:solidFill>
              <a:schemeClr val="accent1"/>
            </a:solidFill>
            <a:ln>
              <a:noFill/>
            </a:ln>
            <a:effectLst/>
          </c:spPr>
          <c:invertIfNegative val="0"/>
          <c:cat>
            <c:strRef>
              <c:f>Charts!$C$6:$AD$6</c:f>
              <c:strCache>
                <c:ptCount val="28"/>
                <c:pt idx="0">
                  <c:v>FY1996</c:v>
                </c:pt>
                <c:pt idx="1">
                  <c:v>FY1997</c:v>
                </c:pt>
                <c:pt idx="2">
                  <c:v>FY1998</c:v>
                </c:pt>
                <c:pt idx="3">
                  <c:v>FY1999</c:v>
                </c:pt>
                <c:pt idx="4">
                  <c:v>FY2000</c:v>
                </c:pt>
                <c:pt idx="5">
                  <c:v>FY2001</c:v>
                </c:pt>
                <c:pt idx="6">
                  <c:v>FY2002</c:v>
                </c:pt>
                <c:pt idx="7">
                  <c:v>FY2003</c:v>
                </c:pt>
                <c:pt idx="8">
                  <c:v>FY2004</c:v>
                </c:pt>
                <c:pt idx="9">
                  <c:v>FY2005</c:v>
                </c:pt>
                <c:pt idx="10">
                  <c:v>FY2006</c:v>
                </c:pt>
                <c:pt idx="11">
                  <c:v>FY2007</c:v>
                </c:pt>
                <c:pt idx="12">
                  <c:v>FY2008</c:v>
                </c:pt>
                <c:pt idx="13">
                  <c:v>FY2009</c:v>
                </c:pt>
                <c:pt idx="14">
                  <c:v>FY2010</c:v>
                </c:pt>
                <c:pt idx="15">
                  <c:v>FY2011</c:v>
                </c:pt>
                <c:pt idx="16">
                  <c:v>FY2012</c:v>
                </c:pt>
                <c:pt idx="17">
                  <c:v>FY2013</c:v>
                </c:pt>
                <c:pt idx="18">
                  <c:v>FY2014</c:v>
                </c:pt>
                <c:pt idx="19">
                  <c:v>FY2015</c:v>
                </c:pt>
                <c:pt idx="20">
                  <c:v>FY2016</c:v>
                </c:pt>
                <c:pt idx="21">
                  <c:v>FY2017</c:v>
                </c:pt>
                <c:pt idx="22">
                  <c:v>FY2018</c:v>
                </c:pt>
                <c:pt idx="23">
                  <c:v>FY2019</c:v>
                </c:pt>
                <c:pt idx="24">
                  <c:v>FY2020</c:v>
                </c:pt>
                <c:pt idx="25">
                  <c:v>FY2021</c:v>
                </c:pt>
                <c:pt idx="26">
                  <c:v>FY2022</c:v>
                </c:pt>
                <c:pt idx="27">
                  <c:v>FY2023</c:v>
                </c:pt>
              </c:strCache>
            </c:strRef>
          </c:cat>
          <c:val>
            <c:numRef>
              <c:f>Charts!$C$10:$AD$10</c:f>
              <c:numCache>
                <c:formatCode>_(* #,##0_);_(* \(#,##0\);_(* "-"??_);_(@_)</c:formatCode>
                <c:ptCount val="28"/>
                <c:pt idx="0">
                  <c:v>0.99591399999999997</c:v>
                </c:pt>
                <c:pt idx="1">
                  <c:v>1.2314290000000001</c:v>
                </c:pt>
                <c:pt idx="2">
                  <c:v>1.958753</c:v>
                </c:pt>
                <c:pt idx="3">
                  <c:v>2.8095539999999999</c:v>
                </c:pt>
                <c:pt idx="4">
                  <c:v>3.1774810000000002</c:v>
                </c:pt>
                <c:pt idx="5">
                  <c:v>4.5370400000000002</c:v>
                </c:pt>
                <c:pt idx="6">
                  <c:v>7.152474999999999</c:v>
                </c:pt>
                <c:pt idx="7">
                  <c:v>7.3485730000000018</c:v>
                </c:pt>
                <c:pt idx="8">
                  <c:v>8.7063690000000022</c:v>
                </c:pt>
                <c:pt idx="9">
                  <c:v>8.562453000000005</c:v>
                </c:pt>
                <c:pt idx="10">
                  <c:v>10.858686999999996</c:v>
                </c:pt>
                <c:pt idx="11">
                  <c:v>15.195045000000007</c:v>
                </c:pt>
                <c:pt idx="12">
                  <c:v>19.758426999999998</c:v>
                </c:pt>
                <c:pt idx="13">
                  <c:v>22.08221300000001</c:v>
                </c:pt>
                <c:pt idx="14">
                  <c:v>28.518751999999992</c:v>
                </c:pt>
                <c:pt idx="15">
                  <c:v>43.306200999999987</c:v>
                </c:pt>
                <c:pt idx="16">
                  <c:v>56.284425999999996</c:v>
                </c:pt>
                <c:pt idx="17">
                  <c:v>70.510999999999967</c:v>
                </c:pt>
                <c:pt idx="18">
                  <c:v>88.521000000000015</c:v>
                </c:pt>
                <c:pt idx="19">
                  <c:v>102.77500000000001</c:v>
                </c:pt>
                <c:pt idx="20">
                  <c:v>120.71699999999998</c:v>
                </c:pt>
                <c:pt idx="21">
                  <c:v>136.303</c:v>
                </c:pt>
                <c:pt idx="22">
                  <c:v>175.16300000000001</c:v>
                </c:pt>
                <c:pt idx="23">
                  <c:v>211.14300000000003</c:v>
                </c:pt>
                <c:pt idx="24">
                  <c:v>235.70499999999993</c:v>
                </c:pt>
                <c:pt idx="25">
                  <c:v>276.35799999999995</c:v>
                </c:pt>
                <c:pt idx="26">
                  <c:v>327.20999999999992</c:v>
                </c:pt>
                <c:pt idx="27">
                  <c:v>373.83</c:v>
                </c:pt>
              </c:numCache>
            </c:numRef>
          </c:val>
          <c:extLst>
            <c:ext xmlns:c16="http://schemas.microsoft.com/office/drawing/2014/chart" uri="{C3380CC4-5D6E-409C-BE32-E72D297353CC}">
              <c16:uniqueId val="{00000000-1602-4407-A6A8-21D659837B7C}"/>
            </c:ext>
          </c:extLst>
        </c:ser>
        <c:ser>
          <c:idx val="1"/>
          <c:order val="1"/>
          <c:tx>
            <c:strRef>
              <c:f>Charts!$A$15</c:f>
              <c:strCache>
                <c:ptCount val="1"/>
                <c:pt idx="0">
                  <c:v>Operating Profit</c:v>
                </c:pt>
              </c:strCache>
            </c:strRef>
          </c:tx>
          <c:spPr>
            <a:solidFill>
              <a:schemeClr val="accent2"/>
            </a:solidFill>
            <a:ln>
              <a:noFill/>
            </a:ln>
            <a:effectLst/>
          </c:spPr>
          <c:invertIfNegative val="0"/>
          <c:val>
            <c:numRef>
              <c:f>Charts!$C$15:$AD$15</c:f>
              <c:numCache>
                <c:formatCode>_(* #,##0_);_(* \(#,##0\);_(* "-"??_);_(@_)</c:formatCode>
                <c:ptCount val="28"/>
                <c:pt idx="0">
                  <c:v>4.8992000000000001E-2</c:v>
                </c:pt>
                <c:pt idx="1">
                  <c:v>0.18196499999999999</c:v>
                </c:pt>
                <c:pt idx="2">
                  <c:v>0.48083399999999998</c:v>
                </c:pt>
                <c:pt idx="3">
                  <c:v>0.77657500000000002</c:v>
                </c:pt>
                <c:pt idx="4">
                  <c:v>0.53351099999999996</c:v>
                </c:pt>
                <c:pt idx="5">
                  <c:v>0.80632999999999999</c:v>
                </c:pt>
                <c:pt idx="6">
                  <c:v>1.1837200000000001</c:v>
                </c:pt>
                <c:pt idx="7">
                  <c:v>1.6568710000000015</c:v>
                </c:pt>
                <c:pt idx="8">
                  <c:v>1.9936170000000024</c:v>
                </c:pt>
                <c:pt idx="9">
                  <c:v>1.147129000000005</c:v>
                </c:pt>
                <c:pt idx="10">
                  <c:v>1.3125009999999957</c:v>
                </c:pt>
                <c:pt idx="11">
                  <c:v>3.3336380000000077</c:v>
                </c:pt>
                <c:pt idx="12">
                  <c:v>5.7374389999999984</c:v>
                </c:pt>
                <c:pt idx="13">
                  <c:v>7.4000070000000093</c:v>
                </c:pt>
                <c:pt idx="14">
                  <c:v>10.032754999999991</c:v>
                </c:pt>
                <c:pt idx="15">
                  <c:v>16.289691999999988</c:v>
                </c:pt>
                <c:pt idx="16">
                  <c:v>22.290106999999999</c:v>
                </c:pt>
                <c:pt idx="17">
                  <c:v>27.367999999999967</c:v>
                </c:pt>
                <c:pt idx="18">
                  <c:v>35.528000000000013</c:v>
                </c:pt>
                <c:pt idx="19">
                  <c:v>40.580999999999925</c:v>
                </c:pt>
                <c:pt idx="20">
                  <c:v>45.862999999999985</c:v>
                </c:pt>
                <c:pt idx="21">
                  <c:v>50.151999999999994</c:v>
                </c:pt>
                <c:pt idx="22">
                  <c:v>68.022000000000006</c:v>
                </c:pt>
                <c:pt idx="23">
                  <c:v>83.733000000000047</c:v>
                </c:pt>
                <c:pt idx="24">
                  <c:v>93.205999999999918</c:v>
                </c:pt>
                <c:pt idx="25">
                  <c:v>119.19799999999992</c:v>
                </c:pt>
                <c:pt idx="26">
                  <c:v>136.20099999999988</c:v>
                </c:pt>
                <c:pt idx="27">
                  <c:v>140.9</c:v>
                </c:pt>
              </c:numCache>
            </c:numRef>
          </c:val>
          <c:extLst>
            <c:ext xmlns:c16="http://schemas.microsoft.com/office/drawing/2014/chart" uri="{C3380CC4-5D6E-409C-BE32-E72D297353CC}">
              <c16:uniqueId val="{00000000-68E5-4ADE-BDEF-02FFFCB2DE4D}"/>
            </c:ext>
          </c:extLst>
        </c:ser>
        <c:dLbls>
          <c:showLegendKey val="0"/>
          <c:showVal val="0"/>
          <c:showCatName val="0"/>
          <c:showSerName val="0"/>
          <c:showPercent val="0"/>
          <c:showBubbleSize val="0"/>
        </c:dLbls>
        <c:gapWidth val="219"/>
        <c:overlap val="-27"/>
        <c:axId val="65371311"/>
        <c:axId val="65370831"/>
      </c:barChart>
      <c:catAx>
        <c:axId val="65371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70831"/>
        <c:crosses val="autoZero"/>
        <c:auto val="1"/>
        <c:lblAlgn val="ctr"/>
        <c:lblOffset val="100"/>
        <c:noMultiLvlLbl val="0"/>
      </c:catAx>
      <c:valAx>
        <c:axId val="65370831"/>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713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Charts!$A$15</c:f>
              <c:strCache>
                <c:ptCount val="1"/>
                <c:pt idx="0">
                  <c:v>Operating Profit</c:v>
                </c:pt>
              </c:strCache>
            </c:strRef>
          </c:tx>
          <c:spPr>
            <a:solidFill>
              <a:schemeClr val="accent1"/>
            </a:solidFill>
            <a:ln>
              <a:noFill/>
            </a:ln>
            <a:effectLst/>
          </c:spPr>
          <c:invertIfNegative val="0"/>
          <c:cat>
            <c:strRef>
              <c:f>Charts!$C$6:$AD$6</c:f>
              <c:strCache>
                <c:ptCount val="28"/>
                <c:pt idx="0">
                  <c:v>FY1996</c:v>
                </c:pt>
                <c:pt idx="1">
                  <c:v>FY1997</c:v>
                </c:pt>
                <c:pt idx="2">
                  <c:v>FY1998</c:v>
                </c:pt>
                <c:pt idx="3">
                  <c:v>FY1999</c:v>
                </c:pt>
                <c:pt idx="4">
                  <c:v>FY2000</c:v>
                </c:pt>
                <c:pt idx="5">
                  <c:v>FY2001</c:v>
                </c:pt>
                <c:pt idx="6">
                  <c:v>FY2002</c:v>
                </c:pt>
                <c:pt idx="7">
                  <c:v>FY2003</c:v>
                </c:pt>
                <c:pt idx="8">
                  <c:v>FY2004</c:v>
                </c:pt>
                <c:pt idx="9">
                  <c:v>FY2005</c:v>
                </c:pt>
                <c:pt idx="10">
                  <c:v>FY2006</c:v>
                </c:pt>
                <c:pt idx="11">
                  <c:v>FY2007</c:v>
                </c:pt>
                <c:pt idx="12">
                  <c:v>FY2008</c:v>
                </c:pt>
                <c:pt idx="13">
                  <c:v>FY2009</c:v>
                </c:pt>
                <c:pt idx="14">
                  <c:v>FY2010</c:v>
                </c:pt>
                <c:pt idx="15">
                  <c:v>FY2011</c:v>
                </c:pt>
                <c:pt idx="16">
                  <c:v>FY2012</c:v>
                </c:pt>
                <c:pt idx="17">
                  <c:v>FY2013</c:v>
                </c:pt>
                <c:pt idx="18">
                  <c:v>FY2014</c:v>
                </c:pt>
                <c:pt idx="19">
                  <c:v>FY2015</c:v>
                </c:pt>
                <c:pt idx="20">
                  <c:v>FY2016</c:v>
                </c:pt>
                <c:pt idx="21">
                  <c:v>FY2017</c:v>
                </c:pt>
                <c:pt idx="22">
                  <c:v>FY2018</c:v>
                </c:pt>
                <c:pt idx="23">
                  <c:v>FY2019</c:v>
                </c:pt>
                <c:pt idx="24">
                  <c:v>FY2020</c:v>
                </c:pt>
                <c:pt idx="25">
                  <c:v>FY2021</c:v>
                </c:pt>
                <c:pt idx="26">
                  <c:v>FY2022</c:v>
                </c:pt>
                <c:pt idx="27">
                  <c:v>FY2023</c:v>
                </c:pt>
              </c:strCache>
            </c:strRef>
          </c:cat>
          <c:val>
            <c:numRef>
              <c:f>Charts!$C$15:$AD$15</c:f>
              <c:numCache>
                <c:formatCode>_(* #,##0_);_(* \(#,##0\);_(* "-"??_);_(@_)</c:formatCode>
                <c:ptCount val="28"/>
                <c:pt idx="0">
                  <c:v>4.8992000000000001E-2</c:v>
                </c:pt>
                <c:pt idx="1">
                  <c:v>0.18196499999999999</c:v>
                </c:pt>
                <c:pt idx="2">
                  <c:v>0.48083399999999998</c:v>
                </c:pt>
                <c:pt idx="3">
                  <c:v>0.77657500000000002</c:v>
                </c:pt>
                <c:pt idx="4">
                  <c:v>0.53351099999999996</c:v>
                </c:pt>
                <c:pt idx="5">
                  <c:v>0.80632999999999999</c:v>
                </c:pt>
                <c:pt idx="6">
                  <c:v>1.1837200000000001</c:v>
                </c:pt>
                <c:pt idx="7">
                  <c:v>1.6568710000000015</c:v>
                </c:pt>
                <c:pt idx="8">
                  <c:v>1.9936170000000024</c:v>
                </c:pt>
                <c:pt idx="9">
                  <c:v>1.147129000000005</c:v>
                </c:pt>
                <c:pt idx="10">
                  <c:v>1.3125009999999957</c:v>
                </c:pt>
                <c:pt idx="11">
                  <c:v>3.3336380000000077</c:v>
                </c:pt>
                <c:pt idx="12">
                  <c:v>5.7374389999999984</c:v>
                </c:pt>
                <c:pt idx="13">
                  <c:v>7.4000070000000093</c:v>
                </c:pt>
                <c:pt idx="14">
                  <c:v>10.032754999999991</c:v>
                </c:pt>
                <c:pt idx="15">
                  <c:v>16.289691999999988</c:v>
                </c:pt>
                <c:pt idx="16">
                  <c:v>22.290106999999999</c:v>
                </c:pt>
                <c:pt idx="17">
                  <c:v>27.367999999999967</c:v>
                </c:pt>
                <c:pt idx="18">
                  <c:v>35.528000000000013</c:v>
                </c:pt>
                <c:pt idx="19">
                  <c:v>40.580999999999925</c:v>
                </c:pt>
                <c:pt idx="20">
                  <c:v>45.862999999999985</c:v>
                </c:pt>
                <c:pt idx="21">
                  <c:v>50.151999999999994</c:v>
                </c:pt>
                <c:pt idx="22">
                  <c:v>68.022000000000006</c:v>
                </c:pt>
                <c:pt idx="23">
                  <c:v>83.733000000000047</c:v>
                </c:pt>
                <c:pt idx="24">
                  <c:v>93.205999999999918</c:v>
                </c:pt>
                <c:pt idx="25">
                  <c:v>119.19799999999992</c:v>
                </c:pt>
                <c:pt idx="26">
                  <c:v>136.20099999999988</c:v>
                </c:pt>
                <c:pt idx="27">
                  <c:v>140.9</c:v>
                </c:pt>
              </c:numCache>
            </c:numRef>
          </c:val>
          <c:extLst>
            <c:ext xmlns:c16="http://schemas.microsoft.com/office/drawing/2014/chart" uri="{C3380CC4-5D6E-409C-BE32-E72D297353CC}">
              <c16:uniqueId val="{00000000-1602-4407-A6A8-21D659837B7C}"/>
            </c:ext>
          </c:extLst>
        </c:ser>
        <c:dLbls>
          <c:showLegendKey val="0"/>
          <c:showVal val="0"/>
          <c:showCatName val="0"/>
          <c:showSerName val="0"/>
          <c:showPercent val="0"/>
          <c:showBubbleSize val="0"/>
        </c:dLbls>
        <c:gapWidth val="219"/>
        <c:axId val="65371311"/>
        <c:axId val="65370831"/>
      </c:barChart>
      <c:lineChart>
        <c:grouping val="standard"/>
        <c:varyColors val="0"/>
        <c:ser>
          <c:idx val="1"/>
          <c:order val="1"/>
          <c:tx>
            <c:strRef>
              <c:f>Charts!$A$16</c:f>
              <c:strCache>
                <c:ptCount val="1"/>
                <c:pt idx="0">
                  <c:v>Margin of GP %</c:v>
                </c:pt>
              </c:strCache>
            </c:strRef>
          </c:tx>
          <c:spPr>
            <a:ln w="28575" cap="rnd">
              <a:solidFill>
                <a:schemeClr val="accent2"/>
              </a:solidFill>
              <a:round/>
            </a:ln>
            <a:effectLst/>
          </c:spPr>
          <c:marker>
            <c:symbol val="none"/>
          </c:marker>
          <c:val>
            <c:numRef>
              <c:f>Charts!$C$16:$AD$16</c:f>
              <c:numCache>
                <c:formatCode>0.0%</c:formatCode>
                <c:ptCount val="28"/>
                <c:pt idx="0">
                  <c:v>4.9193002608658984E-2</c:v>
                </c:pt>
                <c:pt idx="1">
                  <c:v>0.14776734996495938</c:v>
                </c:pt>
                <c:pt idx="2">
                  <c:v>0.24547964955254695</c:v>
                </c:pt>
                <c:pt idx="3">
                  <c:v>0.27640508066404845</c:v>
                </c:pt>
                <c:pt idx="4">
                  <c:v>0.16790375772506583</c:v>
                </c:pt>
                <c:pt idx="5">
                  <c:v>0.17772159822262973</c:v>
                </c:pt>
                <c:pt idx="6">
                  <c:v>0.16549795700089834</c:v>
                </c:pt>
                <c:pt idx="7">
                  <c:v>0.22546840046360037</c:v>
                </c:pt>
                <c:pt idx="8">
                  <c:v>0.22898374741525451</c:v>
                </c:pt>
                <c:pt idx="9">
                  <c:v>0.13397200545217641</c:v>
                </c:pt>
                <c:pt idx="10">
                  <c:v>0.12087105927263546</c:v>
                </c:pt>
                <c:pt idx="11">
                  <c:v>0.21938980766427515</c:v>
                </c:pt>
                <c:pt idx="12">
                  <c:v>0.290379340420166</c:v>
                </c:pt>
                <c:pt idx="13">
                  <c:v>0.33511165751367428</c:v>
                </c:pt>
                <c:pt idx="14">
                  <c:v>0.35179502244698485</c:v>
                </c:pt>
                <c:pt idx="15">
                  <c:v>0.37615148925208175</c:v>
                </c:pt>
                <c:pt idx="16">
                  <c:v>0.39602619381780674</c:v>
                </c:pt>
                <c:pt idx="17">
                  <c:v>0.38813802101799688</c:v>
                </c:pt>
                <c:pt idx="18">
                  <c:v>0.40135109183131695</c:v>
                </c:pt>
                <c:pt idx="19">
                  <c:v>0.39485283386037384</c:v>
                </c:pt>
                <c:pt idx="20">
                  <c:v>0.37992163489815017</c:v>
                </c:pt>
                <c:pt idx="21">
                  <c:v>0.36794494618607071</c:v>
                </c:pt>
                <c:pt idx="22">
                  <c:v>0.38833543613662702</c:v>
                </c:pt>
                <c:pt idx="23">
                  <c:v>0.39657009704323626</c:v>
                </c:pt>
                <c:pt idx="24">
                  <c:v>0.39543497168070235</c:v>
                </c:pt>
                <c:pt idx="25">
                  <c:v>0.43131734923541182</c:v>
                </c:pt>
                <c:pt idx="26">
                  <c:v>0.41624950337703587</c:v>
                </c:pt>
                <c:pt idx="27">
                  <c:v>0.37690929031912906</c:v>
                </c:pt>
              </c:numCache>
            </c:numRef>
          </c:val>
          <c:smooth val="0"/>
          <c:extLst>
            <c:ext xmlns:c16="http://schemas.microsoft.com/office/drawing/2014/chart" uri="{C3380CC4-5D6E-409C-BE32-E72D297353CC}">
              <c16:uniqueId val="{00000000-A582-4016-90B5-4F17B0ECDBFC}"/>
            </c:ext>
          </c:extLst>
        </c:ser>
        <c:dLbls>
          <c:showLegendKey val="0"/>
          <c:showVal val="0"/>
          <c:showCatName val="0"/>
          <c:showSerName val="0"/>
          <c:showPercent val="0"/>
          <c:showBubbleSize val="0"/>
        </c:dLbls>
        <c:marker val="1"/>
        <c:smooth val="0"/>
        <c:axId val="72796895"/>
        <c:axId val="72790175"/>
      </c:lineChart>
      <c:catAx>
        <c:axId val="65371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70831"/>
        <c:crosses val="autoZero"/>
        <c:auto val="1"/>
        <c:lblAlgn val="ctr"/>
        <c:lblOffset val="100"/>
        <c:noMultiLvlLbl val="0"/>
      </c:catAx>
      <c:valAx>
        <c:axId val="65370831"/>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71311"/>
        <c:crosses val="autoZero"/>
        <c:crossBetween val="between"/>
      </c:valAx>
      <c:valAx>
        <c:axId val="72790175"/>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96895"/>
        <c:crosses val="max"/>
        <c:crossBetween val="between"/>
      </c:valAx>
      <c:catAx>
        <c:axId val="72796895"/>
        <c:scaling>
          <c:orientation val="minMax"/>
        </c:scaling>
        <c:delete val="1"/>
        <c:axPos val="b"/>
        <c:majorTickMark val="out"/>
        <c:minorTickMark val="none"/>
        <c:tickLblPos val="nextTo"/>
        <c:crossAx val="72790175"/>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Charts!$A$21</c:f>
              <c:strCache>
                <c:ptCount val="1"/>
                <c:pt idx="0">
                  <c:v>Employees (EoP)</c:v>
                </c:pt>
              </c:strCache>
            </c:strRef>
          </c:tx>
          <c:spPr>
            <a:solidFill>
              <a:schemeClr val="accent1"/>
            </a:solidFill>
            <a:ln>
              <a:noFill/>
            </a:ln>
            <a:effectLst/>
          </c:spPr>
          <c:invertIfNegative val="0"/>
          <c:cat>
            <c:strRef>
              <c:f>Charts!$C$20:$P$20</c:f>
              <c:strCache>
                <c:ptCount val="14"/>
                <c:pt idx="0">
                  <c:v>FY2010</c:v>
                </c:pt>
                <c:pt idx="1">
                  <c:v>FY2011</c:v>
                </c:pt>
                <c:pt idx="2">
                  <c:v>FY2012</c:v>
                </c:pt>
                <c:pt idx="3">
                  <c:v>FY2013</c:v>
                </c:pt>
                <c:pt idx="4">
                  <c:v>FY2014</c:v>
                </c:pt>
                <c:pt idx="5">
                  <c:v>FY2015</c:v>
                </c:pt>
                <c:pt idx="6">
                  <c:v>FY2016</c:v>
                </c:pt>
                <c:pt idx="7">
                  <c:v>FY2017</c:v>
                </c:pt>
                <c:pt idx="8">
                  <c:v>FY2018</c:v>
                </c:pt>
                <c:pt idx="9">
                  <c:v>FY2019</c:v>
                </c:pt>
                <c:pt idx="10">
                  <c:v>FY2020</c:v>
                </c:pt>
                <c:pt idx="11">
                  <c:v>FY2021</c:v>
                </c:pt>
                <c:pt idx="12">
                  <c:v>FY2022</c:v>
                </c:pt>
                <c:pt idx="13">
                  <c:v>FY2023</c:v>
                </c:pt>
              </c:strCache>
            </c:strRef>
          </c:cat>
          <c:val>
            <c:numRef>
              <c:f>Charts!$C$21:$P$21</c:f>
              <c:numCache>
                <c:formatCode>_(* #,##0_);_(* \(#,##0\);_(* "-"??_);_(@_)</c:formatCode>
                <c:ptCount val="14"/>
                <c:pt idx="0">
                  <c:v>214</c:v>
                </c:pt>
                <c:pt idx="1">
                  <c:v>333</c:v>
                </c:pt>
                <c:pt idx="2">
                  <c:v>432</c:v>
                </c:pt>
                <c:pt idx="3">
                  <c:v>558</c:v>
                </c:pt>
                <c:pt idx="4">
                  <c:v>673</c:v>
                </c:pt>
                <c:pt idx="5">
                  <c:v>794</c:v>
                </c:pt>
                <c:pt idx="6">
                  <c:v>886.4406779661017</c:v>
                </c:pt>
                <c:pt idx="7">
                  <c:v>1046</c:v>
                </c:pt>
                <c:pt idx="8">
                  <c:v>1188</c:v>
                </c:pt>
                <c:pt idx="9">
                  <c:v>1330</c:v>
                </c:pt>
                <c:pt idx="10">
                  <c:v>1534</c:v>
                </c:pt>
                <c:pt idx="11">
                  <c:v>1681</c:v>
                </c:pt>
                <c:pt idx="12">
                  <c:v>1921</c:v>
                </c:pt>
                <c:pt idx="13">
                  <c:v>2315</c:v>
                </c:pt>
              </c:numCache>
            </c:numRef>
          </c:val>
          <c:extLst>
            <c:ext xmlns:c16="http://schemas.microsoft.com/office/drawing/2014/chart" uri="{C3380CC4-5D6E-409C-BE32-E72D297353CC}">
              <c16:uniqueId val="{00000000-1602-4407-A6A8-21D659837B7C}"/>
            </c:ext>
          </c:extLst>
        </c:ser>
        <c:dLbls>
          <c:showLegendKey val="0"/>
          <c:showVal val="0"/>
          <c:showCatName val="0"/>
          <c:showSerName val="0"/>
          <c:showPercent val="0"/>
          <c:showBubbleSize val="0"/>
        </c:dLbls>
        <c:gapWidth val="219"/>
        <c:axId val="65371311"/>
        <c:axId val="65370831"/>
      </c:barChart>
      <c:lineChart>
        <c:grouping val="standard"/>
        <c:varyColors val="0"/>
        <c:ser>
          <c:idx val="1"/>
          <c:order val="1"/>
          <c:tx>
            <c:strRef>
              <c:f>Charts!$A$22</c:f>
              <c:strCache>
                <c:ptCount val="1"/>
                <c:pt idx="0">
                  <c:v>Employee Engagement Score %</c:v>
                </c:pt>
              </c:strCache>
            </c:strRef>
          </c:tx>
          <c:spPr>
            <a:ln w="28575" cap="rnd">
              <a:solidFill>
                <a:schemeClr val="accent2"/>
              </a:solidFill>
              <a:round/>
            </a:ln>
            <a:effectLst/>
          </c:spPr>
          <c:marker>
            <c:symbol val="none"/>
          </c:marker>
          <c:val>
            <c:numRef>
              <c:f>Charts!$C$22:$P$22</c:f>
              <c:numCache>
                <c:formatCode>0%</c:formatCode>
                <c:ptCount val="14"/>
                <c:pt idx="5">
                  <c:v>0.98</c:v>
                </c:pt>
                <c:pt idx="6">
                  <c:v>0.96</c:v>
                </c:pt>
                <c:pt idx="7">
                  <c:v>0.98</c:v>
                </c:pt>
                <c:pt idx="8">
                  <c:v>0.95</c:v>
                </c:pt>
                <c:pt idx="9">
                  <c:v>0.92</c:v>
                </c:pt>
                <c:pt idx="10">
                  <c:v>0.93</c:v>
                </c:pt>
                <c:pt idx="11">
                  <c:v>0.93</c:v>
                </c:pt>
                <c:pt idx="12">
                  <c:v>0.9</c:v>
                </c:pt>
                <c:pt idx="13">
                  <c:v>0.92</c:v>
                </c:pt>
              </c:numCache>
            </c:numRef>
          </c:val>
          <c:smooth val="0"/>
          <c:extLst>
            <c:ext xmlns:c16="http://schemas.microsoft.com/office/drawing/2014/chart" uri="{C3380CC4-5D6E-409C-BE32-E72D297353CC}">
              <c16:uniqueId val="{00000000-A582-4016-90B5-4F17B0ECDBFC}"/>
            </c:ext>
          </c:extLst>
        </c:ser>
        <c:dLbls>
          <c:showLegendKey val="0"/>
          <c:showVal val="0"/>
          <c:showCatName val="0"/>
          <c:showSerName val="0"/>
          <c:showPercent val="0"/>
          <c:showBubbleSize val="0"/>
        </c:dLbls>
        <c:marker val="1"/>
        <c:smooth val="0"/>
        <c:axId val="72796895"/>
        <c:axId val="72790175"/>
      </c:lineChart>
      <c:catAx>
        <c:axId val="65371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70831"/>
        <c:crosses val="autoZero"/>
        <c:auto val="1"/>
        <c:lblAlgn val="ctr"/>
        <c:lblOffset val="100"/>
        <c:noMultiLvlLbl val="0"/>
      </c:catAx>
      <c:valAx>
        <c:axId val="65370831"/>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71311"/>
        <c:crosses val="autoZero"/>
        <c:crossBetween val="between"/>
      </c:valAx>
      <c:valAx>
        <c:axId val="72790175"/>
        <c:scaling>
          <c:orientation val="minMax"/>
          <c:max val="1"/>
          <c:min val="0"/>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96895"/>
        <c:crosses val="max"/>
        <c:crossBetween val="between"/>
      </c:valAx>
      <c:catAx>
        <c:axId val="72796895"/>
        <c:scaling>
          <c:orientation val="minMax"/>
        </c:scaling>
        <c:delete val="1"/>
        <c:axPos val="b"/>
        <c:majorTickMark val="out"/>
        <c:minorTickMark val="none"/>
        <c:tickLblPos val="nextTo"/>
        <c:crossAx val="72790175"/>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Charts!$A$25</c:f>
              <c:strCache>
                <c:ptCount val="1"/>
                <c:pt idx="0">
                  <c:v>GP per Employee (3 yr avg.), GBP in '000s</c:v>
                </c:pt>
              </c:strCache>
            </c:strRef>
          </c:tx>
          <c:spPr>
            <a:solidFill>
              <a:schemeClr val="accent1"/>
            </a:solidFill>
            <a:ln>
              <a:noFill/>
            </a:ln>
            <a:effectLst/>
          </c:spPr>
          <c:invertIfNegative val="0"/>
          <c:cat>
            <c:strRef>
              <c:f>Charts!$B$24:$F$24</c:f>
              <c:strCache>
                <c:ptCount val="5"/>
                <c:pt idx="0">
                  <c:v>SCT</c:v>
                </c:pt>
                <c:pt idx="1">
                  <c:v>BYIT</c:v>
                </c:pt>
                <c:pt idx="2">
                  <c:v>NSIT</c:v>
                </c:pt>
                <c:pt idx="3">
                  <c:v>BC8</c:v>
                </c:pt>
                <c:pt idx="4">
                  <c:v>CCC</c:v>
                </c:pt>
              </c:strCache>
            </c:strRef>
          </c:cat>
          <c:val>
            <c:numRef>
              <c:f>Charts!$B$25:$F$25</c:f>
              <c:numCache>
                <c:formatCode>_(* #,##0_);_(* \(#,##0\);_(* "-"??_);_(@_)</c:formatCode>
                <c:ptCount val="5"/>
                <c:pt idx="0">
                  <c:v>169.15887850467291</c:v>
                </c:pt>
                <c:pt idx="1">
                  <c:v>146.76549865229111</c:v>
                </c:pt>
                <c:pt idx="2">
                  <c:v>97.90076744983709</c:v>
                </c:pt>
                <c:pt idx="3">
                  <c:v>65.053602154430763</c:v>
                </c:pt>
                <c:pt idx="4">
                  <c:v>49.20810527541633</c:v>
                </c:pt>
              </c:numCache>
            </c:numRef>
          </c:val>
          <c:extLst>
            <c:ext xmlns:c16="http://schemas.microsoft.com/office/drawing/2014/chart" uri="{C3380CC4-5D6E-409C-BE32-E72D297353CC}">
              <c16:uniqueId val="{00000000-36D9-426B-B086-3C49E1CFBFAD}"/>
            </c:ext>
          </c:extLst>
        </c:ser>
        <c:dLbls>
          <c:showLegendKey val="0"/>
          <c:showVal val="0"/>
          <c:showCatName val="0"/>
          <c:showSerName val="0"/>
          <c:showPercent val="0"/>
          <c:showBubbleSize val="0"/>
        </c:dLbls>
        <c:gapWidth val="219"/>
        <c:overlap val="-27"/>
        <c:axId val="991227503"/>
        <c:axId val="991227983"/>
      </c:barChart>
      <c:catAx>
        <c:axId val="991227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227983"/>
        <c:crosses val="autoZero"/>
        <c:auto val="1"/>
        <c:lblAlgn val="ctr"/>
        <c:lblOffset val="100"/>
        <c:noMultiLvlLbl val="0"/>
      </c:catAx>
      <c:valAx>
        <c:axId val="991227983"/>
        <c:scaling>
          <c:orientation val="minMax"/>
        </c:scaling>
        <c:delete val="0"/>
        <c:axPos val="l"/>
        <c:majorGridlines>
          <c:spPr>
            <a:ln w="9525" cap="flat" cmpd="sng" algn="ctr">
              <a:solidFill>
                <a:schemeClr val="tx1">
                  <a:lumMod val="15000"/>
                  <a:lumOff val="85000"/>
                </a:schemeClr>
              </a:solidFill>
              <a:round/>
            </a:ln>
            <a:effectLst/>
          </c:spPr>
        </c:majorGridlines>
        <c:numFmt formatCode="[$£-8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22750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Charts!$A$28</c:f>
              <c:strCache>
                <c:ptCount val="1"/>
                <c:pt idx="0">
                  <c:v>EBIT per Employee (3 yr avg.), GBP in '000s</c:v>
                </c:pt>
              </c:strCache>
            </c:strRef>
          </c:tx>
          <c:spPr>
            <a:solidFill>
              <a:schemeClr val="accent1"/>
            </a:solidFill>
            <a:ln>
              <a:noFill/>
            </a:ln>
            <a:effectLst/>
          </c:spPr>
          <c:invertIfNegative val="0"/>
          <c:cat>
            <c:strRef>
              <c:f>Charts!$B$27:$F$27</c:f>
              <c:strCache>
                <c:ptCount val="5"/>
                <c:pt idx="0">
                  <c:v>SCT</c:v>
                </c:pt>
                <c:pt idx="1">
                  <c:v>BYIT</c:v>
                </c:pt>
                <c:pt idx="2">
                  <c:v>NSIT</c:v>
                </c:pt>
                <c:pt idx="3">
                  <c:v>BC8</c:v>
                </c:pt>
                <c:pt idx="4">
                  <c:v>CCC</c:v>
                </c:pt>
              </c:strCache>
            </c:strRef>
          </c:cat>
          <c:val>
            <c:numRef>
              <c:f>Charts!$B$28:$F$28</c:f>
              <c:numCache>
                <c:formatCode>_(* #,##0_);_(* \(#,##0\);_(* "-"??_);_(@_)</c:formatCode>
                <c:ptCount val="5"/>
                <c:pt idx="0">
                  <c:v>70.041536863966769</c:v>
                </c:pt>
                <c:pt idx="1">
                  <c:v>63.072776280323446</c:v>
                </c:pt>
                <c:pt idx="2">
                  <c:v>25.71117732807409</c:v>
                </c:pt>
                <c:pt idx="3">
                  <c:v>22.027054519373671</c:v>
                </c:pt>
                <c:pt idx="4">
                  <c:v>14.329800861767788</c:v>
                </c:pt>
              </c:numCache>
            </c:numRef>
          </c:val>
          <c:extLst>
            <c:ext xmlns:c16="http://schemas.microsoft.com/office/drawing/2014/chart" uri="{C3380CC4-5D6E-409C-BE32-E72D297353CC}">
              <c16:uniqueId val="{00000000-8F23-4FAB-AB33-E09A7586E9A3}"/>
            </c:ext>
          </c:extLst>
        </c:ser>
        <c:dLbls>
          <c:showLegendKey val="0"/>
          <c:showVal val="0"/>
          <c:showCatName val="0"/>
          <c:showSerName val="0"/>
          <c:showPercent val="0"/>
          <c:showBubbleSize val="0"/>
        </c:dLbls>
        <c:gapWidth val="219"/>
        <c:overlap val="-27"/>
        <c:axId val="991228943"/>
        <c:axId val="1345849071"/>
      </c:barChart>
      <c:catAx>
        <c:axId val="991228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849071"/>
        <c:crosses val="autoZero"/>
        <c:auto val="1"/>
        <c:lblAlgn val="ctr"/>
        <c:lblOffset val="100"/>
        <c:noMultiLvlLbl val="0"/>
      </c:catAx>
      <c:valAx>
        <c:axId val="1345849071"/>
        <c:scaling>
          <c:orientation val="minMax"/>
        </c:scaling>
        <c:delete val="0"/>
        <c:axPos val="l"/>
        <c:majorGridlines>
          <c:spPr>
            <a:ln w="9525" cap="flat" cmpd="sng" algn="ctr">
              <a:solidFill>
                <a:schemeClr val="tx1">
                  <a:lumMod val="15000"/>
                  <a:lumOff val="85000"/>
                </a:schemeClr>
              </a:solidFill>
              <a:round/>
            </a:ln>
            <a:effectLst/>
          </c:spPr>
        </c:majorGridlines>
        <c:numFmt formatCode="[$£-8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22894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Charts!$A$31</c:f>
              <c:strCache>
                <c:ptCount val="1"/>
                <c:pt idx="0">
                  <c:v>Organic 3yr GP CAGR</c:v>
                </c:pt>
              </c:strCache>
            </c:strRef>
          </c:tx>
          <c:spPr>
            <a:solidFill>
              <a:schemeClr val="accent1"/>
            </a:solidFill>
            <a:ln>
              <a:noFill/>
            </a:ln>
            <a:effectLst/>
          </c:spPr>
          <c:invertIfNegative val="0"/>
          <c:cat>
            <c:strRef>
              <c:f>Charts!$B$30:$F$30</c:f>
              <c:strCache>
                <c:ptCount val="5"/>
                <c:pt idx="0">
                  <c:v>SCT</c:v>
                </c:pt>
                <c:pt idx="1">
                  <c:v>BYIT</c:v>
                </c:pt>
                <c:pt idx="2">
                  <c:v>NSIT</c:v>
                </c:pt>
                <c:pt idx="3">
                  <c:v>BC8</c:v>
                </c:pt>
                <c:pt idx="4">
                  <c:v>CCC</c:v>
                </c:pt>
              </c:strCache>
            </c:strRef>
          </c:cat>
          <c:val>
            <c:numRef>
              <c:f>Charts!$B$31:$F$31</c:f>
              <c:numCache>
                <c:formatCode>0.0%</c:formatCode>
                <c:ptCount val="5"/>
                <c:pt idx="0">
                  <c:v>0.16618768735695277</c:v>
                </c:pt>
                <c:pt idx="1">
                  <c:v>0.17840146380897415</c:v>
                </c:pt>
                <c:pt idx="2">
                  <c:v>6.8664690594971933E-2</c:v>
                </c:pt>
                <c:pt idx="3">
                  <c:v>6.8000000000000005E-2</c:v>
                </c:pt>
                <c:pt idx="4">
                  <c:v>5.3999999999999999E-2</c:v>
                </c:pt>
              </c:numCache>
            </c:numRef>
          </c:val>
          <c:extLst>
            <c:ext xmlns:c16="http://schemas.microsoft.com/office/drawing/2014/chart" uri="{C3380CC4-5D6E-409C-BE32-E72D297353CC}">
              <c16:uniqueId val="{00000000-B508-40A9-AC89-D1C925A93925}"/>
            </c:ext>
          </c:extLst>
        </c:ser>
        <c:dLbls>
          <c:showLegendKey val="0"/>
          <c:showVal val="0"/>
          <c:showCatName val="0"/>
          <c:showSerName val="0"/>
          <c:showPercent val="0"/>
          <c:showBubbleSize val="0"/>
        </c:dLbls>
        <c:gapWidth val="219"/>
        <c:overlap val="-27"/>
        <c:axId val="198556143"/>
        <c:axId val="198554703"/>
      </c:barChart>
      <c:catAx>
        <c:axId val="198556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54703"/>
        <c:crosses val="autoZero"/>
        <c:auto val="1"/>
        <c:lblAlgn val="ctr"/>
        <c:lblOffset val="100"/>
        <c:noMultiLvlLbl val="0"/>
      </c:catAx>
      <c:valAx>
        <c:axId val="198554703"/>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5614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Charts!$A$96</c:f>
              <c:strCache>
                <c:ptCount val="1"/>
                <c:pt idx="0">
                  <c:v>May-16</c:v>
                </c:pt>
              </c:strCache>
            </c:strRef>
          </c:tx>
          <c:spPr>
            <a:solidFill>
              <a:schemeClr val="accent1"/>
            </a:solidFill>
            <a:ln>
              <a:noFill/>
            </a:ln>
            <a:effectLst/>
          </c:spPr>
          <c:invertIfNegative val="0"/>
          <c:cat>
            <c:strRef>
              <c:f>Charts!$B$95:$J$95</c:f>
              <c:strCache>
                <c:ptCount val="9"/>
                <c:pt idx="0">
                  <c:v>2.38</c:v>
                </c:pt>
                <c:pt idx="1">
                  <c:v>17.13x</c:v>
                </c:pt>
                <c:pt idx="2">
                  <c:v>18.13195202</c:v>
                </c:pt>
                <c:pt idx="3">
                  <c:v>19.13195202</c:v>
                </c:pt>
                <c:pt idx="4">
                  <c:v>20.13195202</c:v>
                </c:pt>
                <c:pt idx="5">
                  <c:v>2024E</c:v>
                </c:pt>
                <c:pt idx="6">
                  <c:v>2025E</c:v>
                </c:pt>
                <c:pt idx="7">
                  <c:v>2026E</c:v>
                </c:pt>
                <c:pt idx="8">
                  <c:v>2027E</c:v>
                </c:pt>
              </c:strCache>
            </c:strRef>
          </c:cat>
          <c:val>
            <c:numRef>
              <c:f>Charts!$B$96:$J$96</c:f>
              <c:numCache>
                <c:formatCode>0.00\x</c:formatCode>
                <c:ptCount val="9"/>
                <c:pt idx="0" formatCode="0.00">
                  <c:v>2.3845179999999999</c:v>
                </c:pt>
                <c:pt idx="1">
                  <c:v>17.175572519083968</c:v>
                </c:pt>
                <c:pt idx="2" formatCode="General">
                  <c:v>49.2</c:v>
                </c:pt>
                <c:pt idx="3" formatCode="General">
                  <c:v>56</c:v>
                </c:pt>
                <c:pt idx="4" formatCode="General">
                  <c:v>59.8</c:v>
                </c:pt>
                <c:pt idx="5" formatCode="General">
                  <c:v>65.3</c:v>
                </c:pt>
                <c:pt idx="6" formatCode="General">
                  <c:v>71.400000000000006</c:v>
                </c:pt>
                <c:pt idx="7" formatCode="General">
                  <c:v>77.5</c:v>
                </c:pt>
                <c:pt idx="8" formatCode="General">
                  <c:v>83.7</c:v>
                </c:pt>
              </c:numCache>
            </c:numRef>
          </c:val>
          <c:extLst>
            <c:ext xmlns:c16="http://schemas.microsoft.com/office/drawing/2014/chart" uri="{C3380CC4-5D6E-409C-BE32-E72D297353CC}">
              <c16:uniqueId val="{00000000-76C2-4CD3-81C5-76DAAD024549}"/>
            </c:ext>
          </c:extLst>
        </c:ser>
        <c:dLbls>
          <c:showLegendKey val="0"/>
          <c:showVal val="0"/>
          <c:showCatName val="0"/>
          <c:showSerName val="0"/>
          <c:showPercent val="0"/>
          <c:showBubbleSize val="0"/>
        </c:dLbls>
        <c:gapWidth val="219"/>
        <c:overlap val="-27"/>
        <c:axId val="418367727"/>
        <c:axId val="418368687"/>
      </c:barChart>
      <c:catAx>
        <c:axId val="418367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368687"/>
        <c:crosses val="autoZero"/>
        <c:auto val="1"/>
        <c:lblAlgn val="ctr"/>
        <c:lblOffset val="100"/>
        <c:noMultiLvlLbl val="0"/>
      </c:catAx>
      <c:valAx>
        <c:axId val="418368687"/>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3677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4.xml"/><Relationship Id="rId7" Type="http://schemas.openxmlformats.org/officeDocument/2006/relationships/chart" Target="../charts/chart8.xml"/><Relationship Id="rId12" Type="http://schemas.openxmlformats.org/officeDocument/2006/relationships/chart" Target="../charts/chart12.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chart" Target="../charts/chart11.xml"/><Relationship Id="rId5" Type="http://schemas.openxmlformats.org/officeDocument/2006/relationships/chart" Target="../charts/chart6.xml"/><Relationship Id="rId10" Type="http://schemas.openxmlformats.org/officeDocument/2006/relationships/chart" Target="../charts/chart10.xml"/><Relationship Id="rId4" Type="http://schemas.openxmlformats.org/officeDocument/2006/relationships/chart" Target="../charts/chart5.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51</xdr:col>
      <xdr:colOff>549087</xdr:colOff>
      <xdr:row>34</xdr:row>
      <xdr:rowOff>31368</xdr:rowOff>
    </xdr:from>
    <xdr:to>
      <xdr:col>61</xdr:col>
      <xdr:colOff>463596</xdr:colOff>
      <xdr:row>50</xdr:row>
      <xdr:rowOff>16092</xdr:rowOff>
    </xdr:to>
    <xdr:pic>
      <xdr:nvPicPr>
        <xdr:cNvPr id="2" name="Picture 1">
          <a:extLst>
            <a:ext uri="{FF2B5EF4-FFF2-40B4-BE49-F238E27FC236}">
              <a16:creationId xmlns:a16="http://schemas.microsoft.com/office/drawing/2014/main" id="{16F8F60E-9A6F-363E-085E-789235E719A7}"/>
            </a:ext>
          </a:extLst>
        </xdr:cNvPr>
        <xdr:cNvPicPr>
          <a:picLocks noChangeAspect="1"/>
        </xdr:cNvPicPr>
      </xdr:nvPicPr>
      <xdr:blipFill>
        <a:blip xmlns:r="http://schemas.openxmlformats.org/officeDocument/2006/relationships" r:embed="rId1"/>
        <a:stretch>
          <a:fillRect/>
        </a:stretch>
      </xdr:blipFill>
      <xdr:spPr>
        <a:xfrm>
          <a:off x="19711146" y="3314692"/>
          <a:ext cx="5965686" cy="30327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28574</xdr:colOff>
      <xdr:row>17</xdr:row>
      <xdr:rowOff>47625</xdr:rowOff>
    </xdr:from>
    <xdr:to>
      <xdr:col>20</xdr:col>
      <xdr:colOff>571499</xdr:colOff>
      <xdr:row>32</xdr:row>
      <xdr:rowOff>133350</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228600</xdr:colOff>
      <xdr:row>48</xdr:row>
      <xdr:rowOff>109537</xdr:rowOff>
    </xdr:from>
    <xdr:to>
      <xdr:col>9</xdr:col>
      <xdr:colOff>466725</xdr:colOff>
      <xdr:row>62</xdr:row>
      <xdr:rowOff>185737</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66675</xdr:colOff>
      <xdr:row>48</xdr:row>
      <xdr:rowOff>109537</xdr:rowOff>
    </xdr:from>
    <xdr:to>
      <xdr:col>18</xdr:col>
      <xdr:colOff>304800</xdr:colOff>
      <xdr:row>62</xdr:row>
      <xdr:rowOff>185737</xdr:rowOff>
    </xdr:to>
    <xdr:graphicFrame macro="">
      <xdr:nvGraphicFramePr>
        <xdr:cNvPr id="3" name="Chart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518432</xdr:colOff>
      <xdr:row>63</xdr:row>
      <xdr:rowOff>123144</xdr:rowOff>
    </xdr:from>
    <xdr:to>
      <xdr:col>18</xdr:col>
      <xdr:colOff>511628</xdr:colOff>
      <xdr:row>78</xdr:row>
      <xdr:rowOff>8844</xdr:rowOff>
    </xdr:to>
    <xdr:graphicFrame macro="">
      <xdr:nvGraphicFramePr>
        <xdr:cNvPr id="4" name="Chart 3">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264431</xdr:colOff>
      <xdr:row>48</xdr:row>
      <xdr:rowOff>109537</xdr:rowOff>
    </xdr:from>
    <xdr:to>
      <xdr:col>36</xdr:col>
      <xdr:colOff>425449</xdr:colOff>
      <xdr:row>63</xdr:row>
      <xdr:rowOff>4308</xdr:rowOff>
    </xdr:to>
    <xdr:graphicFrame macro="">
      <xdr:nvGraphicFramePr>
        <xdr:cNvPr id="5" name="Chart 4">
          <a:extLst>
            <a:ext uri="{FF2B5EF4-FFF2-40B4-BE49-F238E27FC236}">
              <a16:creationId xmlns:a16="http://schemas.microsoft.com/office/drawing/2014/main" id="{00000000-0008-0000-07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86179</xdr:colOff>
      <xdr:row>15</xdr:row>
      <xdr:rowOff>107042</xdr:rowOff>
    </xdr:from>
    <xdr:to>
      <xdr:col>21</xdr:col>
      <xdr:colOff>149679</xdr:colOff>
      <xdr:row>29</xdr:row>
      <xdr:rowOff>36285</xdr:rowOff>
    </xdr:to>
    <xdr:graphicFrame macro="">
      <xdr:nvGraphicFramePr>
        <xdr:cNvPr id="6" name="Chart 5">
          <a:extLst>
            <a:ext uri="{FF2B5EF4-FFF2-40B4-BE49-F238E27FC236}">
              <a16:creationId xmlns:a16="http://schemas.microsoft.com/office/drawing/2014/main" id="{00000000-0008-0000-07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521607</xdr:colOff>
      <xdr:row>18</xdr:row>
      <xdr:rowOff>120649</xdr:rowOff>
    </xdr:from>
    <xdr:to>
      <xdr:col>27</xdr:col>
      <xdr:colOff>476250</xdr:colOff>
      <xdr:row>32</xdr:row>
      <xdr:rowOff>49892</xdr:rowOff>
    </xdr:to>
    <xdr:graphicFrame macro="">
      <xdr:nvGraphicFramePr>
        <xdr:cNvPr id="7" name="Chart 6">
          <a:extLst>
            <a:ext uri="{FF2B5EF4-FFF2-40B4-BE49-F238E27FC236}">
              <a16:creationId xmlns:a16="http://schemas.microsoft.com/office/drawing/2014/main" id="{00000000-0008-0000-07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412750</xdr:colOff>
      <xdr:row>15</xdr:row>
      <xdr:rowOff>107042</xdr:rowOff>
    </xdr:from>
    <xdr:to>
      <xdr:col>20</xdr:col>
      <xdr:colOff>476250</xdr:colOff>
      <xdr:row>30</xdr:row>
      <xdr:rowOff>128814</xdr:rowOff>
    </xdr:to>
    <xdr:graphicFrame macro="">
      <xdr:nvGraphicFramePr>
        <xdr:cNvPr id="8" name="Chart 7">
          <a:extLst>
            <a:ext uri="{FF2B5EF4-FFF2-40B4-BE49-F238E27FC236}">
              <a16:creationId xmlns:a16="http://schemas.microsoft.com/office/drawing/2014/main" id="{00000000-0008-0000-07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30</xdr:col>
      <xdr:colOff>517070</xdr:colOff>
      <xdr:row>8</xdr:row>
      <xdr:rowOff>67358</xdr:rowOff>
    </xdr:from>
    <xdr:to>
      <xdr:col>57</xdr:col>
      <xdr:colOff>112196</xdr:colOff>
      <xdr:row>61</xdr:row>
      <xdr:rowOff>149680</xdr:rowOff>
    </xdr:to>
    <xdr:pic>
      <xdr:nvPicPr>
        <xdr:cNvPr id="9" name="Picture 8">
          <a:extLst>
            <a:ext uri="{FF2B5EF4-FFF2-40B4-BE49-F238E27FC236}">
              <a16:creationId xmlns:a16="http://schemas.microsoft.com/office/drawing/2014/main" id="{00000000-0008-0000-0700-000009000000}"/>
            </a:ext>
          </a:extLst>
        </xdr:cNvPr>
        <xdr:cNvPicPr>
          <a:picLocks noChangeAspect="1"/>
        </xdr:cNvPicPr>
      </xdr:nvPicPr>
      <xdr:blipFill>
        <a:blip xmlns:r="http://schemas.openxmlformats.org/officeDocument/2006/relationships" r:embed="rId8"/>
        <a:stretch>
          <a:fillRect/>
        </a:stretch>
      </xdr:blipFill>
      <xdr:spPr>
        <a:xfrm>
          <a:off x="19675927" y="1591358"/>
          <a:ext cx="16127805" cy="10178822"/>
        </a:xfrm>
        <a:prstGeom prst="rect">
          <a:avLst/>
        </a:prstGeom>
      </xdr:spPr>
    </xdr:pic>
    <xdr:clientData/>
  </xdr:twoCellAnchor>
  <xdr:twoCellAnchor>
    <xdr:from>
      <xdr:col>10</xdr:col>
      <xdr:colOff>278946</xdr:colOff>
      <xdr:row>93</xdr:row>
      <xdr:rowOff>138793</xdr:rowOff>
    </xdr:from>
    <xdr:to>
      <xdr:col>17</xdr:col>
      <xdr:colOff>469446</xdr:colOff>
      <xdr:row>108</xdr:row>
      <xdr:rowOff>24493</xdr:rowOff>
    </xdr:to>
    <xdr:graphicFrame macro="">
      <xdr:nvGraphicFramePr>
        <xdr:cNvPr id="10" name="Chart 9">
          <a:extLst>
            <a:ext uri="{FF2B5EF4-FFF2-40B4-BE49-F238E27FC236}">
              <a16:creationId xmlns:a16="http://schemas.microsoft.com/office/drawing/2014/main" id="{00000000-0008-0000-07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197302</xdr:colOff>
      <xdr:row>68</xdr:row>
      <xdr:rowOff>152399</xdr:rowOff>
    </xdr:from>
    <xdr:to>
      <xdr:col>13</xdr:col>
      <xdr:colOff>489857</xdr:colOff>
      <xdr:row>83</xdr:row>
      <xdr:rowOff>38099</xdr:rowOff>
    </xdr:to>
    <xdr:graphicFrame macro="">
      <xdr:nvGraphicFramePr>
        <xdr:cNvPr id="11" name="Chart 10">
          <a:extLst>
            <a:ext uri="{FF2B5EF4-FFF2-40B4-BE49-F238E27FC236}">
              <a16:creationId xmlns:a16="http://schemas.microsoft.com/office/drawing/2014/main" id="{00000000-0008-0000-07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18</xdr:col>
      <xdr:colOff>564696</xdr:colOff>
      <xdr:row>48</xdr:row>
      <xdr:rowOff>179614</xdr:rowOff>
    </xdr:from>
    <xdr:to>
      <xdr:col>26</xdr:col>
      <xdr:colOff>102053</xdr:colOff>
      <xdr:row>65</xdr:row>
      <xdr:rowOff>65314</xdr:rowOff>
    </xdr:to>
    <xdr:graphicFrame macro="">
      <xdr:nvGraphicFramePr>
        <xdr:cNvPr id="12" name="Chart 11">
          <a:extLst>
            <a:ext uri="{FF2B5EF4-FFF2-40B4-BE49-F238E27FC236}">
              <a16:creationId xmlns:a16="http://schemas.microsoft.com/office/drawing/2014/main" id="{00000000-0008-0000-07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18</xdr:col>
      <xdr:colOff>564696</xdr:colOff>
      <xdr:row>32</xdr:row>
      <xdr:rowOff>179614</xdr:rowOff>
    </xdr:from>
    <xdr:to>
      <xdr:col>26</xdr:col>
      <xdr:colOff>102053</xdr:colOff>
      <xdr:row>47</xdr:row>
      <xdr:rowOff>65314</xdr:rowOff>
    </xdr:to>
    <xdr:graphicFrame macro="">
      <xdr:nvGraphicFramePr>
        <xdr:cNvPr id="13" name="Chart 12">
          <a:extLst>
            <a:ext uri="{FF2B5EF4-FFF2-40B4-BE49-F238E27FC236}">
              <a16:creationId xmlns:a16="http://schemas.microsoft.com/office/drawing/2014/main" id="{00000000-0008-0000-07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12</xdr:col>
          <xdr:colOff>0</xdr:colOff>
          <xdr:row>0</xdr:row>
          <xdr:rowOff>19050</xdr:rowOff>
        </xdr:from>
        <xdr:to>
          <xdr:col>16</xdr:col>
          <xdr:colOff>603250</xdr:colOff>
          <xdr:row>1</xdr:row>
          <xdr:rowOff>114300</xdr:rowOff>
        </xdr:to>
        <xdr:sp macro="" textlink="">
          <xdr:nvSpPr>
            <xdr:cNvPr id="2049" name="Button 1" hidden="1">
              <a:extLst>
                <a:ext uri="{63B3BB69-23CF-44E3-9099-C40C66FF867C}">
                  <a14:compatExt spid="_x0000_s2049"/>
                </a:ext>
                <a:ext uri="{FF2B5EF4-FFF2-40B4-BE49-F238E27FC236}">
                  <a16:creationId xmlns:a16="http://schemas.microsoft.com/office/drawing/2014/main" id="{00000000-0008-0000-0F00-0000010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US" sz="1000" b="1" i="0" u="none" strike="noStrike" baseline="0">
                  <a:solidFill>
                    <a:srgbClr val="000000"/>
                  </a:solidFill>
                  <a:latin typeface="Arial"/>
                  <a:cs typeface="Arial"/>
                </a:rPr>
                <a:t>Print Tearsheet</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atrockcap.sharepoint.com/Users/DanB/Documents/CRC%20Tearsheet-FINALv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_CIQHiddenCacheSheet"/>
      <sheetName val="Tearsheet"/>
      <sheetName val="Ticker List"/>
      <sheetName val="Sheet1"/>
      <sheetName val="CRC Tearsheet-FINALv2"/>
    </sheetNames>
    <definedNames>
      <definedName name="IterateValues"/>
    </definedNames>
    <sheetDataSet>
      <sheetData sheetId="0"/>
      <sheetData sheetId="1"/>
      <sheetData sheetId="2"/>
      <sheetData sheetId="3"/>
      <sheetData sheetId="4" refreshError="1"/>
    </sheetDataSet>
  </externalBook>
</externalLink>
</file>

<file path=xl/persons/person.xml><?xml version="1.0" encoding="utf-8"?>
<personList xmlns="http://schemas.microsoft.com/office/spreadsheetml/2018/threadedcomments" xmlns:x="http://schemas.openxmlformats.org/spreadsheetml/2006/main">
  <person displayName="Dan Berring" id="{DF1E0AC9-4E18-42C6-8D45-57EF6CF4603A}" userId="S::dberring@catrockcap.com::0657c977-a13c-4668-bf06-1540a84f18b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S145" dT="2023-08-08T16:28:35.68" personId="{DF1E0AC9-4E18-42C6-8D45-57EF6CF4603A}" id="{DC317375-83F1-4607-9C57-AE95AA6662DF}">
    <text xml:space="preserve">Call: The average award across the non-sales roles was in the region of 7% once promotions and benchmarking adjustments are included, but we also uplifted starting salaries in the sales department by 20%. And that latter measure has a ripple effect across most of the sales organizations such that the overall effect is a blended average increase across the whole company period-on-period for existing staff of around 11%. </text>
  </threadedComment>
</ThreadedComments>
</file>

<file path=xl/threadedComments/threadedComment2.xml><?xml version="1.0" encoding="utf-8"?>
<ThreadedComments xmlns="http://schemas.microsoft.com/office/spreadsheetml/2018/threadedcomments" xmlns:x="http://schemas.openxmlformats.org/spreadsheetml/2006/main">
  <threadedComment ref="U15" dT="2024-03-20T12:14:32.97" personId="{DF1E0AC9-4E18-42C6-8D45-57EF6CF4603A}" id="{EE62DB0D-3A5F-4935-BD89-B19A36841A8D}">
    <text>&gt;9%</text>
  </threadedComment>
</ThreadedComment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9.bin"/><Relationship Id="rId1" Type="http://schemas.openxmlformats.org/officeDocument/2006/relationships/hyperlink" Target="https://www.softcat.com/about-us/investor-centre" TargetMode="External"/><Relationship Id="rId4" Type="http://schemas.openxmlformats.org/officeDocument/2006/relationships/comments" Target="../comments4.xm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0.bin"/><Relationship Id="rId1" Type="http://schemas.openxmlformats.org/officeDocument/2006/relationships/hyperlink" Target="https://home.kpmg.com/xx/en/home/services/tax/tax-tools-and-resources/tax-rates-online/corporate-tax-rates-table.html" TargetMode="External"/><Relationship Id="rId5" Type="http://schemas.openxmlformats.org/officeDocument/2006/relationships/ctrlProp" Target="../ctrlProps/ctrlProp1.xml"/><Relationship Id="rId4"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8.bin"/><Relationship Id="rId5" Type="http://schemas.microsoft.com/office/2017/10/relationships/threadedComment" Target="../threadedComments/threadedComment2.xml"/><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BF580A-DCCD-4625-A0E1-AEFCFD0DB700}">
  <dimension ref="A1"/>
  <sheetViews>
    <sheetView workbookViewId="0"/>
  </sheetViews>
  <sheetFormatPr defaultRowHeight="14.5" x14ac:dyDescent="0.35"/>
  <sheetData>
    <row r="1" spans="1:1" x14ac:dyDescent="0.35">
      <c r="A1" t="s">
        <v>1490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9E716-9C5C-468F-92F0-BD38F002005A}">
  <dimension ref="A1:AD2212"/>
  <sheetViews>
    <sheetView topLeftCell="A10" zoomScale="70" zoomScaleNormal="70" workbookViewId="0">
      <selection activeCell="I28" sqref="I28"/>
    </sheetView>
  </sheetViews>
  <sheetFormatPr defaultRowHeight="14.5" x14ac:dyDescent="0.35"/>
  <cols>
    <col min="2" max="6" width="10.1796875" bestFit="1" customWidth="1"/>
    <col min="7" max="24" width="9.26953125" bestFit="1" customWidth="1"/>
    <col min="25" max="29" width="9.54296875" bestFit="1" customWidth="1"/>
    <col min="30" max="30" width="10.1796875" bestFit="1" customWidth="1"/>
  </cols>
  <sheetData>
    <row r="1" spans="1:30" x14ac:dyDescent="0.35">
      <c r="A1" t="s">
        <v>479</v>
      </c>
    </row>
    <row r="2" spans="1:30" s="1423" customFormat="1" x14ac:dyDescent="0.35">
      <c r="A2" s="1422"/>
    </row>
    <row r="3" spans="1:30" x14ac:dyDescent="0.35">
      <c r="A3" s="1421" t="s">
        <v>543</v>
      </c>
    </row>
    <row r="4" spans="1:30" x14ac:dyDescent="0.35">
      <c r="B4">
        <v>1995</v>
      </c>
      <c r="C4">
        <f>+B4+1</f>
        <v>1996</v>
      </c>
      <c r="D4">
        <f t="shared" ref="D4:S4" si="0">+C4+1</f>
        <v>1997</v>
      </c>
      <c r="E4">
        <f t="shared" si="0"/>
        <v>1998</v>
      </c>
      <c r="F4">
        <f t="shared" si="0"/>
        <v>1999</v>
      </c>
      <c r="G4">
        <f t="shared" si="0"/>
        <v>2000</v>
      </c>
      <c r="H4">
        <f t="shared" si="0"/>
        <v>2001</v>
      </c>
      <c r="I4">
        <f t="shared" si="0"/>
        <v>2002</v>
      </c>
      <c r="J4">
        <f t="shared" si="0"/>
        <v>2003</v>
      </c>
      <c r="K4">
        <f t="shared" si="0"/>
        <v>2004</v>
      </c>
      <c r="L4">
        <f t="shared" si="0"/>
        <v>2005</v>
      </c>
      <c r="M4">
        <f t="shared" si="0"/>
        <v>2006</v>
      </c>
      <c r="N4">
        <f t="shared" si="0"/>
        <v>2007</v>
      </c>
      <c r="O4">
        <f t="shared" si="0"/>
        <v>2008</v>
      </c>
      <c r="P4">
        <f t="shared" si="0"/>
        <v>2009</v>
      </c>
      <c r="Q4">
        <f t="shared" si="0"/>
        <v>2010</v>
      </c>
      <c r="R4">
        <f t="shared" si="0"/>
        <v>2011</v>
      </c>
      <c r="S4">
        <f t="shared" si="0"/>
        <v>2012</v>
      </c>
      <c r="T4">
        <f t="shared" ref="T4:Y4" si="1">+S4+1</f>
        <v>2013</v>
      </c>
      <c r="U4">
        <f t="shared" si="1"/>
        <v>2014</v>
      </c>
      <c r="V4">
        <f t="shared" si="1"/>
        <v>2015</v>
      </c>
      <c r="W4">
        <f t="shared" si="1"/>
        <v>2016</v>
      </c>
      <c r="X4">
        <f t="shared" si="1"/>
        <v>2017</v>
      </c>
      <c r="Y4">
        <f t="shared" si="1"/>
        <v>2018</v>
      </c>
      <c r="Z4">
        <f t="shared" ref="Z4:AB4" si="2">+Y4+1</f>
        <v>2019</v>
      </c>
      <c r="AA4">
        <f t="shared" si="2"/>
        <v>2020</v>
      </c>
      <c r="AB4">
        <f t="shared" si="2"/>
        <v>2021</v>
      </c>
      <c r="AC4">
        <f t="shared" ref="AC4:AD4" si="3">+AB4+1</f>
        <v>2022</v>
      </c>
      <c r="AD4">
        <f t="shared" si="3"/>
        <v>2023</v>
      </c>
    </row>
    <row r="5" spans="1:30" x14ac:dyDescent="0.35">
      <c r="B5" t="s">
        <v>368</v>
      </c>
      <c r="C5" t="str">
        <f>+B5</f>
        <v>FY</v>
      </c>
      <c r="D5" t="str">
        <f t="shared" ref="D5:S5" si="4">+C5</f>
        <v>FY</v>
      </c>
      <c r="E5" t="str">
        <f t="shared" si="4"/>
        <v>FY</v>
      </c>
      <c r="F5" t="str">
        <f t="shared" si="4"/>
        <v>FY</v>
      </c>
      <c r="G5" t="str">
        <f t="shared" si="4"/>
        <v>FY</v>
      </c>
      <c r="H5" t="str">
        <f t="shared" si="4"/>
        <v>FY</v>
      </c>
      <c r="I5" t="str">
        <f t="shared" si="4"/>
        <v>FY</v>
      </c>
      <c r="J5" t="str">
        <f t="shared" si="4"/>
        <v>FY</v>
      </c>
      <c r="K5" t="str">
        <f t="shared" si="4"/>
        <v>FY</v>
      </c>
      <c r="L5" t="str">
        <f t="shared" si="4"/>
        <v>FY</v>
      </c>
      <c r="M5" t="str">
        <f t="shared" si="4"/>
        <v>FY</v>
      </c>
      <c r="N5" t="str">
        <f t="shared" si="4"/>
        <v>FY</v>
      </c>
      <c r="O5" t="str">
        <f t="shared" si="4"/>
        <v>FY</v>
      </c>
      <c r="P5" t="str">
        <f t="shared" si="4"/>
        <v>FY</v>
      </c>
      <c r="Q5" t="str">
        <f t="shared" si="4"/>
        <v>FY</v>
      </c>
      <c r="R5" t="str">
        <f t="shared" si="4"/>
        <v>FY</v>
      </c>
      <c r="S5" t="str">
        <f t="shared" si="4"/>
        <v>FY</v>
      </c>
      <c r="T5" t="str">
        <f t="shared" ref="T5:Y5" si="5">+S5</f>
        <v>FY</v>
      </c>
      <c r="U5" t="str">
        <f t="shared" si="5"/>
        <v>FY</v>
      </c>
      <c r="V5" t="str">
        <f t="shared" si="5"/>
        <v>FY</v>
      </c>
      <c r="W5" t="str">
        <f t="shared" si="5"/>
        <v>FY</v>
      </c>
      <c r="X5" t="str">
        <f t="shared" si="5"/>
        <v>FY</v>
      </c>
      <c r="Y5" t="str">
        <f t="shared" si="5"/>
        <v>FY</v>
      </c>
      <c r="Z5" t="str">
        <f t="shared" ref="Z5:AB5" si="6">+Y5</f>
        <v>FY</v>
      </c>
      <c r="AA5" t="str">
        <f t="shared" si="6"/>
        <v>FY</v>
      </c>
      <c r="AB5" t="str">
        <f t="shared" si="6"/>
        <v>FY</v>
      </c>
      <c r="AC5" t="str">
        <f t="shared" ref="AC5:AD5" si="7">+AB5</f>
        <v>FY</v>
      </c>
      <c r="AD5" t="str">
        <f t="shared" si="7"/>
        <v>FY</v>
      </c>
    </row>
    <row r="6" spans="1:30" x14ac:dyDescent="0.35">
      <c r="B6" t="str">
        <f>B5&amp;B4</f>
        <v>FY1995</v>
      </c>
      <c r="C6" t="str">
        <f t="shared" ref="C6:AD6" si="8">C5&amp;C4</f>
        <v>FY1996</v>
      </c>
      <c r="D6" t="str">
        <f t="shared" si="8"/>
        <v>FY1997</v>
      </c>
      <c r="E6" t="str">
        <f t="shared" si="8"/>
        <v>FY1998</v>
      </c>
      <c r="F6" t="str">
        <f t="shared" si="8"/>
        <v>FY1999</v>
      </c>
      <c r="G6" t="str">
        <f t="shared" si="8"/>
        <v>FY2000</v>
      </c>
      <c r="H6" t="str">
        <f t="shared" si="8"/>
        <v>FY2001</v>
      </c>
      <c r="I6" t="str">
        <f t="shared" si="8"/>
        <v>FY2002</v>
      </c>
      <c r="J6" t="str">
        <f t="shared" si="8"/>
        <v>FY2003</v>
      </c>
      <c r="K6" t="str">
        <f t="shared" si="8"/>
        <v>FY2004</v>
      </c>
      <c r="L6" t="str">
        <f t="shared" si="8"/>
        <v>FY2005</v>
      </c>
      <c r="M6" t="str">
        <f t="shared" si="8"/>
        <v>FY2006</v>
      </c>
      <c r="N6" t="str">
        <f t="shared" si="8"/>
        <v>FY2007</v>
      </c>
      <c r="O6" t="str">
        <f t="shared" si="8"/>
        <v>FY2008</v>
      </c>
      <c r="P6" t="str">
        <f t="shared" si="8"/>
        <v>FY2009</v>
      </c>
      <c r="Q6" t="str">
        <f t="shared" si="8"/>
        <v>FY2010</v>
      </c>
      <c r="R6" t="str">
        <f t="shared" si="8"/>
        <v>FY2011</v>
      </c>
      <c r="S6" t="str">
        <f t="shared" si="8"/>
        <v>FY2012</v>
      </c>
      <c r="T6" t="str">
        <f t="shared" si="8"/>
        <v>FY2013</v>
      </c>
      <c r="U6" t="str">
        <f t="shared" si="8"/>
        <v>FY2014</v>
      </c>
      <c r="V6" t="str">
        <f t="shared" si="8"/>
        <v>FY2015</v>
      </c>
      <c r="W6" t="str">
        <f t="shared" si="8"/>
        <v>FY2016</v>
      </c>
      <c r="X6" t="str">
        <f t="shared" si="8"/>
        <v>FY2017</v>
      </c>
      <c r="Y6" t="str">
        <f t="shared" si="8"/>
        <v>FY2018</v>
      </c>
      <c r="Z6" t="str">
        <f t="shared" si="8"/>
        <v>FY2019</v>
      </c>
      <c r="AA6" t="str">
        <f t="shared" si="8"/>
        <v>FY2020</v>
      </c>
      <c r="AB6" t="str">
        <f t="shared" si="8"/>
        <v>FY2021</v>
      </c>
      <c r="AC6" t="str">
        <f t="shared" si="8"/>
        <v>FY2022</v>
      </c>
      <c r="AD6" t="str">
        <f t="shared" si="8"/>
        <v>FY2023</v>
      </c>
    </row>
    <row r="7" spans="1:30" x14ac:dyDescent="0.35">
      <c r="A7" t="s">
        <v>277</v>
      </c>
      <c r="B7" s="1424">
        <f>+'Disclosed financials'!Z255</f>
        <v>1.8</v>
      </c>
      <c r="C7" s="1424">
        <f>+'Disclosed financials'!AA255</f>
        <v>3.3957359999999999</v>
      </c>
      <c r="D7" s="1424">
        <f>+'Disclosed financials'!AB255</f>
        <v>4.7642249999999997</v>
      </c>
      <c r="E7" s="1424">
        <f>+'Disclosed financials'!AC255</f>
        <v>9.0365660000000005</v>
      </c>
      <c r="F7" s="1424">
        <f>+'Disclosed financials'!AD255</f>
        <v>16.317861000000001</v>
      </c>
      <c r="G7" s="1424">
        <f>+'Disclosed financials'!AE255</f>
        <v>18.367162</v>
      </c>
      <c r="H7" s="1424">
        <f>+'Disclosed financials'!AF255</f>
        <v>31.868970000000001</v>
      </c>
      <c r="I7" s="1424">
        <f>+'Disclosed financials'!AG255</f>
        <v>38.608544999999999</v>
      </c>
      <c r="J7" s="1424">
        <f>+'Disclosed financials'!AH255</f>
        <v>39.477041</v>
      </c>
      <c r="K7" s="1424">
        <f>+'Disclosed financials'!AI255</f>
        <v>51.132738000000003</v>
      </c>
      <c r="L7" s="1424">
        <f>+'Disclosed financials'!AJ255</f>
        <v>57.104958000000003</v>
      </c>
      <c r="M7" s="1424">
        <f>+'Disclosed financials'!AK255</f>
        <v>67.277880999999994</v>
      </c>
      <c r="N7" s="1424">
        <f>+'Disclosed financials'!AL255</f>
        <v>89.142482000000001</v>
      </c>
      <c r="O7" s="1424">
        <f>+'Disclosed financials'!AM255</f>
        <v>102.915905</v>
      </c>
      <c r="P7" s="1424">
        <f>+'Disclosed financials'!AN255</f>
        <v>113.11424700000001</v>
      </c>
      <c r="Q7" s="1424">
        <f>+'Disclosed financials'!AO255</f>
        <v>145.75140099999999</v>
      </c>
      <c r="R7" s="1424">
        <f>+'Disclosed financials'!AP255</f>
        <v>219.22811799999999</v>
      </c>
      <c r="S7" s="1424">
        <f>+'Disclosed financials'!AQ255</f>
        <v>304.055497</v>
      </c>
      <c r="T7" s="1424">
        <f>+'Disclosed financials'!AR255</f>
        <v>395.75599999999997</v>
      </c>
      <c r="U7" s="1424">
        <f>+'Disclosed financials'!AS255</f>
        <v>504.79700000000003</v>
      </c>
      <c r="V7" s="1424">
        <f>+'Disclosed financials'!AT255</f>
        <v>596.08399999999995</v>
      </c>
      <c r="W7" s="1424">
        <f>+'Disclosed financials'!AU255</f>
        <v>672.351</v>
      </c>
      <c r="X7" s="1424">
        <f>+'Disclosed financials'!AV255</f>
        <v>832.476</v>
      </c>
      <c r="Y7" s="1424">
        <f>+'Disclosed financials'!AW255</f>
        <v>1081.6780000000001</v>
      </c>
      <c r="Z7" s="1424">
        <f>+'Disclosed financials'!AX255</f>
        <v>1414.0640000000001</v>
      </c>
      <c r="AA7" s="1424">
        <f>+'Disclosed financials'!AY255</f>
        <v>1646.191</v>
      </c>
      <c r="AB7" s="1424">
        <f>+'Disclosed financials'!AZ255</f>
        <v>1938.44</v>
      </c>
      <c r="AC7" s="1424">
        <f>+'Disclosed financials'!BA255</f>
        <v>2507.5369999999998</v>
      </c>
      <c r="AD7" s="1424">
        <f>+'Disclosed financials'!BB255</f>
        <v>2563</v>
      </c>
    </row>
    <row r="9" spans="1:30" x14ac:dyDescent="0.35">
      <c r="C9" t="str">
        <f>+C6</f>
        <v>FY1996</v>
      </c>
      <c r="D9" t="str">
        <f t="shared" ref="D9:AD9" si="9">+D6</f>
        <v>FY1997</v>
      </c>
      <c r="E9" t="str">
        <f t="shared" si="9"/>
        <v>FY1998</v>
      </c>
      <c r="F9" t="str">
        <f t="shared" si="9"/>
        <v>FY1999</v>
      </c>
      <c r="G9" t="str">
        <f t="shared" si="9"/>
        <v>FY2000</v>
      </c>
      <c r="H9" t="str">
        <f t="shared" si="9"/>
        <v>FY2001</v>
      </c>
      <c r="I9" t="str">
        <f t="shared" si="9"/>
        <v>FY2002</v>
      </c>
      <c r="J9" t="str">
        <f t="shared" si="9"/>
        <v>FY2003</v>
      </c>
      <c r="K9" t="str">
        <f t="shared" si="9"/>
        <v>FY2004</v>
      </c>
      <c r="L9" t="str">
        <f t="shared" si="9"/>
        <v>FY2005</v>
      </c>
      <c r="M9" t="str">
        <f t="shared" si="9"/>
        <v>FY2006</v>
      </c>
      <c r="N9" t="str">
        <f t="shared" si="9"/>
        <v>FY2007</v>
      </c>
      <c r="O9" t="str">
        <f t="shared" si="9"/>
        <v>FY2008</v>
      </c>
      <c r="P9" t="str">
        <f t="shared" si="9"/>
        <v>FY2009</v>
      </c>
      <c r="Q9" t="str">
        <f t="shared" si="9"/>
        <v>FY2010</v>
      </c>
      <c r="R9" t="str">
        <f t="shared" si="9"/>
        <v>FY2011</v>
      </c>
      <c r="S9" t="str">
        <f t="shared" si="9"/>
        <v>FY2012</v>
      </c>
      <c r="T9" t="str">
        <f t="shared" si="9"/>
        <v>FY2013</v>
      </c>
      <c r="U9" t="str">
        <f t="shared" si="9"/>
        <v>FY2014</v>
      </c>
      <c r="V9" t="str">
        <f t="shared" si="9"/>
        <v>FY2015</v>
      </c>
      <c r="W9" t="str">
        <f t="shared" si="9"/>
        <v>FY2016</v>
      </c>
      <c r="X9" t="str">
        <f t="shared" si="9"/>
        <v>FY2017</v>
      </c>
      <c r="Y9" t="str">
        <f t="shared" si="9"/>
        <v>FY2018</v>
      </c>
      <c r="Z9" t="str">
        <f t="shared" si="9"/>
        <v>FY2019</v>
      </c>
      <c r="AA9" t="str">
        <f t="shared" si="9"/>
        <v>FY2020</v>
      </c>
      <c r="AB9" t="str">
        <f t="shared" si="9"/>
        <v>FY2021</v>
      </c>
      <c r="AC9" t="str">
        <f t="shared" si="9"/>
        <v>FY2022</v>
      </c>
      <c r="AD9" t="str">
        <f t="shared" si="9"/>
        <v>FY2023</v>
      </c>
    </row>
    <row r="10" spans="1:30" x14ac:dyDescent="0.35">
      <c r="A10" t="s">
        <v>42</v>
      </c>
      <c r="C10" s="1424">
        <f>+'CapIQ - as disclosed'!C33/1000000</f>
        <v>0.99591399999999997</v>
      </c>
      <c r="D10" s="1424">
        <f>+'CapIQ - as disclosed'!D33/1000000</f>
        <v>1.2314290000000001</v>
      </c>
      <c r="E10" s="1424">
        <f>+'CapIQ - as disclosed'!E33/1000000</f>
        <v>1.958753</v>
      </c>
      <c r="F10" s="1424">
        <f>+'CapIQ - as disclosed'!F33/1000000</f>
        <v>2.8095539999999999</v>
      </c>
      <c r="G10" s="1424">
        <f>+'CapIQ - as disclosed'!G33/1000000</f>
        <v>3.1774810000000002</v>
      </c>
      <c r="H10" s="1424">
        <f>+'CapIQ - as disclosed'!H33/1000000</f>
        <v>4.5370400000000002</v>
      </c>
      <c r="I10" s="1424">
        <f>+'Historicals and forecast'!AB22</f>
        <v>7.152474999999999</v>
      </c>
      <c r="J10" s="1424">
        <f>+'Historicals and forecast'!AC22</f>
        <v>7.3485730000000018</v>
      </c>
      <c r="K10" s="1424">
        <f>+'Historicals and forecast'!AD22</f>
        <v>8.7063690000000022</v>
      </c>
      <c r="L10" s="1424">
        <f>+'Historicals and forecast'!AE22</f>
        <v>8.562453000000005</v>
      </c>
      <c r="M10" s="1424">
        <f>+'Historicals and forecast'!AF22</f>
        <v>10.858686999999996</v>
      </c>
      <c r="N10" s="1424">
        <f>+'Historicals and forecast'!AG22</f>
        <v>15.195045000000007</v>
      </c>
      <c r="O10" s="1424">
        <f>+'Historicals and forecast'!AH22</f>
        <v>19.758426999999998</v>
      </c>
      <c r="P10" s="1424">
        <f>+'Historicals and forecast'!AI22</f>
        <v>22.08221300000001</v>
      </c>
      <c r="Q10" s="1424">
        <f>+'Historicals and forecast'!AJ22</f>
        <v>28.518751999999992</v>
      </c>
      <c r="R10" s="1424">
        <f>+'Historicals and forecast'!AK22</f>
        <v>43.306200999999987</v>
      </c>
      <c r="S10" s="1424">
        <f>+'Historicals and forecast'!AL22</f>
        <v>56.284425999999996</v>
      </c>
      <c r="T10" s="1424">
        <f>+'Historicals and forecast'!AM22</f>
        <v>70.510999999999967</v>
      </c>
      <c r="U10" s="1424">
        <f>+'Historicals and forecast'!AN22</f>
        <v>88.521000000000015</v>
      </c>
      <c r="V10" s="1424">
        <f>+'Historicals and forecast'!AO22</f>
        <v>102.77500000000001</v>
      </c>
      <c r="W10" s="1424">
        <f>+'Historicals and forecast'!AP22</f>
        <v>120.71699999999998</v>
      </c>
      <c r="X10" s="1424">
        <f>+'Historicals and forecast'!AQ22</f>
        <v>136.303</v>
      </c>
      <c r="Y10" s="1424">
        <f>+'Historicals and forecast'!AR22</f>
        <v>175.16300000000001</v>
      </c>
      <c r="Z10" s="1424">
        <f>+'Historicals and forecast'!AS22</f>
        <v>211.14300000000003</v>
      </c>
      <c r="AA10" s="1424">
        <f>+'Historicals and forecast'!AT22</f>
        <v>235.70499999999993</v>
      </c>
      <c r="AB10" s="1424">
        <f>+'Historicals and forecast'!AU22</f>
        <v>276.35799999999995</v>
      </c>
      <c r="AC10" s="1424">
        <f>+'Historicals and forecast'!AV22</f>
        <v>327.20999999999992</v>
      </c>
      <c r="AD10" s="1424">
        <f>+'Historicals and forecast'!AW22</f>
        <v>373.83</v>
      </c>
    </row>
    <row r="11" spans="1:30" x14ac:dyDescent="0.35">
      <c r="M11" t="s">
        <v>544</v>
      </c>
      <c r="Y11" t="s">
        <v>545</v>
      </c>
      <c r="AD11" t="s">
        <v>546</v>
      </c>
    </row>
    <row r="12" spans="1:30" x14ac:dyDescent="0.35">
      <c r="M12">
        <f>(M10/C10)^(1/10)-1</f>
        <v>0.26985913567945086</v>
      </c>
      <c r="Y12">
        <f>(Y10/M10)^(1/12)-1</f>
        <v>0.26077838615684046</v>
      </c>
      <c r="AD12">
        <f>(AD10/Y10)^(1/5)-1</f>
        <v>0.16371425750208801</v>
      </c>
    </row>
    <row r="13" spans="1:30" x14ac:dyDescent="0.35">
      <c r="O13">
        <f>(O10/C10)^(1/12)-1</f>
        <v>0.28270723428923028</v>
      </c>
      <c r="AD13">
        <f>+(AD10/C10)^(1/27)-1</f>
        <v>0.24551822201451778</v>
      </c>
    </row>
    <row r="14" spans="1:30" x14ac:dyDescent="0.35">
      <c r="C14" t="str">
        <f>+C9</f>
        <v>FY1996</v>
      </c>
      <c r="D14" t="str">
        <f t="shared" ref="D14:AD14" si="10">+D9</f>
        <v>FY1997</v>
      </c>
      <c r="E14" t="str">
        <f t="shared" si="10"/>
        <v>FY1998</v>
      </c>
      <c r="F14" t="str">
        <f t="shared" si="10"/>
        <v>FY1999</v>
      </c>
      <c r="G14" t="str">
        <f t="shared" si="10"/>
        <v>FY2000</v>
      </c>
      <c r="H14" t="str">
        <f t="shared" si="10"/>
        <v>FY2001</v>
      </c>
      <c r="I14" t="str">
        <f t="shared" si="10"/>
        <v>FY2002</v>
      </c>
      <c r="J14" t="str">
        <f t="shared" si="10"/>
        <v>FY2003</v>
      </c>
      <c r="K14" t="str">
        <f t="shared" si="10"/>
        <v>FY2004</v>
      </c>
      <c r="L14" t="str">
        <f t="shared" si="10"/>
        <v>FY2005</v>
      </c>
      <c r="M14" t="str">
        <f t="shared" si="10"/>
        <v>FY2006</v>
      </c>
      <c r="N14" t="str">
        <f t="shared" si="10"/>
        <v>FY2007</v>
      </c>
      <c r="O14" t="str">
        <f t="shared" si="10"/>
        <v>FY2008</v>
      </c>
      <c r="P14" t="str">
        <f t="shared" si="10"/>
        <v>FY2009</v>
      </c>
      <c r="Q14" t="str">
        <f t="shared" si="10"/>
        <v>FY2010</v>
      </c>
      <c r="R14" t="str">
        <f t="shared" si="10"/>
        <v>FY2011</v>
      </c>
      <c r="S14" t="str">
        <f t="shared" si="10"/>
        <v>FY2012</v>
      </c>
      <c r="T14" t="str">
        <f t="shared" si="10"/>
        <v>FY2013</v>
      </c>
      <c r="U14" t="str">
        <f t="shared" si="10"/>
        <v>FY2014</v>
      </c>
      <c r="V14" t="str">
        <f t="shared" si="10"/>
        <v>FY2015</v>
      </c>
      <c r="W14" t="str">
        <f t="shared" si="10"/>
        <v>FY2016</v>
      </c>
      <c r="X14" t="str">
        <f t="shared" si="10"/>
        <v>FY2017</v>
      </c>
      <c r="Y14" t="str">
        <f t="shared" si="10"/>
        <v>FY2018</v>
      </c>
      <c r="Z14" t="str">
        <f t="shared" si="10"/>
        <v>FY2019</v>
      </c>
      <c r="AA14" t="str">
        <f t="shared" si="10"/>
        <v>FY2020</v>
      </c>
      <c r="AB14" t="str">
        <f t="shared" si="10"/>
        <v>FY2021</v>
      </c>
      <c r="AC14" t="str">
        <f t="shared" si="10"/>
        <v>FY2022</v>
      </c>
      <c r="AD14" t="str">
        <f t="shared" si="10"/>
        <v>FY2023</v>
      </c>
    </row>
    <row r="15" spans="1:30" x14ac:dyDescent="0.35">
      <c r="A15" t="s">
        <v>47</v>
      </c>
      <c r="C15" s="1424">
        <f>+'CapIQ - as disclosed'!C37/1000000</f>
        <v>4.8992000000000001E-2</v>
      </c>
      <c r="D15" s="1424">
        <f>+'CapIQ - as disclosed'!D37/1000000</f>
        <v>0.18196499999999999</v>
      </c>
      <c r="E15" s="1424">
        <f>+'CapIQ - as disclosed'!E37/1000000</f>
        <v>0.48083399999999998</v>
      </c>
      <c r="F15" s="1424">
        <f>+'CapIQ - as disclosed'!F37/1000000</f>
        <v>0.77657500000000002</v>
      </c>
      <c r="G15" s="1424">
        <f>+'CapIQ - as disclosed'!G37/1000000</f>
        <v>0.53351099999999996</v>
      </c>
      <c r="H15" s="1424">
        <f>+'CapIQ - as disclosed'!H37/1000000</f>
        <v>0.80632999999999999</v>
      </c>
      <c r="I15" s="1424">
        <f>+'CapIQ - as disclosed'!I37/1000000</f>
        <v>1.1837200000000001</v>
      </c>
      <c r="J15" s="1424">
        <f>+'Historicals and forecast'!AC45</f>
        <v>1.6568710000000015</v>
      </c>
      <c r="K15" s="1424">
        <f>+'Historicals and forecast'!AD45</f>
        <v>1.9936170000000024</v>
      </c>
      <c r="L15" s="1424">
        <f>+'Historicals and forecast'!AE45</f>
        <v>1.147129000000005</v>
      </c>
      <c r="M15" s="1424">
        <f>+'Historicals and forecast'!AF45</f>
        <v>1.3125009999999957</v>
      </c>
      <c r="N15" s="1424">
        <f>+'Historicals and forecast'!AG45</f>
        <v>3.3336380000000077</v>
      </c>
      <c r="O15" s="1424">
        <f>+'Historicals and forecast'!AH45</f>
        <v>5.7374389999999984</v>
      </c>
      <c r="P15" s="1424">
        <f>+'Historicals and forecast'!AI45</f>
        <v>7.4000070000000093</v>
      </c>
      <c r="Q15" s="1424">
        <f>+'Historicals and forecast'!AJ45</f>
        <v>10.032754999999991</v>
      </c>
      <c r="R15" s="1424">
        <f>+'Historicals and forecast'!AK45</f>
        <v>16.289691999999988</v>
      </c>
      <c r="S15" s="1424">
        <f>+'Historicals and forecast'!AL45</f>
        <v>22.290106999999999</v>
      </c>
      <c r="T15" s="1424">
        <f>+'Historicals and forecast'!AM45</f>
        <v>27.367999999999967</v>
      </c>
      <c r="U15" s="1424">
        <f>+'Historicals and forecast'!AN45</f>
        <v>35.528000000000013</v>
      </c>
      <c r="V15" s="1424">
        <f>+'Historicals and forecast'!AO45</f>
        <v>40.580999999999925</v>
      </c>
      <c r="W15" s="1424">
        <f>+'Historicals and forecast'!AP45</f>
        <v>45.862999999999985</v>
      </c>
      <c r="X15" s="1424">
        <f>+'Historicals and forecast'!AQ45</f>
        <v>50.151999999999994</v>
      </c>
      <c r="Y15" s="1424">
        <f>+'Historicals and forecast'!AR45</f>
        <v>68.022000000000006</v>
      </c>
      <c r="Z15" s="1424">
        <f>+'Historicals and forecast'!AS45</f>
        <v>83.733000000000047</v>
      </c>
      <c r="AA15" s="1424">
        <f>+'Historicals and forecast'!AT45</f>
        <v>93.205999999999918</v>
      </c>
      <c r="AB15" s="1424">
        <f>+'Historicals and forecast'!AU45</f>
        <v>119.19799999999992</v>
      </c>
      <c r="AC15" s="1424">
        <f>+'Historicals and forecast'!AV45</f>
        <v>136.20099999999988</v>
      </c>
      <c r="AD15" s="1424">
        <f>+'Historicals and forecast'!AW45</f>
        <v>140.9</v>
      </c>
    </row>
    <row r="16" spans="1:30" x14ac:dyDescent="0.35">
      <c r="A16" t="s">
        <v>547</v>
      </c>
      <c r="C16" s="1425">
        <f>+C15/C10</f>
        <v>4.9193002608658984E-2</v>
      </c>
      <c r="D16" s="1425">
        <f t="shared" ref="D16:AD16" si="11">+D15/D10</f>
        <v>0.14776734996495938</v>
      </c>
      <c r="E16" s="1425">
        <f t="shared" si="11"/>
        <v>0.24547964955254695</v>
      </c>
      <c r="F16" s="1425">
        <f t="shared" si="11"/>
        <v>0.27640508066404845</v>
      </c>
      <c r="G16" s="1425">
        <f t="shared" si="11"/>
        <v>0.16790375772506583</v>
      </c>
      <c r="H16" s="1425">
        <f t="shared" si="11"/>
        <v>0.17772159822262973</v>
      </c>
      <c r="I16" s="1425">
        <f t="shared" si="11"/>
        <v>0.16549795700089834</v>
      </c>
      <c r="J16" s="1425">
        <f t="shared" si="11"/>
        <v>0.22546840046360037</v>
      </c>
      <c r="K16" s="1425">
        <f t="shared" si="11"/>
        <v>0.22898374741525451</v>
      </c>
      <c r="L16" s="1425">
        <f t="shared" si="11"/>
        <v>0.13397200545217641</v>
      </c>
      <c r="M16" s="1425">
        <f t="shared" si="11"/>
        <v>0.12087105927263546</v>
      </c>
      <c r="N16" s="1425">
        <f t="shared" si="11"/>
        <v>0.21938980766427515</v>
      </c>
      <c r="O16" s="1425">
        <f t="shared" si="11"/>
        <v>0.290379340420166</v>
      </c>
      <c r="P16" s="1425">
        <f t="shared" si="11"/>
        <v>0.33511165751367428</v>
      </c>
      <c r="Q16" s="1425">
        <f t="shared" si="11"/>
        <v>0.35179502244698485</v>
      </c>
      <c r="R16" s="1425">
        <f t="shared" si="11"/>
        <v>0.37615148925208175</v>
      </c>
      <c r="S16" s="1425">
        <f t="shared" si="11"/>
        <v>0.39602619381780674</v>
      </c>
      <c r="T16" s="1425">
        <f t="shared" si="11"/>
        <v>0.38813802101799688</v>
      </c>
      <c r="U16" s="1425">
        <f t="shared" si="11"/>
        <v>0.40135109183131695</v>
      </c>
      <c r="V16" s="1425">
        <f t="shared" si="11"/>
        <v>0.39485283386037384</v>
      </c>
      <c r="W16" s="1425">
        <f t="shared" si="11"/>
        <v>0.37992163489815017</v>
      </c>
      <c r="X16" s="1425">
        <f t="shared" si="11"/>
        <v>0.36794494618607071</v>
      </c>
      <c r="Y16" s="1425">
        <f t="shared" si="11"/>
        <v>0.38833543613662702</v>
      </c>
      <c r="Z16" s="1425">
        <f t="shared" si="11"/>
        <v>0.39657009704323626</v>
      </c>
      <c r="AA16" s="1425">
        <f t="shared" si="11"/>
        <v>0.39543497168070235</v>
      </c>
      <c r="AB16" s="1425">
        <f t="shared" si="11"/>
        <v>0.43131734923541182</v>
      </c>
      <c r="AC16" s="1425">
        <f t="shared" si="11"/>
        <v>0.41624950337703587</v>
      </c>
      <c r="AD16" s="1425">
        <f t="shared" si="11"/>
        <v>0.37690929031912906</v>
      </c>
    </row>
    <row r="17" spans="1:30" x14ac:dyDescent="0.35">
      <c r="M17" t="s">
        <v>544</v>
      </c>
      <c r="Y17" t="s">
        <v>545</v>
      </c>
      <c r="AD17" t="s">
        <v>546</v>
      </c>
    </row>
    <row r="18" spans="1:30" x14ac:dyDescent="0.35">
      <c r="M18">
        <f>(M15/C15)^(1/10)-1</f>
        <v>0.38930451595035542</v>
      </c>
      <c r="Y18">
        <f>(Y15/M15)^(1/12)-1</f>
        <v>0.38956589425428145</v>
      </c>
      <c r="AD18">
        <f>(AD15/Y15)^(1/5)-1</f>
        <v>0.15678412292005683</v>
      </c>
    </row>
    <row r="19" spans="1:30" x14ac:dyDescent="0.35">
      <c r="AD19">
        <f>+(AD15/O15)^(1/15)-1</f>
        <v>0.23788279677964907</v>
      </c>
    </row>
    <row r="20" spans="1:30" x14ac:dyDescent="0.35">
      <c r="C20" t="str">
        <f t="shared" ref="C20:P20" si="12">+Q14</f>
        <v>FY2010</v>
      </c>
      <c r="D20" t="str">
        <f t="shared" si="12"/>
        <v>FY2011</v>
      </c>
      <c r="E20" t="str">
        <f t="shared" si="12"/>
        <v>FY2012</v>
      </c>
      <c r="F20" t="str">
        <f t="shared" si="12"/>
        <v>FY2013</v>
      </c>
      <c r="G20" t="str">
        <f t="shared" si="12"/>
        <v>FY2014</v>
      </c>
      <c r="H20" t="str">
        <f t="shared" si="12"/>
        <v>FY2015</v>
      </c>
      <c r="I20" t="str">
        <f t="shared" si="12"/>
        <v>FY2016</v>
      </c>
      <c r="J20" t="str">
        <f t="shared" si="12"/>
        <v>FY2017</v>
      </c>
      <c r="K20" t="str">
        <f t="shared" si="12"/>
        <v>FY2018</v>
      </c>
      <c r="L20" t="str">
        <f t="shared" si="12"/>
        <v>FY2019</v>
      </c>
      <c r="M20" t="str">
        <f t="shared" si="12"/>
        <v>FY2020</v>
      </c>
      <c r="N20" t="str">
        <f t="shared" si="12"/>
        <v>FY2021</v>
      </c>
      <c r="O20" t="str">
        <f t="shared" si="12"/>
        <v>FY2022</v>
      </c>
      <c r="P20" t="str">
        <f t="shared" si="12"/>
        <v>FY2023</v>
      </c>
    </row>
    <row r="21" spans="1:30" x14ac:dyDescent="0.35">
      <c r="A21" t="s">
        <v>548</v>
      </c>
      <c r="C21" s="1424">
        <f>+'Historicals and forecast'!AJ136</f>
        <v>214</v>
      </c>
      <c r="D21" s="1424">
        <f>+'Historicals and forecast'!AK136</f>
        <v>333</v>
      </c>
      <c r="E21" s="1424">
        <f>+'Historicals and forecast'!AL136</f>
        <v>432</v>
      </c>
      <c r="F21" s="1424">
        <f>+'Historicals and forecast'!AM136</f>
        <v>558</v>
      </c>
      <c r="G21" s="1424">
        <f>+'Historicals and forecast'!AN136</f>
        <v>673</v>
      </c>
      <c r="H21" s="1424">
        <f>+'Historicals and forecast'!AO136</f>
        <v>794</v>
      </c>
      <c r="I21" s="1424">
        <f>+'Historicals and forecast'!AP136</f>
        <v>886.4406779661017</v>
      </c>
      <c r="J21" s="1424">
        <f>+'Historicals and forecast'!AQ136</f>
        <v>1046</v>
      </c>
      <c r="K21" s="1424">
        <f>+'Historicals and forecast'!AR136</f>
        <v>1188</v>
      </c>
      <c r="L21" s="1424">
        <f>+'Historicals and forecast'!AS136</f>
        <v>1330</v>
      </c>
      <c r="M21" s="1424">
        <f>+'Historicals and forecast'!AT136</f>
        <v>1534</v>
      </c>
      <c r="N21" s="1424">
        <f>+'Historicals and forecast'!AU136</f>
        <v>1681</v>
      </c>
      <c r="O21" s="1424">
        <f>+'Historicals and forecast'!AV136</f>
        <v>1921</v>
      </c>
      <c r="P21" s="1424">
        <f>+'Historicals and forecast'!AW136</f>
        <v>2315</v>
      </c>
    </row>
    <row r="22" spans="1:30" x14ac:dyDescent="0.35">
      <c r="A22" t="s">
        <v>549</v>
      </c>
      <c r="C22" s="1426"/>
      <c r="D22" s="1426"/>
      <c r="E22" s="1426"/>
      <c r="F22" s="1426"/>
      <c r="G22" s="1426"/>
      <c r="H22" s="1426">
        <v>0.98</v>
      </c>
      <c r="I22" s="1426">
        <v>0.96</v>
      </c>
      <c r="J22" s="1426">
        <v>0.98</v>
      </c>
      <c r="K22" s="1426">
        <v>0.95</v>
      </c>
      <c r="L22" s="1426">
        <v>0.92</v>
      </c>
      <c r="M22" s="1426">
        <v>0.93</v>
      </c>
      <c r="N22" s="1426">
        <v>0.93</v>
      </c>
      <c r="O22" s="1426">
        <v>0.9</v>
      </c>
      <c r="P22" s="1426">
        <v>0.92</v>
      </c>
    </row>
    <row r="23" spans="1:30" x14ac:dyDescent="0.35">
      <c r="P23" t="s">
        <v>544</v>
      </c>
    </row>
    <row r="24" spans="1:30" x14ac:dyDescent="0.35">
      <c r="B24" t="s">
        <v>479</v>
      </c>
      <c r="C24" t="s">
        <v>539</v>
      </c>
      <c r="D24" t="s">
        <v>550</v>
      </c>
      <c r="E24" t="s">
        <v>551</v>
      </c>
      <c r="F24" t="s">
        <v>329</v>
      </c>
      <c r="P24">
        <f>(P21/C21)^(1/13)-1</f>
        <v>0.20101661929675618</v>
      </c>
    </row>
    <row r="25" spans="1:30" x14ac:dyDescent="0.35">
      <c r="A25" t="s">
        <v>552</v>
      </c>
      <c r="B25" s="1424">
        <v>169.15887850467291</v>
      </c>
      <c r="C25" s="1424">
        <v>146.76549865229111</v>
      </c>
      <c r="D25" s="1424">
        <v>97.90076744983709</v>
      </c>
      <c r="E25" s="1424">
        <v>65.053602154430763</v>
      </c>
      <c r="F25" s="1424">
        <v>49.20810527541633</v>
      </c>
      <c r="G25" s="1424"/>
    </row>
    <row r="26" spans="1:30" x14ac:dyDescent="0.35">
      <c r="B26">
        <v>1000</v>
      </c>
    </row>
    <row r="27" spans="1:30" x14ac:dyDescent="0.35">
      <c r="B27" t="s">
        <v>479</v>
      </c>
      <c r="C27" t="s">
        <v>539</v>
      </c>
      <c r="D27" t="s">
        <v>550</v>
      </c>
      <c r="E27" t="s">
        <v>551</v>
      </c>
      <c r="F27" t="s">
        <v>329</v>
      </c>
    </row>
    <row r="28" spans="1:30" x14ac:dyDescent="0.35">
      <c r="A28" t="s">
        <v>553</v>
      </c>
      <c r="B28" s="1424">
        <v>70.041536863966769</v>
      </c>
      <c r="C28" s="1424">
        <v>63.072776280323446</v>
      </c>
      <c r="D28" s="1424">
        <v>25.71117732807409</v>
      </c>
      <c r="E28" s="1424">
        <v>22.027054519373671</v>
      </c>
      <c r="F28" s="1424">
        <v>14.329800861767788</v>
      </c>
    </row>
    <row r="30" spans="1:30" x14ac:dyDescent="0.35">
      <c r="B30" t="s">
        <v>479</v>
      </c>
      <c r="C30" t="s">
        <v>539</v>
      </c>
      <c r="D30" t="s">
        <v>550</v>
      </c>
      <c r="E30" t="s">
        <v>551</v>
      </c>
      <c r="F30" t="s">
        <v>329</v>
      </c>
    </row>
    <row r="31" spans="1:30" x14ac:dyDescent="0.35">
      <c r="A31" t="s">
        <v>554</v>
      </c>
      <c r="B31" s="1425">
        <f>+(Upside!M18/Upside!J18)^(0.333333333333333)-1</f>
        <v>0.16618768735695277</v>
      </c>
      <c r="C31" s="1425">
        <v>0.17840146380897415</v>
      </c>
      <c r="D31" s="1425">
        <v>6.8664690594971933E-2</v>
      </c>
      <c r="E31" s="1425">
        <v>6.8000000000000005E-2</v>
      </c>
      <c r="F31" s="1425">
        <v>5.3999999999999999E-2</v>
      </c>
    </row>
    <row r="36" spans="1:18" x14ac:dyDescent="0.35">
      <c r="B36" s="882" t="s">
        <v>119</v>
      </c>
      <c r="C36" s="882" t="s">
        <v>120</v>
      </c>
      <c r="D36" s="883" t="s">
        <v>121</v>
      </c>
      <c r="E36" s="884" t="s">
        <v>122</v>
      </c>
      <c r="F36" s="882" t="s">
        <v>123</v>
      </c>
      <c r="G36" s="884" t="s">
        <v>124</v>
      </c>
      <c r="H36" s="883" t="s">
        <v>125</v>
      </c>
      <c r="I36" s="884" t="s">
        <v>126</v>
      </c>
      <c r="J36" s="882" t="s">
        <v>127</v>
      </c>
      <c r="K36" s="884" t="s">
        <v>128</v>
      </c>
      <c r="L36" s="882" t="s">
        <v>129</v>
      </c>
      <c r="M36" s="884" t="s">
        <v>130</v>
      </c>
      <c r="N36" s="882" t="s">
        <v>131</v>
      </c>
      <c r="O36" s="884" t="s">
        <v>132</v>
      </c>
      <c r="P36" s="882" t="s">
        <v>133</v>
      </c>
      <c r="Q36" s="882" t="s">
        <v>134</v>
      </c>
      <c r="R36" s="1411" t="s">
        <v>135</v>
      </c>
    </row>
    <row r="37" spans="1:18" x14ac:dyDescent="0.35">
      <c r="A37" t="s">
        <v>183</v>
      </c>
      <c r="B37" s="1424">
        <f>+SUM('Historicals and forecast'!D22:E22)</f>
        <v>109.81100000000004</v>
      </c>
      <c r="C37" s="1424">
        <f>+SUM('Historicals and forecast'!E22:F22)</f>
        <v>120.71699999999998</v>
      </c>
      <c r="D37" s="1424">
        <f>+SUM('Historicals and forecast'!F22:G22)</f>
        <v>128.34199999999998</v>
      </c>
      <c r="E37" s="1424">
        <f>+SUM('Historicals and forecast'!G22:H22)</f>
        <v>136.303</v>
      </c>
      <c r="F37" s="1424">
        <f>+SUM('Historicals and forecast'!H22:I22)</f>
        <v>149.83799999999997</v>
      </c>
      <c r="G37" s="1424">
        <f>+SUM('Historicals and forecast'!I22:J22)</f>
        <v>175.16300000000001</v>
      </c>
      <c r="H37" s="1424">
        <f>+SUM('Historicals and forecast'!J22:K22)</f>
        <v>195.00000000000006</v>
      </c>
      <c r="I37" s="1424">
        <f>+SUM('Historicals and forecast'!K22:L22)</f>
        <v>211.14300000000003</v>
      </c>
      <c r="J37" s="1424">
        <f>+SUM('Historicals and forecast'!L22:M22)</f>
        <v>228.14300000000003</v>
      </c>
      <c r="K37" s="1424">
        <f>+SUM('Historicals and forecast'!M22:N22)</f>
        <v>235.70499999999993</v>
      </c>
      <c r="L37" s="1424">
        <f>+SUM('Historicals and forecast'!N22:O22)</f>
        <v>258.49699999999996</v>
      </c>
      <c r="M37" s="1424">
        <f>+SUM('Historicals and forecast'!O22:P22)</f>
        <v>276.35799999999995</v>
      </c>
      <c r="N37" s="1424">
        <f>+SUM('Historicals and forecast'!P22:Q22)</f>
        <v>292.10499999999996</v>
      </c>
      <c r="O37" s="1424">
        <f>+SUM('Historicals and forecast'!Q22:R22)</f>
        <v>327.20999999999992</v>
      </c>
      <c r="P37" s="1424">
        <f>+SUM('Historicals and forecast'!R22:S22)</f>
        <v>354.05299999999983</v>
      </c>
      <c r="Q37" s="1424">
        <f>+SUM('Historicals and forecast'!S22:T22)</f>
        <v>373.83</v>
      </c>
      <c r="R37" s="1424">
        <f>+SUM('Historicals and forecast'!T22:U22)</f>
        <v>393.29</v>
      </c>
    </row>
    <row r="38" spans="1:18" x14ac:dyDescent="0.35">
      <c r="A38" t="s">
        <v>555</v>
      </c>
      <c r="B38" s="1424">
        <f>+SUM('Historicals and forecast'!D30:E30)</f>
        <v>67.52</v>
      </c>
      <c r="C38" s="1424">
        <f>+SUM('Historicals and forecast'!E30:F30)</f>
        <v>74.853999999999999</v>
      </c>
      <c r="D38" s="1424">
        <f>+SUM('Historicals and forecast'!F30:G30)</f>
        <v>80.580000000000013</v>
      </c>
      <c r="E38" s="1424">
        <f>+SUM('Historicals and forecast'!G30:H30)</f>
        <v>86.150999999999996</v>
      </c>
      <c r="F38" s="1424">
        <f>+SUM('Historicals and forecast'!H30:I30)</f>
        <v>96.475999999999971</v>
      </c>
      <c r="G38" s="1424">
        <f>+SUM('Historicals and forecast'!I30:J30)</f>
        <v>107.14099999999999</v>
      </c>
      <c r="H38" s="1424">
        <f>+SUM('Historicals and forecast'!J30:K30)</f>
        <v>117.23400000000001</v>
      </c>
      <c r="I38" s="1424">
        <f>+SUM('Historicals and forecast'!K30:L30)</f>
        <v>126.657</v>
      </c>
      <c r="J38" s="1424">
        <f>+SUM('Historicals and forecast'!L30:M30)</f>
        <v>137.03300000000002</v>
      </c>
      <c r="K38" s="1424">
        <f>+SUM('Historicals and forecast'!M30:N30)</f>
        <v>141.97200000000004</v>
      </c>
      <c r="L38" s="1424">
        <f>+SUM('Historicals and forecast'!N30:O30)</f>
        <v>148.17800000000003</v>
      </c>
      <c r="M38" s="1424">
        <f>+SUM('Historicals and forecast'!O30:P30)</f>
        <v>156.94200000000001</v>
      </c>
      <c r="N38" s="1424">
        <f>+SUM('Historicals and forecast'!P30:Q30)</f>
        <v>165.62</v>
      </c>
      <c r="O38" s="1424">
        <f>+SUM('Historicals and forecast'!Q30:R30)</f>
        <v>191.065</v>
      </c>
      <c r="P38" s="1424">
        <f>+SUM('Historicals and forecast'!R30:S30)</f>
        <v>218.97</v>
      </c>
      <c r="Q38" s="1424">
        <f>+SUM('Historicals and forecast'!S30:T30)</f>
        <v>232.92999999999995</v>
      </c>
      <c r="R38" s="1424">
        <f>+SUM('Historicals and forecast'!T30:U30)</f>
        <v>248.72999999999996</v>
      </c>
    </row>
    <row r="39" spans="1:18" x14ac:dyDescent="0.35">
      <c r="A39" t="s">
        <v>556</v>
      </c>
      <c r="B39" s="1434"/>
      <c r="C39" s="1434">
        <f t="shared" ref="C39:Q39" si="13">+C43</f>
        <v>17.681395867599203</v>
      </c>
      <c r="D39" s="1434">
        <f t="shared" si="13"/>
        <v>16.119781905144773</v>
      </c>
      <c r="E39" s="1434">
        <f t="shared" si="13"/>
        <v>18.719465678702583</v>
      </c>
      <c r="F39" s="1434">
        <f t="shared" si="13"/>
        <v>21.314619892115495</v>
      </c>
      <c r="G39" s="1434">
        <f t="shared" si="13"/>
        <v>27.281112632657067</v>
      </c>
      <c r="H39" s="1434">
        <f t="shared" si="13"/>
        <v>23.938681243001863</v>
      </c>
      <c r="I39" s="1434">
        <f t="shared" si="13"/>
        <v>26.273879890083109</v>
      </c>
      <c r="J39" s="1434">
        <f t="shared" si="13"/>
        <v>29.289221697995217</v>
      </c>
      <c r="K39" s="1434">
        <f t="shared" si="13"/>
        <v>29.328920172199844</v>
      </c>
      <c r="L39" s="1434">
        <f t="shared" si="13"/>
        <v>32.622556605137895</v>
      </c>
      <c r="M39" s="1434">
        <f t="shared" si="13"/>
        <v>38.588138071855013</v>
      </c>
      <c r="N39" s="1434">
        <f t="shared" si="13"/>
        <v>40.151052666502366</v>
      </c>
      <c r="O39" s="1434">
        <f t="shared" si="13"/>
        <v>27.914848481865477</v>
      </c>
      <c r="P39" s="1434">
        <f t="shared" si="13"/>
        <v>22.904916211363631</v>
      </c>
      <c r="Q39" s="1434">
        <f t="shared" si="13"/>
        <v>23.651617475406088</v>
      </c>
      <c r="R39" s="1434">
        <f>+R43</f>
        <v>23.934531475227022</v>
      </c>
    </row>
    <row r="41" spans="1:18" x14ac:dyDescent="0.35">
      <c r="B41" s="882" t="s">
        <v>119</v>
      </c>
      <c r="C41" s="882" t="s">
        <v>120</v>
      </c>
      <c r="D41" s="883" t="s">
        <v>121</v>
      </c>
      <c r="E41" s="884" t="s">
        <v>122</v>
      </c>
      <c r="F41" s="882" t="s">
        <v>123</v>
      </c>
      <c r="G41" s="884" t="s">
        <v>124</v>
      </c>
      <c r="H41" s="883" t="s">
        <v>125</v>
      </c>
      <c r="I41" s="884" t="s">
        <v>126</v>
      </c>
      <c r="J41" s="882" t="s">
        <v>127</v>
      </c>
      <c r="K41" s="884" t="s">
        <v>128</v>
      </c>
      <c r="L41" s="882" t="s">
        <v>129</v>
      </c>
      <c r="M41" s="884" t="s">
        <v>130</v>
      </c>
      <c r="N41" s="882" t="s">
        <v>131</v>
      </c>
      <c r="O41" s="884" t="s">
        <v>132</v>
      </c>
      <c r="P41" s="882" t="s">
        <v>133</v>
      </c>
      <c r="Q41" s="882" t="s">
        <v>134</v>
      </c>
      <c r="R41" s="1411" t="s">
        <v>135</v>
      </c>
    </row>
    <row r="42" spans="1:18" x14ac:dyDescent="0.35">
      <c r="A42" t="s">
        <v>557</v>
      </c>
      <c r="B42" s="1425">
        <f>+SUM('Historicals and forecast'!D45:E45)/SUM('Historicals and forecast'!D22:E22)</f>
        <v>0.38512535174071838</v>
      </c>
      <c r="C42" s="1425">
        <f>+SUM('Historicals and forecast'!E45:F45)/SUM('Historicals and forecast'!E22:F22)</f>
        <v>0.37992163489815017</v>
      </c>
      <c r="D42" s="1425">
        <f>+SUM('Historicals and forecast'!F45:G45)/SUM('Historicals and forecast'!F22:G22)</f>
        <v>0.37214629661373494</v>
      </c>
      <c r="E42" s="1425">
        <f>+SUM('Historicals and forecast'!G45:H45)/SUM('Historicals and forecast'!G22:H22)</f>
        <v>0.36794494618607076</v>
      </c>
      <c r="F42" s="1425">
        <f>+SUM('Historicals and forecast'!H45:I45)/SUM('Historicals and forecast'!H22:I22)</f>
        <v>0.35613128845820163</v>
      </c>
      <c r="G42" s="1425">
        <f>+SUM('Historicals and forecast'!I45:J45)/SUM('Historicals and forecast'!I22:J22)</f>
        <v>0.38833543613662713</v>
      </c>
      <c r="H42" s="1425">
        <f>+SUM('Historicals and forecast'!J45:K45)/SUM('Historicals and forecast'!J22:K22)</f>
        <v>0.39880000000000015</v>
      </c>
      <c r="I42" s="1425">
        <f>+SUM('Historicals and forecast'!K45:L45)/SUM('Historicals and forecast'!K22:L22)</f>
        <v>0.40013640044898491</v>
      </c>
      <c r="J42" s="1425">
        <f>+SUM('Historicals and forecast'!L45:M45)/SUM('Historicals and forecast'!L22:M22)</f>
        <v>0.39935479063569784</v>
      </c>
      <c r="K42" s="1425">
        <f>+SUM('Historicals and forecast'!M45:N45)/SUM('Historicals and forecast'!M22:N22)</f>
        <v>0.39767081733522813</v>
      </c>
      <c r="L42" s="1425">
        <f>+SUM('Historicals and forecast'!N45:O45)/SUM('Historicals and forecast'!N22:O22)</f>
        <v>0.42677091030069964</v>
      </c>
      <c r="M42" s="1425">
        <f>+SUM('Historicals and forecast'!O45:P45)/SUM('Historicals and forecast'!O22:P22)</f>
        <v>0.43210618111290416</v>
      </c>
      <c r="N42" s="1425">
        <f>+SUM('Historicals and forecast'!P45:Q45)/SUM('Historicals and forecast'!P22:Q22)</f>
        <v>0.43301210181270422</v>
      </c>
      <c r="O42" s="1425">
        <f>+SUM('Historicals and forecast'!Q45:R45)/SUM('Historicals and forecast'!Q22:R22)</f>
        <v>0.41607835946334143</v>
      </c>
      <c r="P42" s="1425">
        <f>+SUM('Historicals and forecast'!R45:S45)/SUM('Historicals and forecast'!R22:S22)</f>
        <v>0.38153327326699643</v>
      </c>
      <c r="Q42" s="1425">
        <f>+SUM('Historicals and forecast'!S45:T45)/SUM('Historicals and forecast'!S22:T22)</f>
        <v>0.37690929031912912</v>
      </c>
      <c r="R42" s="1425">
        <f>+SUM('Historicals and forecast'!T45:U45)/SUM('Historicals and forecast'!T22:U22)</f>
        <v>0.3675659182791326</v>
      </c>
    </row>
    <row r="43" spans="1:18" x14ac:dyDescent="0.35">
      <c r="A43" t="s">
        <v>556</v>
      </c>
      <c r="B43" s="1434"/>
      <c r="C43" s="1434">
        <f>AVERAGE(C81:C106)</f>
        <v>17.681395867599203</v>
      </c>
      <c r="D43" s="1434">
        <f>AVERAGE(C107:C132)</f>
        <v>16.119781905144773</v>
      </c>
      <c r="E43" s="1434">
        <f>AVERAGE(C133:C158)</f>
        <v>18.719465678702583</v>
      </c>
      <c r="F43" s="1434">
        <f>AVERAGE(C159:C184)</f>
        <v>21.314619892115495</v>
      </c>
      <c r="G43" s="1434">
        <f>AVERAGE(C185:C210)</f>
        <v>27.281112632657067</v>
      </c>
      <c r="H43" s="1434">
        <f>AVERAGE(C211:C236)</f>
        <v>23.938681243001863</v>
      </c>
      <c r="I43" s="1434">
        <f>AVERAGE(C237:C262)</f>
        <v>26.273879890083109</v>
      </c>
      <c r="J43" s="1434">
        <f>AVERAGE(C263:C289)</f>
        <v>29.289221697995217</v>
      </c>
      <c r="K43" s="1434">
        <f>AVERAGE(C290:C315)</f>
        <v>29.328920172199844</v>
      </c>
      <c r="L43" s="1434">
        <f>AVERAGE(C316:C341)</f>
        <v>32.622556605137895</v>
      </c>
      <c r="M43" s="1434">
        <f>AVERAGE(C342:C367)</f>
        <v>38.588138071855013</v>
      </c>
      <c r="N43" s="1434">
        <f>AVERAGE(C368:C393)</f>
        <v>40.151052666502366</v>
      </c>
      <c r="O43" s="1434">
        <f>AVERAGE(C394:C419)</f>
        <v>27.914848481865477</v>
      </c>
      <c r="P43" s="1434">
        <f>AVERAGE(C420:C445)</f>
        <v>22.904916211363631</v>
      </c>
      <c r="Q43" s="1434">
        <f>AVERAGE(C446:C471)</f>
        <v>23.651617475406088</v>
      </c>
      <c r="R43" s="1434">
        <f>AVERAGE(C472:C497)</f>
        <v>23.934531475227022</v>
      </c>
    </row>
    <row r="44" spans="1:18" x14ac:dyDescent="0.35">
      <c r="B44" s="1425"/>
      <c r="C44" s="1425"/>
      <c r="D44" s="1425"/>
      <c r="E44" s="1425"/>
      <c r="F44" s="1425"/>
      <c r="G44" s="1425"/>
      <c r="H44" s="1425"/>
      <c r="I44" s="1425"/>
      <c r="J44" s="1425"/>
      <c r="K44" s="1425"/>
      <c r="L44" s="1425"/>
      <c r="M44" s="1425"/>
      <c r="N44" s="1425"/>
      <c r="O44" s="1425"/>
      <c r="P44" s="1425"/>
      <c r="Q44" s="1425"/>
      <c r="R44" s="1425"/>
    </row>
    <row r="45" spans="1:18" x14ac:dyDescent="0.35">
      <c r="A45" t="s">
        <v>558</v>
      </c>
      <c r="B45" s="1425">
        <f>+'Historicals and forecast'!E48</f>
        <v>0.35400093153237094</v>
      </c>
      <c r="C45" s="1425">
        <f>+'Historicals and forecast'!F48</f>
        <v>0.40067420423018374</v>
      </c>
      <c r="D45" s="1425">
        <f>+'Historicals and forecast'!G48</f>
        <v>0.34094616639477976</v>
      </c>
      <c r="E45" s="1425">
        <f>+'Historicals and forecast'!H48</f>
        <v>0.39001106622401771</v>
      </c>
      <c r="F45" s="1425">
        <f>+'Historicals and forecast'!I48</f>
        <v>0.32217545266252429</v>
      </c>
      <c r="G45" s="1425">
        <f>+'Historicals and forecast'!J48</f>
        <v>0.43768439518379715</v>
      </c>
      <c r="H45" s="1425">
        <f>+'Historicals and forecast'!K48</f>
        <v>0.35759252999831015</v>
      </c>
      <c r="I45" s="1425">
        <f>+'Historicals and forecast'!L48</f>
        <v>0.43471765503859333</v>
      </c>
      <c r="J45" s="1425">
        <f>+'Historicals and forecast'!M48</f>
        <v>0.36247224013181473</v>
      </c>
      <c r="K45" s="1425">
        <f>+'Historicals and forecast'!N48</f>
        <v>0.42936154088024908</v>
      </c>
      <c r="L45" s="1425">
        <f>+'Historicals and forecast'!O48</f>
        <v>0.42438124702522628</v>
      </c>
      <c r="M45" s="1425">
        <f>+'Historicals and forecast'!P48</f>
        <v>0.43942661423315954</v>
      </c>
      <c r="N45" s="1425">
        <f>+'Historicals and forecast'!Q48</f>
        <v>0.42695275312726788</v>
      </c>
      <c r="O45" s="1425">
        <f>+'Historicals and forecast'!R48</f>
        <v>0.40684975621331149</v>
      </c>
      <c r="P45" s="1425">
        <f>+'Historicals and forecast'!S48</f>
        <v>0.35622465462514252</v>
      </c>
      <c r="Q45" s="1425">
        <f>+'Historicals and forecast'!T48</f>
        <v>0.39552079521892936</v>
      </c>
      <c r="R45" s="1425">
        <f>+'Historicals and forecast'!U48</f>
        <v>0.33957377082548834</v>
      </c>
    </row>
    <row r="68" spans="1:3" x14ac:dyDescent="0.35">
      <c r="A68" s="1428" t="s">
        <v>559</v>
      </c>
      <c r="B68" s="1428" t="s">
        <v>560</v>
      </c>
      <c r="C68" s="1428" t="s">
        <v>561</v>
      </c>
    </row>
    <row r="69" spans="1:3" x14ac:dyDescent="0.35">
      <c r="A69" s="1431">
        <v>42321</v>
      </c>
      <c r="B69" s="1430">
        <v>2.1080220000000001</v>
      </c>
      <c r="C69" s="1432" t="e">
        <v>#N/A</v>
      </c>
    </row>
    <row r="70" spans="1:3" x14ac:dyDescent="0.35">
      <c r="A70" s="1431">
        <v>42328</v>
      </c>
      <c r="B70" s="1430">
        <v>2.1833089999999999</v>
      </c>
      <c r="C70" s="1432" t="e">
        <v>#N/A</v>
      </c>
    </row>
    <row r="71" spans="1:3" x14ac:dyDescent="0.35">
      <c r="A71" s="1431">
        <v>42335</v>
      </c>
      <c r="B71" s="1430">
        <v>2.1080220000000001</v>
      </c>
      <c r="C71" s="1432" t="e">
        <v>#N/A</v>
      </c>
    </row>
    <row r="72" spans="1:3" x14ac:dyDescent="0.35">
      <c r="A72" s="1431">
        <v>42342</v>
      </c>
      <c r="B72" s="1430">
        <v>2.1607229999999999</v>
      </c>
      <c r="C72" s="1432" t="e">
        <v>#N/A</v>
      </c>
    </row>
    <row r="73" spans="1:3" x14ac:dyDescent="0.35">
      <c r="A73" s="1431">
        <v>42349</v>
      </c>
      <c r="B73" s="1430">
        <v>2.2585950000000001</v>
      </c>
      <c r="C73" s="1432" t="e">
        <v>#N/A</v>
      </c>
    </row>
    <row r="74" spans="1:3" x14ac:dyDescent="0.35">
      <c r="A74" s="1431">
        <v>42356</v>
      </c>
      <c r="B74" s="1430">
        <v>2.4091680000000002</v>
      </c>
      <c r="C74" s="1432" t="e">
        <v>#N/A</v>
      </c>
    </row>
    <row r="75" spans="1:3" x14ac:dyDescent="0.35">
      <c r="A75" s="1431">
        <v>42363</v>
      </c>
      <c r="B75" s="1430">
        <v>2.469398</v>
      </c>
      <c r="C75" s="1433">
        <v>18.395961862030287</v>
      </c>
    </row>
    <row r="76" spans="1:3" x14ac:dyDescent="0.35">
      <c r="A76" s="1431">
        <v>42370</v>
      </c>
      <c r="B76" s="1430">
        <v>2.560683</v>
      </c>
      <c r="C76" s="1433">
        <v>19.075995513180033</v>
      </c>
    </row>
    <row r="77" spans="1:3" x14ac:dyDescent="0.35">
      <c r="A77" s="1431">
        <v>42377</v>
      </c>
      <c r="B77" s="1430">
        <v>2.5296270000000001</v>
      </c>
      <c r="C77" s="1433">
        <v>18.844643858665172</v>
      </c>
    </row>
    <row r="78" spans="1:3" x14ac:dyDescent="0.35">
      <c r="A78" s="1431">
        <v>42384</v>
      </c>
      <c r="B78" s="1430">
        <v>2.3696429999999999</v>
      </c>
      <c r="C78" s="1433">
        <v>17.39911553344389</v>
      </c>
    </row>
    <row r="79" spans="1:3" x14ac:dyDescent="0.35">
      <c r="A79" s="1431">
        <v>42391</v>
      </c>
      <c r="B79" s="1430">
        <v>2.4035220000000002</v>
      </c>
      <c r="C79" s="1433">
        <v>17.647871752349364</v>
      </c>
    </row>
    <row r="80" spans="1:3" x14ac:dyDescent="0.35">
      <c r="A80" s="1431">
        <v>42398</v>
      </c>
      <c r="B80" s="1430">
        <v>2.5597409999999998</v>
      </c>
      <c r="C80" s="1433">
        <v>18.794914317302378</v>
      </c>
    </row>
    <row r="81" spans="1:10" x14ac:dyDescent="0.35">
      <c r="A81" s="1431">
        <v>42405</v>
      </c>
      <c r="B81" s="1430">
        <v>2.5672700000000002</v>
      </c>
      <c r="C81" s="1433">
        <v>18.85019347705915</v>
      </c>
    </row>
    <row r="82" spans="1:10" x14ac:dyDescent="0.35">
      <c r="A82" s="1431">
        <v>42412</v>
      </c>
      <c r="B82" s="1430">
        <v>2.2736529999999999</v>
      </c>
      <c r="C82" s="1433">
        <v>16.694306246545054</v>
      </c>
    </row>
    <row r="83" spans="1:10" x14ac:dyDescent="0.35">
      <c r="A83" s="1431">
        <v>42419</v>
      </c>
      <c r="B83" s="1430">
        <v>2.3225889999999998</v>
      </c>
      <c r="C83" s="1433">
        <v>17.053620784964068</v>
      </c>
    </row>
    <row r="84" spans="1:10" x14ac:dyDescent="0.35">
      <c r="A84" s="1431">
        <v>42426</v>
      </c>
      <c r="B84" s="1430">
        <v>2.5503309999999999</v>
      </c>
      <c r="C84" s="1433">
        <v>18.653634361233479</v>
      </c>
    </row>
    <row r="85" spans="1:10" x14ac:dyDescent="0.35">
      <c r="A85" s="1431">
        <v>42433</v>
      </c>
      <c r="B85" s="1430">
        <v>2.5635059999999998</v>
      </c>
      <c r="C85" s="1433">
        <v>18.75</v>
      </c>
    </row>
    <row r="86" spans="1:10" x14ac:dyDescent="0.35">
      <c r="A86" s="1431">
        <v>42440</v>
      </c>
      <c r="B86" s="1430">
        <v>2.4091680000000002</v>
      </c>
      <c r="C86" s="1433">
        <v>17.621145374449338</v>
      </c>
    </row>
    <row r="87" spans="1:10" x14ac:dyDescent="0.35">
      <c r="A87" s="1431">
        <v>42447</v>
      </c>
      <c r="B87" s="1430">
        <v>2.2698879999999999</v>
      </c>
      <c r="C87" s="1433">
        <v>16.43947655398037</v>
      </c>
    </row>
    <row r="88" spans="1:10" x14ac:dyDescent="0.35">
      <c r="A88" s="1431">
        <v>42454</v>
      </c>
      <c r="B88" s="1430">
        <v>2.333882</v>
      </c>
      <c r="C88" s="1433">
        <v>16.902944383860415</v>
      </c>
    </row>
    <row r="89" spans="1:10" x14ac:dyDescent="0.35">
      <c r="A89" s="1431">
        <v>42461</v>
      </c>
      <c r="B89" s="1430">
        <v>2.3587799999999999</v>
      </c>
      <c r="C89" s="1433">
        <v>16.990185387131952</v>
      </c>
    </row>
    <row r="90" spans="1:10" x14ac:dyDescent="0.35">
      <c r="A90" s="1431">
        <v>42468</v>
      </c>
      <c r="B90" s="1430">
        <v>2.4776280000000002</v>
      </c>
      <c r="C90" s="1433">
        <v>17.846237731733915</v>
      </c>
    </row>
    <row r="91" spans="1:10" x14ac:dyDescent="0.35">
      <c r="A91" s="1431">
        <v>42475</v>
      </c>
      <c r="B91" s="1430">
        <v>2.497309</v>
      </c>
      <c r="C91" s="1433">
        <v>17.988004362050162</v>
      </c>
    </row>
    <row r="92" spans="1:10" x14ac:dyDescent="0.35">
      <c r="A92" s="1431">
        <v>42482</v>
      </c>
      <c r="B92" s="1430">
        <v>2.4178250000000001</v>
      </c>
      <c r="C92" s="1433">
        <v>17.415485278080698</v>
      </c>
    </row>
    <row r="93" spans="1:10" x14ac:dyDescent="0.35">
      <c r="A93" s="1431">
        <v>42489</v>
      </c>
      <c r="B93" s="1430">
        <v>2.4147970000000001</v>
      </c>
      <c r="C93" s="1433">
        <v>17.393675027262812</v>
      </c>
    </row>
    <row r="94" spans="1:10" x14ac:dyDescent="0.35">
      <c r="A94" s="1431">
        <v>42496</v>
      </c>
      <c r="B94" s="1430">
        <v>2.4185819999999998</v>
      </c>
      <c r="C94" s="1433">
        <v>17.420937840785168</v>
      </c>
    </row>
    <row r="95" spans="1:10" x14ac:dyDescent="0.35">
      <c r="A95" s="1431">
        <v>42503</v>
      </c>
      <c r="B95" s="1430">
        <v>2.3784619999999999</v>
      </c>
      <c r="C95" s="1433">
        <v>17.131952017448199</v>
      </c>
      <c r="D95">
        <f t="shared" ref="D95:F95" si="14">+C95+1</f>
        <v>18.131952017448199</v>
      </c>
      <c r="E95">
        <f t="shared" si="14"/>
        <v>19.131952017448199</v>
      </c>
      <c r="F95">
        <f t="shared" si="14"/>
        <v>20.131952017448199</v>
      </c>
      <c r="G95" t="s">
        <v>562</v>
      </c>
      <c r="H95" t="s">
        <v>563</v>
      </c>
      <c r="I95" t="s">
        <v>564</v>
      </c>
      <c r="J95" t="s">
        <v>565</v>
      </c>
    </row>
    <row r="96" spans="1:10" x14ac:dyDescent="0.35">
      <c r="A96" s="1431">
        <v>42510</v>
      </c>
      <c r="B96" s="1430">
        <v>2.3845179999999999</v>
      </c>
      <c r="C96" s="1433">
        <v>17.175572519083968</v>
      </c>
      <c r="D96">
        <v>49.2</v>
      </c>
      <c r="E96">
        <v>56</v>
      </c>
      <c r="F96">
        <v>59.8</v>
      </c>
      <c r="G96">
        <v>65.3</v>
      </c>
      <c r="H96">
        <v>71.400000000000006</v>
      </c>
      <c r="I96">
        <v>77.5</v>
      </c>
      <c r="J96">
        <v>83.7</v>
      </c>
    </row>
    <row r="97" spans="1:10" x14ac:dyDescent="0.35">
      <c r="A97" s="1431">
        <v>42517</v>
      </c>
      <c r="B97" s="1430">
        <v>2.62297</v>
      </c>
      <c r="C97" s="1433">
        <v>18.401486988847584</v>
      </c>
    </row>
    <row r="98" spans="1:10" x14ac:dyDescent="0.35">
      <c r="A98" s="1431">
        <v>42524</v>
      </c>
      <c r="B98" s="1430">
        <v>2.7289479999999999</v>
      </c>
      <c r="C98" s="1433">
        <v>19.144981412639407</v>
      </c>
      <c r="F98">
        <f>(F96/B96)^(1/4)-1</f>
        <v>1.2378199679284951</v>
      </c>
      <c r="J98">
        <f>(J96/F96)^(1/4)-1</f>
        <v>8.7692336111337976E-2</v>
      </c>
    </row>
    <row r="99" spans="1:10" x14ac:dyDescent="0.35">
      <c r="A99" s="1431">
        <v>42531</v>
      </c>
      <c r="B99" s="1430">
        <v>2.8160020000000001</v>
      </c>
      <c r="C99" s="1433">
        <v>19.75570897503983</v>
      </c>
    </row>
    <row r="100" spans="1:10" x14ac:dyDescent="0.35">
      <c r="A100" s="1431">
        <v>42538</v>
      </c>
      <c r="B100" s="1430">
        <v>2.5737649999999999</v>
      </c>
      <c r="C100" s="1433">
        <v>18.056293149229951</v>
      </c>
    </row>
    <row r="101" spans="1:10" x14ac:dyDescent="0.35">
      <c r="A101" s="1431">
        <v>42545</v>
      </c>
      <c r="B101" s="1430">
        <v>2.5949610000000001</v>
      </c>
      <c r="C101" s="1433">
        <v>18.204992033988315</v>
      </c>
    </row>
    <row r="102" spans="1:10" x14ac:dyDescent="0.35">
      <c r="A102" s="1431">
        <v>42552</v>
      </c>
      <c r="B102" s="1430">
        <v>2.4980660000000001</v>
      </c>
      <c r="C102" s="1433">
        <v>17.525225703664365</v>
      </c>
    </row>
    <row r="103" spans="1:10" x14ac:dyDescent="0.35">
      <c r="A103" s="1431">
        <v>42559</v>
      </c>
      <c r="B103" s="1430">
        <v>2.2565870000000001</v>
      </c>
      <c r="C103" s="1433">
        <v>15.873269435569755</v>
      </c>
    </row>
    <row r="104" spans="1:10" x14ac:dyDescent="0.35">
      <c r="A104" s="1431">
        <v>42566</v>
      </c>
      <c r="B104" s="1430">
        <v>2.3845179999999999</v>
      </c>
      <c r="C104" s="1433">
        <v>16.773162939297123</v>
      </c>
    </row>
    <row r="105" spans="1:10" x14ac:dyDescent="0.35">
      <c r="A105" s="1431">
        <v>42573</v>
      </c>
      <c r="B105" s="1430">
        <v>2.5192619999999999</v>
      </c>
      <c r="C105" s="1433">
        <v>17.451494493969587</v>
      </c>
    </row>
    <row r="106" spans="1:10" x14ac:dyDescent="0.35">
      <c r="A106" s="1431">
        <v>42580</v>
      </c>
      <c r="B106" s="1430">
        <v>2.6290249999999999</v>
      </c>
      <c r="C106" s="1433">
        <v>18.20230607966457</v>
      </c>
    </row>
    <row r="107" spans="1:10" x14ac:dyDescent="0.35">
      <c r="A107" s="1431">
        <v>42587</v>
      </c>
      <c r="B107" s="1430">
        <v>2.5866340000000001</v>
      </c>
      <c r="C107" s="1433">
        <v>17.908805031446541</v>
      </c>
    </row>
    <row r="108" spans="1:10" x14ac:dyDescent="0.35">
      <c r="A108" s="1431">
        <v>42594</v>
      </c>
      <c r="B108" s="1430">
        <v>2.5737649999999999</v>
      </c>
      <c r="C108" s="1433">
        <v>17.819706498951781</v>
      </c>
    </row>
    <row r="109" spans="1:10" x14ac:dyDescent="0.35">
      <c r="A109" s="1431">
        <v>42601</v>
      </c>
      <c r="B109" s="1430">
        <v>2.5465140000000002</v>
      </c>
      <c r="C109" s="1433">
        <v>17.631027253668762</v>
      </c>
    </row>
    <row r="110" spans="1:10" x14ac:dyDescent="0.35">
      <c r="A110" s="1431">
        <v>42608</v>
      </c>
      <c r="B110" s="1430">
        <v>2.4791409999999998</v>
      </c>
      <c r="C110" s="1433">
        <v>17.164570230607968</v>
      </c>
    </row>
    <row r="111" spans="1:10" x14ac:dyDescent="0.35">
      <c r="A111" s="1431">
        <v>42615</v>
      </c>
      <c r="B111" s="1430">
        <v>2.523047</v>
      </c>
      <c r="C111" s="1433">
        <v>17.468553459119498</v>
      </c>
    </row>
    <row r="112" spans="1:10" x14ac:dyDescent="0.35">
      <c r="A112" s="1431">
        <v>42622</v>
      </c>
      <c r="B112" s="1430">
        <v>2.4208530000000001</v>
      </c>
      <c r="C112" s="1433">
        <v>16.761006289308177</v>
      </c>
    </row>
    <row r="113" spans="1:3" x14ac:dyDescent="0.35">
      <c r="A113" s="1431">
        <v>42629</v>
      </c>
      <c r="B113" s="1430">
        <v>2.4473479999999999</v>
      </c>
      <c r="C113" s="1433">
        <v>16.935568360398115</v>
      </c>
    </row>
    <row r="114" spans="1:3" x14ac:dyDescent="0.35">
      <c r="A114" s="1431">
        <v>42636</v>
      </c>
      <c r="B114" s="1430">
        <v>2.4246379999999998</v>
      </c>
      <c r="C114" s="1433">
        <v>16.778418019905711</v>
      </c>
    </row>
    <row r="115" spans="1:3" x14ac:dyDescent="0.35">
      <c r="A115" s="1431">
        <v>42643</v>
      </c>
      <c r="B115" s="1430">
        <v>2.4223669999999999</v>
      </c>
      <c r="C115" s="1433">
        <v>16.762702985856468</v>
      </c>
    </row>
    <row r="116" spans="1:3" x14ac:dyDescent="0.35">
      <c r="A116" s="1431">
        <v>42650</v>
      </c>
      <c r="B116" s="1430">
        <v>2.3489390000000001</v>
      </c>
      <c r="C116" s="1433">
        <v>16.254583551597694</v>
      </c>
    </row>
    <row r="117" spans="1:3" x14ac:dyDescent="0.35">
      <c r="A117" s="1431">
        <v>42657</v>
      </c>
      <c r="B117" s="1430">
        <v>2.264913</v>
      </c>
      <c r="C117" s="1433">
        <v>15.673127291775799</v>
      </c>
    </row>
    <row r="118" spans="1:3" x14ac:dyDescent="0.35">
      <c r="A118" s="1431">
        <v>42664</v>
      </c>
      <c r="B118" s="1430">
        <v>2.5586250000000001</v>
      </c>
      <c r="C118" s="1433">
        <v>17.146915584415584</v>
      </c>
    </row>
    <row r="119" spans="1:3" x14ac:dyDescent="0.35">
      <c r="A119" s="1431">
        <v>42671</v>
      </c>
      <c r="B119" s="1430">
        <v>2.439778</v>
      </c>
      <c r="C119" s="1433">
        <v>16.350446428571427</v>
      </c>
    </row>
    <row r="120" spans="1:3" x14ac:dyDescent="0.35">
      <c r="A120" s="1431">
        <v>42678</v>
      </c>
      <c r="B120" s="1430">
        <v>2.3777050000000002</v>
      </c>
      <c r="C120" s="1433">
        <v>15.934456168831169</v>
      </c>
    </row>
    <row r="121" spans="1:3" x14ac:dyDescent="0.35">
      <c r="A121" s="1431">
        <v>42685</v>
      </c>
      <c r="B121" s="1430">
        <v>2.4488620000000001</v>
      </c>
      <c r="C121" s="1433">
        <v>16.411323051948052</v>
      </c>
    </row>
    <row r="122" spans="1:3" x14ac:dyDescent="0.35">
      <c r="A122" s="1431">
        <v>42692</v>
      </c>
      <c r="B122" s="1430">
        <v>2.4503879999999998</v>
      </c>
      <c r="C122" s="1433">
        <v>15.523538961038961</v>
      </c>
    </row>
    <row r="123" spans="1:3" x14ac:dyDescent="0.35">
      <c r="A123" s="1431">
        <v>42699</v>
      </c>
      <c r="B123" s="1430">
        <v>2.3879280000000001</v>
      </c>
      <c r="C123" s="1433">
        <v>15.130911305053786</v>
      </c>
    </row>
    <row r="124" spans="1:3" x14ac:dyDescent="0.35">
      <c r="A124" s="1431">
        <v>42706</v>
      </c>
      <c r="B124" s="1430">
        <v>2.3062480000000001</v>
      </c>
      <c r="C124" s="1433">
        <v>14.702128745724641</v>
      </c>
    </row>
    <row r="125" spans="1:3" x14ac:dyDescent="0.35">
      <c r="A125" s="1431">
        <v>42713</v>
      </c>
      <c r="B125" s="1430">
        <v>2.3615020000000002</v>
      </c>
      <c r="C125" s="1433">
        <v>15.052062066149448</v>
      </c>
    </row>
    <row r="126" spans="1:3" x14ac:dyDescent="0.35">
      <c r="A126" s="1431">
        <v>42720</v>
      </c>
      <c r="B126" s="1430">
        <v>2.3983379999999999</v>
      </c>
      <c r="C126" s="1433">
        <v>15.286851776235197</v>
      </c>
    </row>
    <row r="127" spans="1:3" x14ac:dyDescent="0.35">
      <c r="A127" s="1431">
        <v>42727</v>
      </c>
      <c r="B127" s="1430">
        <v>2.3735140000000001</v>
      </c>
      <c r="C127" s="1433">
        <v>15.128623928133932</v>
      </c>
    </row>
    <row r="128" spans="1:3" x14ac:dyDescent="0.35">
      <c r="A128" s="1431">
        <v>42734</v>
      </c>
      <c r="B128" s="1430">
        <v>2.3615020000000002</v>
      </c>
      <c r="C128" s="1433">
        <v>15.052062066149448</v>
      </c>
    </row>
    <row r="129" spans="1:3" x14ac:dyDescent="0.35">
      <c r="A129" s="1431">
        <v>42741</v>
      </c>
      <c r="B129" s="1430">
        <v>2.3599000000000001</v>
      </c>
      <c r="C129" s="1433">
        <v>15.041853817884851</v>
      </c>
    </row>
    <row r="130" spans="1:3" x14ac:dyDescent="0.35">
      <c r="A130" s="1431">
        <v>42748</v>
      </c>
      <c r="B130" s="1430">
        <v>2.3847239999999998</v>
      </c>
      <c r="C130" s="1433">
        <v>15.200081665986117</v>
      </c>
    </row>
    <row r="131" spans="1:3" x14ac:dyDescent="0.35">
      <c r="A131" s="1431">
        <v>42755</v>
      </c>
      <c r="B131" s="1430">
        <v>2.3663059999999998</v>
      </c>
      <c r="C131" s="1433">
        <v>14.760239760239759</v>
      </c>
    </row>
    <row r="132" spans="1:3" x14ac:dyDescent="0.35">
      <c r="A132" s="1431">
        <v>42762</v>
      </c>
      <c r="B132" s="1430">
        <v>2.4423810000000001</v>
      </c>
      <c r="C132" s="1433">
        <v>15.234765234765234</v>
      </c>
    </row>
    <row r="133" spans="1:3" x14ac:dyDescent="0.35">
      <c r="A133" s="1431">
        <v>42769</v>
      </c>
      <c r="B133" s="1430">
        <v>2.52406</v>
      </c>
      <c r="C133" s="1433">
        <v>15.744255744255744</v>
      </c>
    </row>
    <row r="134" spans="1:3" x14ac:dyDescent="0.35">
      <c r="A134" s="1431">
        <v>42776</v>
      </c>
      <c r="B134" s="1430">
        <v>2.5288650000000001</v>
      </c>
      <c r="C134" s="1433">
        <v>15.774225774225775</v>
      </c>
    </row>
    <row r="135" spans="1:3" x14ac:dyDescent="0.35">
      <c r="A135" s="1431">
        <v>42783</v>
      </c>
      <c r="B135" s="1430">
        <v>2.5432790000000001</v>
      </c>
      <c r="C135" s="1433">
        <v>15.864135864135864</v>
      </c>
    </row>
    <row r="136" spans="1:3" x14ac:dyDescent="0.35">
      <c r="A136" s="1431">
        <v>42790</v>
      </c>
      <c r="B136" s="1430">
        <v>2.5632980000000001</v>
      </c>
      <c r="C136" s="1433">
        <v>15.989010989010989</v>
      </c>
    </row>
    <row r="137" spans="1:3" x14ac:dyDescent="0.35">
      <c r="A137" s="1431">
        <v>42797</v>
      </c>
      <c r="B137" s="1430">
        <v>2.5977320000000002</v>
      </c>
      <c r="C137" s="1433">
        <v>16.203796203796205</v>
      </c>
    </row>
    <row r="138" spans="1:3" x14ac:dyDescent="0.35">
      <c r="A138" s="1431">
        <v>42804</v>
      </c>
      <c r="B138" s="1430">
        <v>2.6345679999999998</v>
      </c>
      <c r="C138" s="1433">
        <v>16.433566433566433</v>
      </c>
    </row>
    <row r="139" spans="1:3" x14ac:dyDescent="0.35">
      <c r="A139" s="1431">
        <v>42811</v>
      </c>
      <c r="B139" s="1430">
        <v>2.7682980000000001</v>
      </c>
      <c r="C139" s="1433">
        <v>17.267732267732267</v>
      </c>
    </row>
    <row r="140" spans="1:3" x14ac:dyDescent="0.35">
      <c r="A140" s="1431">
        <v>42818</v>
      </c>
      <c r="B140" s="1430">
        <v>3.1230440000000002</v>
      </c>
      <c r="C140" s="1433">
        <v>19.04296875</v>
      </c>
    </row>
    <row r="141" spans="1:3" x14ac:dyDescent="0.35">
      <c r="A141" s="1431">
        <v>42825</v>
      </c>
      <c r="B141" s="1430">
        <v>3.1782509999999999</v>
      </c>
      <c r="C141" s="1433">
        <v>19.23828125</v>
      </c>
    </row>
    <row r="142" spans="1:3" x14ac:dyDescent="0.35">
      <c r="A142" s="1431">
        <v>42832</v>
      </c>
      <c r="B142" s="1430">
        <v>3.3629769999999999</v>
      </c>
      <c r="C142" s="1433">
        <v>20.3564453125</v>
      </c>
    </row>
    <row r="143" spans="1:3" x14ac:dyDescent="0.35">
      <c r="A143" s="1431">
        <v>42839</v>
      </c>
      <c r="B143" s="1430">
        <v>3.4049230000000001</v>
      </c>
      <c r="C143" s="1433">
        <v>20.6103515625</v>
      </c>
    </row>
    <row r="144" spans="1:3" x14ac:dyDescent="0.35">
      <c r="A144" s="1431">
        <v>42846</v>
      </c>
      <c r="B144" s="1430">
        <v>3.4194429999999998</v>
      </c>
      <c r="C144" s="1433">
        <v>20.292005744375299</v>
      </c>
    </row>
    <row r="145" spans="1:3" x14ac:dyDescent="0.35">
      <c r="A145" s="1431">
        <v>42853</v>
      </c>
      <c r="B145" s="1430">
        <v>3.3234499999999998</v>
      </c>
      <c r="C145" s="1433">
        <v>19.722355193872666</v>
      </c>
    </row>
    <row r="146" spans="1:3" x14ac:dyDescent="0.35">
      <c r="A146" s="1431">
        <v>42860</v>
      </c>
      <c r="B146" s="1430">
        <v>3.4589690000000002</v>
      </c>
      <c r="C146" s="1433">
        <v>20.526567735758736</v>
      </c>
    </row>
    <row r="147" spans="1:3" x14ac:dyDescent="0.35">
      <c r="A147" s="1431">
        <v>42867</v>
      </c>
      <c r="B147" s="1430">
        <v>3.5283419999999999</v>
      </c>
      <c r="C147" s="1433">
        <v>20.938247965533748</v>
      </c>
    </row>
    <row r="148" spans="1:3" x14ac:dyDescent="0.35">
      <c r="A148" s="1431">
        <v>42874</v>
      </c>
      <c r="B148" s="1430">
        <v>3.605782</v>
      </c>
      <c r="C148" s="1433">
        <v>21.397797989468646</v>
      </c>
    </row>
    <row r="149" spans="1:3" x14ac:dyDescent="0.35">
      <c r="A149" s="1431">
        <v>42881</v>
      </c>
      <c r="B149" s="1430">
        <v>3.4202499999999998</v>
      </c>
      <c r="C149" s="1433">
        <v>20.296792723791288</v>
      </c>
    </row>
    <row r="150" spans="1:3" x14ac:dyDescent="0.35">
      <c r="A150" s="1431">
        <v>42888</v>
      </c>
      <c r="B150" s="1430">
        <v>3.4976889999999998</v>
      </c>
      <c r="C150" s="1433">
        <v>20.746411483253588</v>
      </c>
    </row>
    <row r="151" spans="1:3" x14ac:dyDescent="0.35">
      <c r="A151" s="1431">
        <v>42895</v>
      </c>
      <c r="B151" s="1430">
        <v>3.2508509999999999</v>
      </c>
      <c r="C151" s="1433">
        <v>19.282296650717704</v>
      </c>
    </row>
    <row r="152" spans="1:3" x14ac:dyDescent="0.35">
      <c r="A152" s="1431">
        <v>42902</v>
      </c>
      <c r="B152" s="1430">
        <v>3.2911839999999999</v>
      </c>
      <c r="C152" s="1433">
        <v>19.52153110047847</v>
      </c>
    </row>
    <row r="153" spans="1:3" x14ac:dyDescent="0.35">
      <c r="A153" s="1431">
        <v>42909</v>
      </c>
      <c r="B153" s="1430">
        <v>3.2621440000000002</v>
      </c>
      <c r="C153" s="1433">
        <v>19.349282296650717</v>
      </c>
    </row>
    <row r="154" spans="1:3" x14ac:dyDescent="0.35">
      <c r="A154" s="1431">
        <v>42916</v>
      </c>
      <c r="B154" s="1430">
        <v>3.1806709999999998</v>
      </c>
      <c r="C154" s="1433">
        <v>18.866028708133971</v>
      </c>
    </row>
    <row r="155" spans="1:3" x14ac:dyDescent="0.35">
      <c r="A155" s="1431">
        <v>42923</v>
      </c>
      <c r="B155" s="1430">
        <v>3.0532180000000002</v>
      </c>
      <c r="C155" s="1433">
        <v>18.110047846889952</v>
      </c>
    </row>
    <row r="156" spans="1:3" x14ac:dyDescent="0.35">
      <c r="A156" s="1431">
        <v>42930</v>
      </c>
      <c r="B156" s="1430">
        <v>3.0814509999999999</v>
      </c>
      <c r="C156" s="1433">
        <v>18.277511961722489</v>
      </c>
    </row>
    <row r="157" spans="1:3" x14ac:dyDescent="0.35">
      <c r="A157" s="1431">
        <v>42937</v>
      </c>
      <c r="B157" s="1430">
        <v>3.162118</v>
      </c>
      <c r="C157" s="1433">
        <v>18.4037558685446</v>
      </c>
    </row>
    <row r="158" spans="1:3" x14ac:dyDescent="0.35">
      <c r="A158" s="1431">
        <v>42944</v>
      </c>
      <c r="B158" s="1430">
        <v>3.1701839999999999</v>
      </c>
      <c r="C158" s="1433">
        <v>18.450704225352112</v>
      </c>
    </row>
    <row r="159" spans="1:3" x14ac:dyDescent="0.35">
      <c r="A159" s="1431">
        <v>42951</v>
      </c>
      <c r="B159" s="1430">
        <v>3.2145510000000002</v>
      </c>
      <c r="C159" s="1433">
        <v>18.708920187793428</v>
      </c>
    </row>
    <row r="160" spans="1:3" x14ac:dyDescent="0.35">
      <c r="A160" s="1431">
        <v>42958</v>
      </c>
      <c r="B160" s="1430">
        <v>3.1822840000000001</v>
      </c>
      <c r="C160" s="1433">
        <v>18.52112676056338</v>
      </c>
    </row>
    <row r="161" spans="1:3" x14ac:dyDescent="0.35">
      <c r="A161" s="1431">
        <v>42965</v>
      </c>
      <c r="B161" s="1430">
        <v>3.2758569999999998</v>
      </c>
      <c r="C161" s="1433">
        <v>19.065727699530516</v>
      </c>
    </row>
    <row r="162" spans="1:3" x14ac:dyDescent="0.35">
      <c r="A162" s="1431">
        <v>42972</v>
      </c>
      <c r="B162" s="1430">
        <v>3.31135</v>
      </c>
      <c r="C162" s="1433">
        <v>19.272300469483568</v>
      </c>
    </row>
    <row r="163" spans="1:3" x14ac:dyDescent="0.35">
      <c r="A163" s="1431">
        <v>42979</v>
      </c>
      <c r="B163" s="1430">
        <v>3.2419769999999999</v>
      </c>
      <c r="C163" s="1433">
        <v>18.868544600938968</v>
      </c>
    </row>
    <row r="164" spans="1:3" x14ac:dyDescent="0.35">
      <c r="A164" s="1431">
        <v>42986</v>
      </c>
      <c r="B164" s="1430">
        <v>3.3073169999999998</v>
      </c>
      <c r="C164" s="1433">
        <v>19.248826291079812</v>
      </c>
    </row>
    <row r="165" spans="1:3" x14ac:dyDescent="0.35">
      <c r="A165" s="1431">
        <v>42993</v>
      </c>
      <c r="B165" s="1430">
        <v>3.1742180000000002</v>
      </c>
      <c r="C165" s="1433">
        <v>18.474178403755868</v>
      </c>
    </row>
    <row r="166" spans="1:3" x14ac:dyDescent="0.35">
      <c r="A166" s="1431">
        <v>43000</v>
      </c>
      <c r="B166" s="1430">
        <v>3.2452040000000002</v>
      </c>
      <c r="C166" s="1433">
        <v>18.887323943661972</v>
      </c>
    </row>
    <row r="167" spans="1:3" x14ac:dyDescent="0.35">
      <c r="A167" s="1431">
        <v>43007</v>
      </c>
      <c r="B167" s="1430">
        <v>3.3920159999999999</v>
      </c>
      <c r="C167" s="1433">
        <v>19.741784037558684</v>
      </c>
    </row>
    <row r="168" spans="1:3" x14ac:dyDescent="0.35">
      <c r="A168" s="1431">
        <v>43014</v>
      </c>
      <c r="B168" s="1430">
        <v>3.3976630000000001</v>
      </c>
      <c r="C168" s="1433">
        <v>19.774647887323944</v>
      </c>
    </row>
    <row r="169" spans="1:3" x14ac:dyDescent="0.35">
      <c r="A169" s="1431">
        <v>43021</v>
      </c>
      <c r="B169" s="1430">
        <v>3.521083</v>
      </c>
      <c r="C169" s="1433">
        <v>20.492957746478872</v>
      </c>
    </row>
    <row r="170" spans="1:3" x14ac:dyDescent="0.35">
      <c r="A170" s="1431">
        <v>43028</v>
      </c>
      <c r="B170" s="1430">
        <v>3.95668</v>
      </c>
      <c r="C170" s="1433">
        <v>21.640342363010678</v>
      </c>
    </row>
    <row r="171" spans="1:3" x14ac:dyDescent="0.35">
      <c r="A171" s="1431">
        <v>43035</v>
      </c>
      <c r="B171" s="1430">
        <v>4.1704460000000001</v>
      </c>
      <c r="C171" s="1433">
        <v>22.751276183770464</v>
      </c>
    </row>
    <row r="172" spans="1:3" x14ac:dyDescent="0.35">
      <c r="A172" s="1431">
        <v>43042</v>
      </c>
      <c r="B172" s="1430">
        <v>4.3343920000000002</v>
      </c>
      <c r="C172" s="1433">
        <v>22.796285701711923</v>
      </c>
    </row>
    <row r="173" spans="1:3" x14ac:dyDescent="0.35">
      <c r="A173" s="1431">
        <v>43049</v>
      </c>
      <c r="B173" s="1430">
        <v>4.5519480000000003</v>
      </c>
      <c r="C173" s="1433">
        <v>23.940500814153062</v>
      </c>
    </row>
    <row r="174" spans="1:3" x14ac:dyDescent="0.35">
      <c r="A174" s="1431">
        <v>43056</v>
      </c>
      <c r="B174" s="1430">
        <v>4.5352129999999997</v>
      </c>
      <c r="C174" s="1433">
        <v>23.852484267042204</v>
      </c>
    </row>
    <row r="175" spans="1:3" x14ac:dyDescent="0.35">
      <c r="A175" s="1431">
        <v>43063</v>
      </c>
      <c r="B175" s="1430">
        <v>4.5226620000000004</v>
      </c>
      <c r="C175" s="1433">
        <v>23.78647185670906</v>
      </c>
    </row>
    <row r="176" spans="1:3" x14ac:dyDescent="0.35">
      <c r="A176" s="1431">
        <v>43070</v>
      </c>
      <c r="B176" s="1430">
        <v>4.3260240000000003</v>
      </c>
      <c r="C176" s="1433">
        <v>22.866999867309477</v>
      </c>
    </row>
    <row r="177" spans="1:3" x14ac:dyDescent="0.35">
      <c r="A177" s="1431">
        <v>43077</v>
      </c>
      <c r="B177" s="1430">
        <v>4.2716349999999998</v>
      </c>
      <c r="C177" s="1433">
        <v>22.579503737449688</v>
      </c>
    </row>
    <row r="178" spans="1:3" x14ac:dyDescent="0.35">
      <c r="A178" s="1431">
        <v>43084</v>
      </c>
      <c r="B178" s="1430">
        <v>4.3887809999999998</v>
      </c>
      <c r="C178" s="1433">
        <v>23.198726170993851</v>
      </c>
    </row>
    <row r="179" spans="1:3" x14ac:dyDescent="0.35">
      <c r="A179" s="1431">
        <v>43091</v>
      </c>
      <c r="B179" s="1430">
        <v>4.3469429999999996</v>
      </c>
      <c r="C179" s="1433">
        <v>22.528187337380746</v>
      </c>
    </row>
    <row r="180" spans="1:3" x14ac:dyDescent="0.35">
      <c r="A180" s="1431">
        <v>43098</v>
      </c>
      <c r="B180" s="1430">
        <v>4.351127</v>
      </c>
      <c r="C180" s="1433">
        <v>22.549869904596704</v>
      </c>
    </row>
    <row r="181" spans="1:3" x14ac:dyDescent="0.35">
      <c r="A181" s="1431">
        <v>43105</v>
      </c>
      <c r="B181" s="1430">
        <v>4.4850079999999997</v>
      </c>
      <c r="C181" s="1433">
        <v>23.243712055507373</v>
      </c>
    </row>
    <row r="182" spans="1:3" x14ac:dyDescent="0.35">
      <c r="A182" s="1431">
        <v>43112</v>
      </c>
      <c r="B182" s="1430">
        <v>4.342759</v>
      </c>
      <c r="C182" s="1433">
        <v>22.506504770164788</v>
      </c>
    </row>
    <row r="183" spans="1:3" x14ac:dyDescent="0.35">
      <c r="A183" s="1431">
        <v>43119</v>
      </c>
      <c r="B183" s="1430">
        <v>4.3260240000000003</v>
      </c>
      <c r="C183" s="1433">
        <v>22.419774501300953</v>
      </c>
    </row>
    <row r="184" spans="1:3" x14ac:dyDescent="0.35">
      <c r="A184" s="1431">
        <v>43126</v>
      </c>
      <c r="B184" s="1430">
        <v>4.3343920000000002</v>
      </c>
      <c r="C184" s="1433">
        <v>22.463139635732869</v>
      </c>
    </row>
    <row r="185" spans="1:3" x14ac:dyDescent="0.35">
      <c r="A185" s="1431">
        <v>43133</v>
      </c>
      <c r="B185" s="1430">
        <v>4.342759</v>
      </c>
      <c r="C185" s="1433">
        <v>22.506504770164788</v>
      </c>
    </row>
    <row r="186" spans="1:3" x14ac:dyDescent="0.35">
      <c r="A186" s="1431">
        <v>43140</v>
      </c>
      <c r="B186" s="1430">
        <v>4.3929640000000001</v>
      </c>
      <c r="C186" s="1433">
        <v>22.22692633361558</v>
      </c>
    </row>
    <row r="187" spans="1:3" x14ac:dyDescent="0.35">
      <c r="A187" s="1431">
        <v>43147</v>
      </c>
      <c r="B187" s="1430">
        <v>4.7109310000000004</v>
      </c>
      <c r="C187" s="1433">
        <v>23.835732430143945</v>
      </c>
    </row>
    <row r="188" spans="1:3" x14ac:dyDescent="0.35">
      <c r="A188" s="1431">
        <v>43154</v>
      </c>
      <c r="B188" s="1430">
        <v>4.8448120000000001</v>
      </c>
      <c r="C188" s="1433">
        <v>24.409780775716694</v>
      </c>
    </row>
    <row r="189" spans="1:3" x14ac:dyDescent="0.35">
      <c r="A189" s="1431">
        <v>43161</v>
      </c>
      <c r="B189" s="1430">
        <v>5.0037960000000004</v>
      </c>
      <c r="C189" s="1433">
        <v>25.210792580101181</v>
      </c>
    </row>
    <row r="190" spans="1:3" x14ac:dyDescent="0.35">
      <c r="A190" s="1431">
        <v>43168</v>
      </c>
      <c r="B190" s="1430">
        <v>5.2799250000000004</v>
      </c>
      <c r="C190" s="1433">
        <v>26.60202360876897</v>
      </c>
    </row>
    <row r="191" spans="1:3" x14ac:dyDescent="0.35">
      <c r="A191" s="1431">
        <v>43175</v>
      </c>
      <c r="B191" s="1430">
        <v>5.4556440000000004</v>
      </c>
      <c r="C191" s="1433">
        <v>27.487352445193928</v>
      </c>
    </row>
    <row r="192" spans="1:3" x14ac:dyDescent="0.35">
      <c r="A192" s="1431">
        <v>43182</v>
      </c>
      <c r="B192" s="1430">
        <v>5.4054380000000002</v>
      </c>
      <c r="C192" s="1433">
        <v>26.281529698942229</v>
      </c>
    </row>
    <row r="193" spans="1:3" x14ac:dyDescent="0.35">
      <c r="A193" s="1431">
        <v>43189</v>
      </c>
      <c r="B193" s="1430">
        <v>5.7344989999999996</v>
      </c>
      <c r="C193" s="1433">
        <v>27.74613506916192</v>
      </c>
    </row>
    <row r="194" spans="1:3" x14ac:dyDescent="0.35">
      <c r="A194" s="1431">
        <v>43196</v>
      </c>
      <c r="B194" s="1430">
        <v>5.5915569999999999</v>
      </c>
      <c r="C194" s="1433">
        <v>27.054515866558177</v>
      </c>
    </row>
    <row r="195" spans="1:3" x14ac:dyDescent="0.35">
      <c r="A195" s="1431">
        <v>43203</v>
      </c>
      <c r="B195" s="1430">
        <v>5.6588240000000001</v>
      </c>
      <c r="C195" s="1433">
        <v>27.379983726606998</v>
      </c>
    </row>
    <row r="196" spans="1:3" x14ac:dyDescent="0.35">
      <c r="A196" s="1431">
        <v>43210</v>
      </c>
      <c r="B196" s="1430">
        <v>5.8017659999999998</v>
      </c>
      <c r="C196" s="1433">
        <v>28.071602929210741</v>
      </c>
    </row>
    <row r="197" spans="1:3" x14ac:dyDescent="0.35">
      <c r="A197" s="1431">
        <v>43217</v>
      </c>
      <c r="B197" s="1430">
        <v>5.8017659999999998</v>
      </c>
      <c r="C197" s="1433">
        <v>28.071602929210741</v>
      </c>
    </row>
    <row r="198" spans="1:3" x14ac:dyDescent="0.35">
      <c r="A198" s="1431">
        <v>43224</v>
      </c>
      <c r="B198" s="1430">
        <v>5.7933579999999996</v>
      </c>
      <c r="C198" s="1433">
        <v>28.030919446704637</v>
      </c>
    </row>
    <row r="199" spans="1:3" x14ac:dyDescent="0.35">
      <c r="A199" s="1431">
        <v>43231</v>
      </c>
      <c r="B199" s="1430">
        <v>6.0035670000000003</v>
      </c>
      <c r="C199" s="1433">
        <v>29.048006509357201</v>
      </c>
    </row>
    <row r="200" spans="1:3" x14ac:dyDescent="0.35">
      <c r="A200" s="1431">
        <v>43238</v>
      </c>
      <c r="B200" s="1430">
        <v>5.6335990000000002</v>
      </c>
      <c r="C200" s="1433">
        <v>27.32463295269168</v>
      </c>
    </row>
    <row r="201" spans="1:3" x14ac:dyDescent="0.35">
      <c r="A201" s="1431">
        <v>43245</v>
      </c>
      <c r="B201" s="1430">
        <v>6.1717339999999998</v>
      </c>
      <c r="C201" s="1433">
        <v>28.460643660333464</v>
      </c>
    </row>
    <row r="202" spans="1:3" x14ac:dyDescent="0.35">
      <c r="A202" s="1431">
        <v>43252</v>
      </c>
      <c r="B202" s="1430">
        <v>6.4492099999999999</v>
      </c>
      <c r="C202" s="1433">
        <v>29.740209383481968</v>
      </c>
    </row>
    <row r="203" spans="1:3" x14ac:dyDescent="0.35">
      <c r="A203" s="1431">
        <v>43259</v>
      </c>
      <c r="B203" s="1430">
        <v>6.4408010000000004</v>
      </c>
      <c r="C203" s="1433">
        <v>29.701434664598683</v>
      </c>
    </row>
    <row r="204" spans="1:3" x14ac:dyDescent="0.35">
      <c r="A204" s="1431">
        <v>43266</v>
      </c>
      <c r="B204" s="1430">
        <v>6.2558170000000004</v>
      </c>
      <c r="C204" s="1433">
        <v>28.848390849166343</v>
      </c>
    </row>
    <row r="205" spans="1:3" x14ac:dyDescent="0.35">
      <c r="A205" s="1431">
        <v>43273</v>
      </c>
      <c r="B205" s="1430">
        <v>6.3903509999999999</v>
      </c>
      <c r="C205" s="1433">
        <v>29.468786351298952</v>
      </c>
    </row>
    <row r="206" spans="1:3" x14ac:dyDescent="0.35">
      <c r="A206" s="1431">
        <v>43280</v>
      </c>
      <c r="B206" s="1430">
        <v>6.4408010000000004</v>
      </c>
      <c r="C206" s="1433">
        <v>29.701434664598683</v>
      </c>
    </row>
    <row r="207" spans="1:3" x14ac:dyDescent="0.35">
      <c r="A207" s="1431">
        <v>43287</v>
      </c>
      <c r="B207" s="1430">
        <v>6.08765</v>
      </c>
      <c r="C207" s="1433">
        <v>28.072896471500581</v>
      </c>
    </row>
    <row r="208" spans="1:3" x14ac:dyDescent="0.35">
      <c r="A208" s="1431">
        <v>43294</v>
      </c>
      <c r="B208" s="1430">
        <v>6.7855439999999998</v>
      </c>
      <c r="C208" s="1433">
        <v>28.505828329212292</v>
      </c>
    </row>
    <row r="209" spans="1:3" x14ac:dyDescent="0.35">
      <c r="A209" s="1431">
        <v>43301</v>
      </c>
      <c r="B209" s="1430">
        <v>6.7098690000000003</v>
      </c>
      <c r="C209" s="1433">
        <v>27.366255144032923</v>
      </c>
    </row>
    <row r="210" spans="1:3" x14ac:dyDescent="0.35">
      <c r="A210" s="1431">
        <v>43308</v>
      </c>
      <c r="B210" s="1430">
        <v>6.9032609999999996</v>
      </c>
      <c r="C210" s="1433">
        <v>28.155006858710561</v>
      </c>
    </row>
    <row r="211" spans="1:3" x14ac:dyDescent="0.35">
      <c r="A211" s="1431">
        <v>43315</v>
      </c>
      <c r="B211" s="1430">
        <v>7.037795</v>
      </c>
      <c r="C211" s="1433">
        <v>28.703703703703702</v>
      </c>
    </row>
    <row r="212" spans="1:3" x14ac:dyDescent="0.35">
      <c r="A212" s="1431">
        <v>43322</v>
      </c>
      <c r="B212" s="1430">
        <v>6.8359940000000003</v>
      </c>
      <c r="C212" s="1433">
        <v>27.880658436213992</v>
      </c>
    </row>
    <row r="213" spans="1:3" x14ac:dyDescent="0.35">
      <c r="A213" s="1431">
        <v>43329</v>
      </c>
      <c r="B213" s="1430">
        <v>7.1050610000000001</v>
      </c>
      <c r="C213" s="1433">
        <v>28.978052126200275</v>
      </c>
    </row>
    <row r="214" spans="1:3" x14ac:dyDescent="0.35">
      <c r="A214" s="1431">
        <v>43336</v>
      </c>
      <c r="B214" s="1430">
        <v>7.0546110000000004</v>
      </c>
      <c r="C214" s="1433">
        <v>28.772290809327846</v>
      </c>
    </row>
    <row r="215" spans="1:3" x14ac:dyDescent="0.35">
      <c r="A215" s="1431">
        <v>43343</v>
      </c>
      <c r="B215" s="1430">
        <v>7.1471030000000004</v>
      </c>
      <c r="C215" s="1433">
        <v>29.149519890260631</v>
      </c>
    </row>
    <row r="216" spans="1:3" x14ac:dyDescent="0.35">
      <c r="A216" s="1431">
        <v>43350</v>
      </c>
      <c r="B216" s="1430">
        <v>6.9116689999999998</v>
      </c>
      <c r="C216" s="1433">
        <v>28.189300411522634</v>
      </c>
    </row>
    <row r="217" spans="1:3" x14ac:dyDescent="0.35">
      <c r="A217" s="1431">
        <v>43357</v>
      </c>
      <c r="B217" s="1430">
        <v>6.8780359999999998</v>
      </c>
      <c r="C217" s="1433">
        <v>28.052126200274348</v>
      </c>
    </row>
    <row r="218" spans="1:3" x14ac:dyDescent="0.35">
      <c r="A218" s="1431">
        <v>43364</v>
      </c>
      <c r="B218" s="1430">
        <v>6.7519099999999996</v>
      </c>
      <c r="C218" s="1433">
        <v>27.537722908093279</v>
      </c>
    </row>
    <row r="219" spans="1:3" x14ac:dyDescent="0.35">
      <c r="A219" s="1431">
        <v>43371</v>
      </c>
      <c r="B219" s="1430">
        <v>6.6846439999999996</v>
      </c>
      <c r="C219" s="1433">
        <v>27.263374485596707</v>
      </c>
    </row>
    <row r="220" spans="1:3" x14ac:dyDescent="0.35">
      <c r="A220" s="1431">
        <v>43378</v>
      </c>
      <c r="B220" s="1430">
        <v>6.608968</v>
      </c>
      <c r="C220" s="1433">
        <v>26.954732510288064</v>
      </c>
    </row>
    <row r="221" spans="1:3" x14ac:dyDescent="0.35">
      <c r="A221" s="1431">
        <v>43385</v>
      </c>
      <c r="B221" s="1430">
        <v>6.0960590000000003</v>
      </c>
      <c r="C221" s="1433">
        <v>24.862825788751714</v>
      </c>
    </row>
    <row r="222" spans="1:3" x14ac:dyDescent="0.35">
      <c r="A222" s="1431">
        <v>43392</v>
      </c>
      <c r="B222" s="1430">
        <v>6.2474090000000002</v>
      </c>
      <c r="C222" s="1433">
        <v>24.946279881815741</v>
      </c>
    </row>
    <row r="223" spans="1:3" x14ac:dyDescent="0.35">
      <c r="A223" s="1431">
        <v>43399</v>
      </c>
      <c r="B223" s="1430">
        <v>5.6083740000000004</v>
      </c>
      <c r="C223" s="1433">
        <v>22.394574268063391</v>
      </c>
    </row>
    <row r="224" spans="1:3" x14ac:dyDescent="0.35">
      <c r="A224" s="1431">
        <v>43406</v>
      </c>
      <c r="B224" s="1430">
        <v>5.6233510000000004</v>
      </c>
      <c r="C224" s="1433">
        <v>21.622347569164653</v>
      </c>
    </row>
    <row r="225" spans="1:3" x14ac:dyDescent="0.35">
      <c r="A225" s="1431">
        <v>43413</v>
      </c>
      <c r="B225" s="1430">
        <v>5.7194019999999997</v>
      </c>
      <c r="C225" s="1433">
        <v>21.991673381681441</v>
      </c>
    </row>
    <row r="226" spans="1:3" x14ac:dyDescent="0.35">
      <c r="A226" s="1431">
        <v>43420</v>
      </c>
      <c r="B226" s="1430">
        <v>5.4137849999999998</v>
      </c>
      <c r="C226" s="1433">
        <v>20.816545796400753</v>
      </c>
    </row>
    <row r="227" spans="1:3" x14ac:dyDescent="0.35">
      <c r="A227" s="1431">
        <v>43427</v>
      </c>
      <c r="B227" s="1430">
        <v>5.2740739999999997</v>
      </c>
      <c r="C227" s="1433">
        <v>20.279344614558152</v>
      </c>
    </row>
    <row r="228" spans="1:3" x14ac:dyDescent="0.35">
      <c r="A228" s="1431">
        <v>43434</v>
      </c>
      <c r="B228" s="1430">
        <v>5.2566110000000004</v>
      </c>
      <c r="C228" s="1433">
        <v>20.212194466827828</v>
      </c>
    </row>
    <row r="229" spans="1:3" x14ac:dyDescent="0.35">
      <c r="A229" s="1431">
        <v>43441</v>
      </c>
      <c r="B229" s="1430">
        <v>5.195487</v>
      </c>
      <c r="C229" s="1433">
        <v>19.977168949771688</v>
      </c>
    </row>
    <row r="230" spans="1:3" x14ac:dyDescent="0.35">
      <c r="A230" s="1431">
        <v>43448</v>
      </c>
      <c r="B230" s="1430">
        <v>5.2566110000000004</v>
      </c>
      <c r="C230" s="1433">
        <v>20.212194466827828</v>
      </c>
    </row>
    <row r="231" spans="1:3" x14ac:dyDescent="0.35">
      <c r="A231" s="1431">
        <v>43455</v>
      </c>
      <c r="B231" s="1430">
        <v>5.1605600000000003</v>
      </c>
      <c r="C231" s="1433">
        <v>19.530733641771317</v>
      </c>
    </row>
    <row r="232" spans="1:3" x14ac:dyDescent="0.35">
      <c r="A232" s="1431">
        <v>43462</v>
      </c>
      <c r="B232" s="1430">
        <v>5.0033849999999997</v>
      </c>
      <c r="C232" s="1433">
        <v>18.935888962326505</v>
      </c>
    </row>
    <row r="233" spans="1:3" x14ac:dyDescent="0.35">
      <c r="A233" s="1431">
        <v>43469</v>
      </c>
      <c r="B233" s="1430">
        <v>5.0470449999999998</v>
      </c>
      <c r="C233" s="1433">
        <v>19.101123595505619</v>
      </c>
    </row>
    <row r="234" spans="1:3" x14ac:dyDescent="0.35">
      <c r="A234" s="1431">
        <v>43476</v>
      </c>
      <c r="B234" s="1430">
        <v>5.9377000000000004</v>
      </c>
      <c r="C234" s="1433">
        <v>21.621621621621621</v>
      </c>
    </row>
    <row r="235" spans="1:3" x14ac:dyDescent="0.35">
      <c r="A235" s="1431">
        <v>43483</v>
      </c>
      <c r="B235" s="1430">
        <v>6.0424829999999998</v>
      </c>
      <c r="C235" s="1433">
        <v>22.003179650238472</v>
      </c>
    </row>
    <row r="236" spans="1:3" x14ac:dyDescent="0.35">
      <c r="A236" s="1431">
        <v>43490</v>
      </c>
      <c r="B236" s="1430">
        <v>6.1559970000000002</v>
      </c>
      <c r="C236" s="1433">
        <v>22.416534181240063</v>
      </c>
    </row>
    <row r="237" spans="1:3" x14ac:dyDescent="0.35">
      <c r="A237" s="1431">
        <v>43497</v>
      </c>
      <c r="B237" s="1430">
        <v>6.1385339999999999</v>
      </c>
      <c r="C237" s="1433">
        <v>22.352941176470587</v>
      </c>
    </row>
    <row r="238" spans="1:3" x14ac:dyDescent="0.35">
      <c r="A238" s="1431">
        <v>43504</v>
      </c>
      <c r="B238" s="1430">
        <v>6.190925</v>
      </c>
      <c r="C238" s="1433">
        <v>22.543720190779013</v>
      </c>
    </row>
    <row r="239" spans="1:3" x14ac:dyDescent="0.35">
      <c r="A239" s="1431">
        <v>43511</v>
      </c>
      <c r="B239" s="1430">
        <v>6.2520480000000003</v>
      </c>
      <c r="C239" s="1433">
        <v>22.766295707472178</v>
      </c>
    </row>
    <row r="240" spans="1:3" x14ac:dyDescent="0.35">
      <c r="A240" s="1431">
        <v>43518</v>
      </c>
      <c r="B240" s="1430">
        <v>6.5227380000000004</v>
      </c>
      <c r="C240" s="1433">
        <v>23.751987281399046</v>
      </c>
    </row>
    <row r="241" spans="1:3" x14ac:dyDescent="0.35">
      <c r="A241" s="1431">
        <v>43525</v>
      </c>
      <c r="B241" s="1430">
        <v>6.7934270000000003</v>
      </c>
      <c r="C241" s="1433">
        <v>24.737678855325914</v>
      </c>
    </row>
    <row r="242" spans="1:3" x14ac:dyDescent="0.35">
      <c r="A242" s="1431">
        <v>43532</v>
      </c>
      <c r="B242" s="1430">
        <v>6.5663970000000003</v>
      </c>
      <c r="C242" s="1433">
        <v>23.910969793322735</v>
      </c>
    </row>
    <row r="243" spans="1:3" x14ac:dyDescent="0.35">
      <c r="A243" s="1431">
        <v>43539</v>
      </c>
      <c r="B243" s="1430">
        <v>7.1863630000000001</v>
      </c>
      <c r="C243" s="1433">
        <v>26.168521462639109</v>
      </c>
    </row>
    <row r="244" spans="1:3" x14ac:dyDescent="0.35">
      <c r="A244" s="1431">
        <v>43546</v>
      </c>
      <c r="B244" s="1430">
        <v>7.3435370000000004</v>
      </c>
      <c r="C244" s="1433">
        <v>25.484848484848484</v>
      </c>
    </row>
    <row r="245" spans="1:3" x14ac:dyDescent="0.35">
      <c r="A245" s="1431">
        <v>43553</v>
      </c>
      <c r="B245" s="1430">
        <v>7.2474860000000003</v>
      </c>
      <c r="C245" s="1433">
        <v>24.969915764139589</v>
      </c>
    </row>
    <row r="246" spans="1:3" x14ac:dyDescent="0.35">
      <c r="A246" s="1431">
        <v>43560</v>
      </c>
      <c r="B246" s="1430">
        <v>7.47879</v>
      </c>
      <c r="C246" s="1433">
        <v>25.63176895306859</v>
      </c>
    </row>
    <row r="247" spans="1:3" x14ac:dyDescent="0.35">
      <c r="A247" s="1431">
        <v>43567</v>
      </c>
      <c r="B247" s="1430">
        <v>7.6236259999999998</v>
      </c>
      <c r="C247" s="1433">
        <v>26.128158844765341</v>
      </c>
    </row>
    <row r="248" spans="1:3" x14ac:dyDescent="0.35">
      <c r="A248" s="1431">
        <v>43574</v>
      </c>
      <c r="B248" s="1430">
        <v>7.6280150000000004</v>
      </c>
      <c r="C248" s="1433">
        <v>26.143200962695548</v>
      </c>
    </row>
    <row r="249" spans="1:3" x14ac:dyDescent="0.35">
      <c r="A249" s="1431">
        <v>43581</v>
      </c>
      <c r="B249" s="1430">
        <v>7.7245720000000002</v>
      </c>
      <c r="C249" s="1433">
        <v>26.474127557160049</v>
      </c>
    </row>
    <row r="250" spans="1:3" x14ac:dyDescent="0.35">
      <c r="A250" s="1431">
        <v>43588</v>
      </c>
      <c r="B250" s="1430">
        <v>8.1766349999999992</v>
      </c>
      <c r="C250" s="1433">
        <v>28.023465703971119</v>
      </c>
    </row>
    <row r="251" spans="1:3" x14ac:dyDescent="0.35">
      <c r="A251" s="1431">
        <v>43595</v>
      </c>
      <c r="B251" s="1430">
        <v>7.9045189999999996</v>
      </c>
      <c r="C251" s="1433">
        <v>27.090854392298436</v>
      </c>
    </row>
    <row r="252" spans="1:3" x14ac:dyDescent="0.35">
      <c r="A252" s="1431">
        <v>43602</v>
      </c>
      <c r="B252" s="1430">
        <v>8.2512469999999993</v>
      </c>
      <c r="C252" s="1433">
        <v>28.279181708784598</v>
      </c>
    </row>
    <row r="253" spans="1:3" x14ac:dyDescent="0.35">
      <c r="A253" s="1431">
        <v>43609</v>
      </c>
      <c r="B253" s="1430">
        <v>8.2380800000000001</v>
      </c>
      <c r="C253" s="1433">
        <v>27.758059745637386</v>
      </c>
    </row>
    <row r="254" spans="1:3" x14ac:dyDescent="0.35">
      <c r="A254" s="1431">
        <v>43616</v>
      </c>
      <c r="B254" s="1430">
        <v>7.9835200000000004</v>
      </c>
      <c r="C254" s="1433">
        <v>26.900325347530316</v>
      </c>
    </row>
    <row r="255" spans="1:3" x14ac:dyDescent="0.35">
      <c r="A255" s="1431">
        <v>43623</v>
      </c>
      <c r="B255" s="1430">
        <v>8.1634679999999999</v>
      </c>
      <c r="C255" s="1433">
        <v>27.506654835847382</v>
      </c>
    </row>
    <row r="256" spans="1:3" x14ac:dyDescent="0.35">
      <c r="A256" s="1431">
        <v>43630</v>
      </c>
      <c r="B256" s="1430">
        <v>8.2600250000000006</v>
      </c>
      <c r="C256" s="1433">
        <v>27.832002366163856</v>
      </c>
    </row>
    <row r="257" spans="1:3" x14ac:dyDescent="0.35">
      <c r="A257" s="1431">
        <v>43637</v>
      </c>
      <c r="B257" s="1430">
        <v>8.2424689999999998</v>
      </c>
      <c r="C257" s="1433">
        <v>27.772848269742681</v>
      </c>
    </row>
    <row r="258" spans="1:3" x14ac:dyDescent="0.35">
      <c r="A258" s="1431">
        <v>43644</v>
      </c>
      <c r="B258" s="1430">
        <v>8.5277519999999996</v>
      </c>
      <c r="C258" s="1433">
        <v>28.734102336586808</v>
      </c>
    </row>
    <row r="259" spans="1:3" x14ac:dyDescent="0.35">
      <c r="A259" s="1431">
        <v>43651</v>
      </c>
      <c r="B259" s="1430">
        <v>8.5233629999999998</v>
      </c>
      <c r="C259" s="1433">
        <v>28.719313812481513</v>
      </c>
    </row>
    <row r="260" spans="1:3" x14ac:dyDescent="0.35">
      <c r="A260" s="1431">
        <v>43658</v>
      </c>
      <c r="B260" s="1430">
        <v>8.3565819999999995</v>
      </c>
      <c r="C260" s="1433">
        <v>28.15734989648033</v>
      </c>
    </row>
    <row r="261" spans="1:3" x14ac:dyDescent="0.35">
      <c r="A261" s="1431">
        <v>43665</v>
      </c>
      <c r="B261" s="1430">
        <v>8.2380800000000001</v>
      </c>
      <c r="C261" s="1433">
        <v>27.758059745637386</v>
      </c>
    </row>
    <row r="262" spans="1:3" x14ac:dyDescent="0.35">
      <c r="A262" s="1431">
        <v>43672</v>
      </c>
      <c r="B262" s="1430">
        <v>8.3741380000000003</v>
      </c>
      <c r="C262" s="1433">
        <v>27.524523946912868</v>
      </c>
    </row>
    <row r="263" spans="1:3" x14ac:dyDescent="0.35">
      <c r="A263" s="1431">
        <v>43679</v>
      </c>
      <c r="B263" s="1430">
        <v>8.1590790000000002</v>
      </c>
      <c r="C263" s="1433">
        <v>26.301641199773627</v>
      </c>
    </row>
    <row r="264" spans="1:3" x14ac:dyDescent="0.35">
      <c r="A264" s="1431">
        <v>43686</v>
      </c>
      <c r="B264" s="1430">
        <v>8.023021</v>
      </c>
      <c r="C264" s="1433">
        <v>25.782792665726376</v>
      </c>
    </row>
    <row r="265" spans="1:3" x14ac:dyDescent="0.35">
      <c r="A265" s="1431">
        <v>43693</v>
      </c>
      <c r="B265" s="1430">
        <v>8.2731919999999999</v>
      </c>
      <c r="C265" s="1433">
        <v>26.586741889985895</v>
      </c>
    </row>
    <row r="266" spans="1:3" x14ac:dyDescent="0.35">
      <c r="A266" s="1431">
        <v>43700</v>
      </c>
      <c r="B266" s="1430">
        <v>8.6857539999999993</v>
      </c>
      <c r="C266" s="1433">
        <v>27.912552891396334</v>
      </c>
    </row>
    <row r="267" spans="1:3" x14ac:dyDescent="0.35">
      <c r="A267" s="1431">
        <v>43707</v>
      </c>
      <c r="B267" s="1430">
        <v>9.1290390000000006</v>
      </c>
      <c r="C267" s="1433">
        <v>29.337094499294782</v>
      </c>
    </row>
    <row r="268" spans="1:3" x14ac:dyDescent="0.35">
      <c r="A268" s="1431">
        <v>43714</v>
      </c>
      <c r="B268" s="1430">
        <v>8.9710370000000008</v>
      </c>
      <c r="C268" s="1433">
        <v>28.829337094499294</v>
      </c>
    </row>
    <row r="269" spans="1:3" x14ac:dyDescent="0.35">
      <c r="A269" s="1431">
        <v>43721</v>
      </c>
      <c r="B269" s="1430">
        <v>8.6243090000000002</v>
      </c>
      <c r="C269" s="1433">
        <v>27.715091678420311</v>
      </c>
    </row>
    <row r="270" spans="1:3" x14ac:dyDescent="0.35">
      <c r="A270" s="1431">
        <v>43728</v>
      </c>
      <c r="B270" s="1430">
        <v>8.7471999999999994</v>
      </c>
      <c r="C270" s="1433">
        <v>28.110014104372354</v>
      </c>
    </row>
    <row r="271" spans="1:3" x14ac:dyDescent="0.35">
      <c r="A271" s="1431">
        <v>43735</v>
      </c>
      <c r="B271" s="1430">
        <v>8.769145</v>
      </c>
      <c r="C271" s="1433">
        <v>28.180535966149506</v>
      </c>
    </row>
    <row r="272" spans="1:3" x14ac:dyDescent="0.35">
      <c r="A272" s="1431">
        <v>43742</v>
      </c>
      <c r="B272" s="1430">
        <v>8.5672519999999999</v>
      </c>
      <c r="C272" s="1433">
        <v>27.531734837799718</v>
      </c>
    </row>
    <row r="273" spans="1:3" x14ac:dyDescent="0.35">
      <c r="A273" s="1431">
        <v>43749</v>
      </c>
      <c r="B273" s="1430">
        <v>8.3609709999999993</v>
      </c>
      <c r="C273" s="1433">
        <v>26.8688293370945</v>
      </c>
    </row>
    <row r="274" spans="1:3" x14ac:dyDescent="0.35">
      <c r="A274" s="1431">
        <v>43756</v>
      </c>
      <c r="B274" s="1430">
        <v>8.5277519999999996</v>
      </c>
      <c r="C274" s="1433">
        <v>27.404795486600847</v>
      </c>
    </row>
    <row r="275" spans="1:3" x14ac:dyDescent="0.35">
      <c r="A275" s="1431">
        <v>43763</v>
      </c>
      <c r="B275" s="1430">
        <v>8.3390260000000005</v>
      </c>
      <c r="C275" s="1433">
        <v>26.124020349236904</v>
      </c>
    </row>
    <row r="276" spans="1:3" x14ac:dyDescent="0.35">
      <c r="A276" s="1431">
        <v>43770</v>
      </c>
      <c r="B276" s="1430">
        <v>8.4443610000000007</v>
      </c>
      <c r="C276" s="1433">
        <v>26.253308953961191</v>
      </c>
    </row>
    <row r="277" spans="1:3" x14ac:dyDescent="0.35">
      <c r="A277" s="1431">
        <v>43777</v>
      </c>
      <c r="B277" s="1430">
        <v>9.8623539999999998</v>
      </c>
      <c r="C277" s="1433">
        <v>29.910214774991129</v>
      </c>
    </row>
    <row r="278" spans="1:3" x14ac:dyDescent="0.35">
      <c r="A278" s="1431">
        <v>43784</v>
      </c>
      <c r="B278" s="1430">
        <v>10.393266000000001</v>
      </c>
      <c r="C278" s="1433">
        <v>31.520344949922222</v>
      </c>
    </row>
    <row r="279" spans="1:3" x14ac:dyDescent="0.35">
      <c r="A279" s="1431">
        <v>43791</v>
      </c>
      <c r="B279" s="1430">
        <v>10.447257</v>
      </c>
      <c r="C279" s="1433">
        <v>31.684087001610131</v>
      </c>
    </row>
    <row r="280" spans="1:3" x14ac:dyDescent="0.35">
      <c r="A280" s="1431">
        <v>43798</v>
      </c>
      <c r="B280" s="1430">
        <v>10.132308999999999</v>
      </c>
      <c r="C280" s="1433">
        <v>30.758304195804197</v>
      </c>
    </row>
    <row r="281" spans="1:3" x14ac:dyDescent="0.35">
      <c r="A281" s="1431">
        <v>43805</v>
      </c>
      <c r="B281" s="1430">
        <v>9.9073469999999997</v>
      </c>
      <c r="C281" s="1433">
        <v>30.075393356643357</v>
      </c>
    </row>
    <row r="282" spans="1:3" x14ac:dyDescent="0.35">
      <c r="A282" s="1431">
        <v>43812</v>
      </c>
      <c r="B282" s="1430">
        <v>10.00633</v>
      </c>
      <c r="C282" s="1433">
        <v>30.375874125874127</v>
      </c>
    </row>
    <row r="283" spans="1:3" x14ac:dyDescent="0.35">
      <c r="A283" s="1431">
        <v>43819</v>
      </c>
      <c r="B283" s="1430">
        <v>10.132308999999999</v>
      </c>
      <c r="C283" s="1433">
        <v>30.758304195804197</v>
      </c>
    </row>
    <row r="284" spans="1:3" x14ac:dyDescent="0.35">
      <c r="A284" s="1431">
        <v>43826</v>
      </c>
      <c r="B284" s="1430">
        <v>10.546239999999999</v>
      </c>
      <c r="C284" s="1433">
        <v>32.01486013986014</v>
      </c>
    </row>
    <row r="285" spans="1:3" x14ac:dyDescent="0.35">
      <c r="A285" s="1431">
        <v>43833</v>
      </c>
      <c r="B285" s="1430">
        <v>10.654222000000001</v>
      </c>
      <c r="C285" s="1433">
        <v>32.34265734265734</v>
      </c>
    </row>
    <row r="286" spans="1:3" x14ac:dyDescent="0.35">
      <c r="A286" s="1431">
        <v>43840</v>
      </c>
      <c r="B286" s="1430">
        <v>10.357272</v>
      </c>
      <c r="C286" s="1433">
        <v>31.441215034965033</v>
      </c>
    </row>
    <row r="287" spans="1:3" x14ac:dyDescent="0.35">
      <c r="A287" s="1431">
        <v>43847</v>
      </c>
      <c r="B287" s="1430">
        <v>11.104146999999999</v>
      </c>
      <c r="C287" s="1433">
        <v>33.343240833310816</v>
      </c>
    </row>
    <row r="288" spans="1:3" x14ac:dyDescent="0.35">
      <c r="A288" s="1431">
        <v>43854</v>
      </c>
      <c r="B288" s="1430">
        <v>11.221128</v>
      </c>
      <c r="C288" s="1433">
        <v>33.041865394806571</v>
      </c>
    </row>
    <row r="289" spans="1:3" x14ac:dyDescent="0.35">
      <c r="A289" s="1431">
        <v>43861</v>
      </c>
      <c r="B289" s="1430">
        <v>10.393266000000001</v>
      </c>
      <c r="C289" s="1433">
        <v>30.604133545310017</v>
      </c>
    </row>
    <row r="290" spans="1:3" x14ac:dyDescent="0.35">
      <c r="A290" s="1431">
        <v>43868</v>
      </c>
      <c r="B290" s="1430">
        <v>10.978168</v>
      </c>
      <c r="C290" s="1433">
        <v>32.326444091149973</v>
      </c>
    </row>
    <row r="291" spans="1:3" x14ac:dyDescent="0.35">
      <c r="A291" s="1431">
        <v>43875</v>
      </c>
      <c r="B291" s="1430">
        <v>11.320111000000001</v>
      </c>
      <c r="C291" s="1433">
        <v>33.333333333333336</v>
      </c>
    </row>
    <row r="292" spans="1:3" x14ac:dyDescent="0.35">
      <c r="A292" s="1431">
        <v>43882</v>
      </c>
      <c r="B292" s="1430">
        <v>10.708213000000001</v>
      </c>
      <c r="C292" s="1433">
        <v>31.531531531531531</v>
      </c>
    </row>
    <row r="293" spans="1:3" x14ac:dyDescent="0.35">
      <c r="A293" s="1431">
        <v>43889</v>
      </c>
      <c r="B293" s="1430">
        <v>9.5024139999999999</v>
      </c>
      <c r="C293" s="1433">
        <v>27.855447111580059</v>
      </c>
    </row>
    <row r="294" spans="1:3" x14ac:dyDescent="0.35">
      <c r="A294" s="1431">
        <v>43896</v>
      </c>
      <c r="B294" s="1430">
        <v>9.3134460000000008</v>
      </c>
      <c r="C294" s="1433">
        <v>27.301503561065683</v>
      </c>
    </row>
    <row r="295" spans="1:3" x14ac:dyDescent="0.35">
      <c r="A295" s="1431">
        <v>43903</v>
      </c>
      <c r="B295" s="1430">
        <v>8.8005309999999994</v>
      </c>
      <c r="C295" s="1433">
        <v>25.934765314240256</v>
      </c>
    </row>
    <row r="296" spans="1:3" x14ac:dyDescent="0.35">
      <c r="A296" s="1431">
        <v>43910</v>
      </c>
      <c r="B296" s="1430">
        <v>8.3821010000000005</v>
      </c>
      <c r="C296" s="1433">
        <v>24.513157894736842</v>
      </c>
    </row>
    <row r="297" spans="1:3" x14ac:dyDescent="0.35">
      <c r="A297" s="1431">
        <v>43917</v>
      </c>
      <c r="B297" s="1430">
        <v>9.1784680000000005</v>
      </c>
      <c r="C297" s="1433">
        <v>26.842105263157894</v>
      </c>
    </row>
    <row r="298" spans="1:3" x14ac:dyDescent="0.35">
      <c r="A298" s="1431">
        <v>43924</v>
      </c>
      <c r="B298" s="1430">
        <v>8.4720859999999991</v>
      </c>
      <c r="C298" s="1433">
        <v>25.019930906191867</v>
      </c>
    </row>
    <row r="299" spans="1:3" x14ac:dyDescent="0.35">
      <c r="A299" s="1431">
        <v>43931</v>
      </c>
      <c r="B299" s="1430">
        <v>9.6013979999999997</v>
      </c>
      <c r="C299" s="1433">
        <v>28.355035875631145</v>
      </c>
    </row>
    <row r="300" spans="1:3" x14ac:dyDescent="0.35">
      <c r="A300" s="1431">
        <v>43938</v>
      </c>
      <c r="B300" s="1430">
        <v>9.9973320000000001</v>
      </c>
      <c r="C300" s="1433">
        <v>29.618768328445746</v>
      </c>
    </row>
    <row r="301" spans="1:3" x14ac:dyDescent="0.35">
      <c r="A301" s="1431">
        <v>43945</v>
      </c>
      <c r="B301" s="1430">
        <v>9.8983480000000004</v>
      </c>
      <c r="C301" s="1433">
        <v>28.886554621848738</v>
      </c>
    </row>
    <row r="302" spans="1:3" x14ac:dyDescent="0.35">
      <c r="A302" s="1431">
        <v>43952</v>
      </c>
      <c r="B302" s="1430">
        <v>10.105314</v>
      </c>
      <c r="C302" s="1433">
        <v>29.490546218487395</v>
      </c>
    </row>
    <row r="303" spans="1:3" x14ac:dyDescent="0.35">
      <c r="A303" s="1431">
        <v>43959</v>
      </c>
      <c r="B303" s="1430">
        <v>10.24929</v>
      </c>
      <c r="C303" s="1433">
        <v>29.910714285714285</v>
      </c>
    </row>
    <row r="304" spans="1:3" x14ac:dyDescent="0.35">
      <c r="A304" s="1431">
        <v>43966</v>
      </c>
      <c r="B304" s="1430">
        <v>10.492248999999999</v>
      </c>
      <c r="C304" s="1433">
        <v>30.619747899159663</v>
      </c>
    </row>
    <row r="305" spans="1:3" x14ac:dyDescent="0.35">
      <c r="A305" s="1431">
        <v>43973</v>
      </c>
      <c r="B305" s="1430">
        <v>11.311113000000001</v>
      </c>
      <c r="C305" s="1433">
        <v>33.009453781512605</v>
      </c>
    </row>
    <row r="306" spans="1:3" x14ac:dyDescent="0.35">
      <c r="A306" s="1431">
        <v>43980</v>
      </c>
      <c r="B306" s="1430">
        <v>10.312279</v>
      </c>
      <c r="C306" s="1433">
        <v>30.245447347585113</v>
      </c>
    </row>
    <row r="307" spans="1:3" x14ac:dyDescent="0.35">
      <c r="A307" s="1431">
        <v>43987</v>
      </c>
      <c r="B307" s="1430">
        <v>10.096315000000001</v>
      </c>
      <c r="C307" s="1433">
        <v>29.612034837688043</v>
      </c>
    </row>
    <row r="308" spans="1:3" x14ac:dyDescent="0.35">
      <c r="A308" s="1431">
        <v>43994</v>
      </c>
      <c r="B308" s="1430">
        <v>9.2864500000000003</v>
      </c>
      <c r="C308" s="1433">
        <v>27.23673792557403</v>
      </c>
    </row>
    <row r="309" spans="1:3" x14ac:dyDescent="0.35">
      <c r="A309" s="1431">
        <v>44001</v>
      </c>
      <c r="B309" s="1430">
        <v>9.8803509999999992</v>
      </c>
      <c r="C309" s="1433">
        <v>28.978622327790973</v>
      </c>
    </row>
    <row r="310" spans="1:3" x14ac:dyDescent="0.35">
      <c r="A310" s="1431">
        <v>44008</v>
      </c>
      <c r="B310" s="1430">
        <v>9.8803509999999992</v>
      </c>
      <c r="C310" s="1433">
        <v>28.978622327790973</v>
      </c>
    </row>
    <row r="311" spans="1:3" x14ac:dyDescent="0.35">
      <c r="A311" s="1431">
        <v>44015</v>
      </c>
      <c r="B311" s="1430">
        <v>10.222294</v>
      </c>
      <c r="C311" s="1433">
        <v>29.981525468461335</v>
      </c>
    </row>
    <row r="312" spans="1:3" x14ac:dyDescent="0.35">
      <c r="A312" s="1431">
        <v>44022</v>
      </c>
      <c r="B312" s="1430">
        <v>10.420261</v>
      </c>
      <c r="C312" s="1433">
        <v>30.282426778242677</v>
      </c>
    </row>
    <row r="313" spans="1:3" x14ac:dyDescent="0.35">
      <c r="A313" s="1431">
        <v>44029</v>
      </c>
      <c r="B313" s="1430">
        <v>10.348273000000001</v>
      </c>
      <c r="C313" s="1433">
        <v>30.065359477124183</v>
      </c>
    </row>
    <row r="314" spans="1:3" x14ac:dyDescent="0.35">
      <c r="A314" s="1431">
        <v>44036</v>
      </c>
      <c r="B314" s="1430">
        <v>10.573236</v>
      </c>
      <c r="C314" s="1433">
        <v>30.205655526992288</v>
      </c>
    </row>
    <row r="315" spans="1:3" x14ac:dyDescent="0.35">
      <c r="A315" s="1431">
        <v>44043</v>
      </c>
      <c r="B315" s="1430">
        <v>11.347106999999999</v>
      </c>
      <c r="C315" s="1433">
        <v>32.416452442159382</v>
      </c>
    </row>
    <row r="316" spans="1:3" x14ac:dyDescent="0.35">
      <c r="A316" s="1431">
        <v>44050</v>
      </c>
      <c r="B316" s="1430">
        <v>12.390931999999999</v>
      </c>
      <c r="C316" s="1433">
        <v>35.398457583547561</v>
      </c>
    </row>
    <row r="317" spans="1:3" x14ac:dyDescent="0.35">
      <c r="A317" s="1431">
        <v>44057</v>
      </c>
      <c r="B317" s="1430">
        <v>11.833024999999999</v>
      </c>
      <c r="C317" s="1433">
        <v>33.494651044319916</v>
      </c>
    </row>
    <row r="318" spans="1:3" x14ac:dyDescent="0.35">
      <c r="A318" s="1431">
        <v>44064</v>
      </c>
      <c r="B318" s="1430">
        <v>11.869019</v>
      </c>
      <c r="C318" s="1433">
        <v>33.358624178047549</v>
      </c>
    </row>
    <row r="319" spans="1:3" x14ac:dyDescent="0.35">
      <c r="A319" s="1431">
        <v>44071</v>
      </c>
      <c r="B319" s="1430">
        <v>12.444922999999999</v>
      </c>
      <c r="C319" s="1433">
        <v>34.977238239757206</v>
      </c>
    </row>
    <row r="320" spans="1:3" x14ac:dyDescent="0.35">
      <c r="A320" s="1431">
        <v>44078</v>
      </c>
      <c r="B320" s="1430">
        <v>11.707046</v>
      </c>
      <c r="C320" s="1433">
        <v>32.903388973191703</v>
      </c>
    </row>
    <row r="321" spans="1:3" x14ac:dyDescent="0.35">
      <c r="A321" s="1431">
        <v>44085</v>
      </c>
      <c r="B321" s="1430">
        <v>11.248123</v>
      </c>
      <c r="C321" s="1433">
        <v>31.879622545269065</v>
      </c>
    </row>
    <row r="322" spans="1:3" x14ac:dyDescent="0.35">
      <c r="A322" s="1431">
        <v>44092</v>
      </c>
      <c r="B322" s="1430">
        <v>11.194132</v>
      </c>
      <c r="C322" s="1433">
        <v>31.726600357051773</v>
      </c>
    </row>
    <row r="323" spans="1:3" x14ac:dyDescent="0.35">
      <c r="A323" s="1431">
        <v>44099</v>
      </c>
      <c r="B323" s="1430">
        <v>10.753206</v>
      </c>
      <c r="C323" s="1433">
        <v>30.476919153277226</v>
      </c>
    </row>
    <row r="324" spans="1:3" x14ac:dyDescent="0.35">
      <c r="A324" s="1431">
        <v>44106</v>
      </c>
      <c r="B324" s="1430">
        <v>10.618228</v>
      </c>
      <c r="C324" s="1433">
        <v>30.404534913682042</v>
      </c>
    </row>
    <row r="325" spans="1:3" x14ac:dyDescent="0.35">
      <c r="A325" s="1431">
        <v>44113</v>
      </c>
      <c r="B325" s="1430">
        <v>10.834192</v>
      </c>
      <c r="C325" s="1433">
        <v>31.022932233960319</v>
      </c>
    </row>
    <row r="326" spans="1:3" x14ac:dyDescent="0.35">
      <c r="A326" s="1431">
        <v>44120</v>
      </c>
      <c r="B326" s="1430">
        <v>11.095148999999999</v>
      </c>
      <c r="C326" s="1433">
        <v>31.770162329296571</v>
      </c>
    </row>
    <row r="327" spans="1:3" x14ac:dyDescent="0.35">
      <c r="A327" s="1431">
        <v>44127</v>
      </c>
      <c r="B327" s="1430">
        <v>10.654222000000001</v>
      </c>
      <c r="C327" s="1433">
        <v>30.757241200155864</v>
      </c>
    </row>
    <row r="328" spans="1:3" x14ac:dyDescent="0.35">
      <c r="A328" s="1431">
        <v>44134</v>
      </c>
      <c r="B328" s="1430">
        <v>10.123310999999999</v>
      </c>
      <c r="C328" s="1433">
        <v>29.243566415388614</v>
      </c>
    </row>
    <row r="329" spans="1:3" x14ac:dyDescent="0.35">
      <c r="A329" s="1431">
        <v>44141</v>
      </c>
      <c r="B329" s="1430">
        <v>10.322535999999999</v>
      </c>
      <c r="C329" s="1433">
        <v>29.191577852872367</v>
      </c>
    </row>
    <row r="330" spans="1:3" x14ac:dyDescent="0.35">
      <c r="A330" s="1431">
        <v>44148</v>
      </c>
      <c r="B330" s="1430">
        <v>10.267384</v>
      </c>
      <c r="C330" s="1433">
        <v>29.035612165323627</v>
      </c>
    </row>
    <row r="331" spans="1:3" x14ac:dyDescent="0.35">
      <c r="A331" s="1431">
        <v>44155</v>
      </c>
      <c r="B331" s="1430">
        <v>11.085466</v>
      </c>
      <c r="C331" s="1433">
        <v>31.349103197296596</v>
      </c>
    </row>
    <row r="332" spans="1:3" x14ac:dyDescent="0.35">
      <c r="A332" s="1431">
        <v>44162</v>
      </c>
      <c r="B332" s="1430">
        <v>10.533950000000001</v>
      </c>
      <c r="C332" s="1433">
        <v>29.789446321809201</v>
      </c>
    </row>
    <row r="333" spans="1:3" x14ac:dyDescent="0.35">
      <c r="A333" s="1431">
        <v>44169</v>
      </c>
      <c r="B333" s="1430">
        <v>10.451223000000001</v>
      </c>
      <c r="C333" s="1433">
        <v>29.555497790486093</v>
      </c>
    </row>
    <row r="334" spans="1:3" x14ac:dyDescent="0.35">
      <c r="A334" s="1431">
        <v>44176</v>
      </c>
      <c r="B334" s="1430">
        <v>11.250921</v>
      </c>
      <c r="C334" s="1433">
        <v>31.817000259942812</v>
      </c>
    </row>
    <row r="335" spans="1:3" x14ac:dyDescent="0.35">
      <c r="A335" s="1431">
        <v>44183</v>
      </c>
      <c r="B335" s="1430">
        <v>11.995467</v>
      </c>
      <c r="C335" s="1433">
        <v>33.922537041850795</v>
      </c>
    </row>
    <row r="336" spans="1:3" x14ac:dyDescent="0.35">
      <c r="A336" s="1431">
        <v>44190</v>
      </c>
      <c r="B336" s="1430">
        <v>12.326376</v>
      </c>
      <c r="C336" s="1433">
        <v>34.858331167143227</v>
      </c>
    </row>
    <row r="337" spans="1:3" x14ac:dyDescent="0.35">
      <c r="A337" s="1431">
        <v>44197</v>
      </c>
      <c r="B337" s="1430">
        <v>12.629709999999999</v>
      </c>
      <c r="C337" s="1433">
        <v>35.716142448661294</v>
      </c>
    </row>
    <row r="338" spans="1:3" x14ac:dyDescent="0.35">
      <c r="A338" s="1431">
        <v>44204</v>
      </c>
      <c r="B338" s="1430">
        <v>13.852236</v>
      </c>
      <c r="C338" s="1433">
        <v>36.310628147362841</v>
      </c>
    </row>
    <row r="339" spans="1:3" x14ac:dyDescent="0.35">
      <c r="A339" s="1431">
        <v>44211</v>
      </c>
      <c r="B339" s="1430">
        <v>13.815469</v>
      </c>
      <c r="C339" s="1433">
        <v>36.214249572320071</v>
      </c>
    </row>
    <row r="340" spans="1:3" x14ac:dyDescent="0.35">
      <c r="A340" s="1431">
        <v>44218</v>
      </c>
      <c r="B340" s="1430">
        <v>14.173954</v>
      </c>
      <c r="C340" s="1433">
        <v>37.153940678987063</v>
      </c>
    </row>
    <row r="341" spans="1:3" x14ac:dyDescent="0.35">
      <c r="A341" s="1431">
        <v>44225</v>
      </c>
      <c r="B341" s="1430">
        <v>13.879811999999999</v>
      </c>
      <c r="C341" s="1433">
        <v>35.858465922583711</v>
      </c>
    </row>
    <row r="342" spans="1:3" x14ac:dyDescent="0.35">
      <c r="A342" s="1431">
        <v>44232</v>
      </c>
      <c r="B342" s="1430">
        <v>14.541631000000001</v>
      </c>
      <c r="C342" s="1433">
        <v>37.568273569223464</v>
      </c>
    </row>
    <row r="343" spans="1:3" x14ac:dyDescent="0.35">
      <c r="A343" s="1431">
        <v>44239</v>
      </c>
      <c r="B343" s="1430">
        <v>14.339409</v>
      </c>
      <c r="C343" s="1433">
        <v>37.045832343861314</v>
      </c>
    </row>
    <row r="344" spans="1:3" x14ac:dyDescent="0.35">
      <c r="A344" s="1431">
        <v>44246</v>
      </c>
      <c r="B344" s="1430">
        <v>14.173954</v>
      </c>
      <c r="C344" s="1433">
        <v>36.618380432201377</v>
      </c>
    </row>
    <row r="345" spans="1:3" x14ac:dyDescent="0.35">
      <c r="A345" s="1431">
        <v>44253</v>
      </c>
      <c r="B345" s="1430">
        <v>13.456982999999999</v>
      </c>
      <c r="C345" s="1433">
        <v>34.76608881500831</v>
      </c>
    </row>
    <row r="346" spans="1:3" x14ac:dyDescent="0.35">
      <c r="A346" s="1431">
        <v>44260</v>
      </c>
      <c r="B346" s="1430">
        <v>13.190417999999999</v>
      </c>
      <c r="C346" s="1433">
        <v>34.077416290667301</v>
      </c>
    </row>
    <row r="347" spans="1:3" x14ac:dyDescent="0.35">
      <c r="A347" s="1431">
        <v>44267</v>
      </c>
      <c r="B347" s="1430">
        <v>13.833853</v>
      </c>
      <c r="C347" s="1433">
        <v>35.570787047979202</v>
      </c>
    </row>
    <row r="348" spans="1:3" x14ac:dyDescent="0.35">
      <c r="A348" s="1431">
        <v>44274</v>
      </c>
      <c r="B348" s="1430">
        <v>14.477288</v>
      </c>
      <c r="C348" s="1433">
        <v>37.234042553191486</v>
      </c>
    </row>
    <row r="349" spans="1:3" x14ac:dyDescent="0.35">
      <c r="A349" s="1431">
        <v>44281</v>
      </c>
      <c r="B349" s="1430">
        <v>16.315673</v>
      </c>
      <c r="C349" s="1433">
        <v>39.243864691576384</v>
      </c>
    </row>
    <row r="350" spans="1:3" x14ac:dyDescent="0.35">
      <c r="A350" s="1431">
        <v>44288</v>
      </c>
      <c r="B350" s="1430">
        <v>16.816248000000002</v>
      </c>
      <c r="C350" s="1433">
        <v>40.305107229714793</v>
      </c>
    </row>
    <row r="351" spans="1:3" x14ac:dyDescent="0.35">
      <c r="A351" s="1431">
        <v>44295</v>
      </c>
      <c r="B351" s="1430">
        <v>17.941635999999999</v>
      </c>
      <c r="C351" s="1433">
        <v>43.002432014149903</v>
      </c>
    </row>
    <row r="352" spans="1:3" x14ac:dyDescent="0.35">
      <c r="A352" s="1431">
        <v>44302</v>
      </c>
      <c r="B352" s="1430">
        <v>17.646452</v>
      </c>
      <c r="C352" s="1433">
        <v>41.505749620308094</v>
      </c>
    </row>
    <row r="353" spans="1:3" x14ac:dyDescent="0.35">
      <c r="A353" s="1431">
        <v>44309</v>
      </c>
      <c r="B353" s="1430">
        <v>17.766370999999999</v>
      </c>
      <c r="C353" s="1433">
        <v>41.787806465610764</v>
      </c>
    </row>
    <row r="354" spans="1:3" x14ac:dyDescent="0.35">
      <c r="A354" s="1431">
        <v>44316</v>
      </c>
      <c r="B354" s="1430">
        <v>17.683350000000001</v>
      </c>
      <c r="C354" s="1433">
        <v>41.368148467846353</v>
      </c>
    </row>
    <row r="355" spans="1:3" x14ac:dyDescent="0.35">
      <c r="A355" s="1431">
        <v>44323</v>
      </c>
      <c r="B355" s="1430">
        <v>17.249798999999999</v>
      </c>
      <c r="C355" s="1433">
        <v>40.353905912818298</v>
      </c>
    </row>
    <row r="356" spans="1:3" x14ac:dyDescent="0.35">
      <c r="A356" s="1431">
        <v>44330</v>
      </c>
      <c r="B356" s="1430">
        <v>16.207432000000001</v>
      </c>
      <c r="C356" s="1433">
        <v>37.915407854984892</v>
      </c>
    </row>
    <row r="357" spans="1:3" x14ac:dyDescent="0.35">
      <c r="A357" s="1431">
        <v>44337</v>
      </c>
      <c r="B357" s="1430">
        <v>16.327349999999999</v>
      </c>
      <c r="C357" s="1433">
        <v>38.19594302977989</v>
      </c>
    </row>
    <row r="358" spans="1:3" x14ac:dyDescent="0.35">
      <c r="A358" s="1431">
        <v>44344</v>
      </c>
      <c r="B358" s="1430">
        <v>16.871594999999999</v>
      </c>
      <c r="C358" s="1433">
        <v>38.906615613699216</v>
      </c>
    </row>
    <row r="359" spans="1:3" x14ac:dyDescent="0.35">
      <c r="A359" s="1431">
        <v>44351</v>
      </c>
      <c r="B359" s="1430">
        <v>16.779350000000001</v>
      </c>
      <c r="C359" s="1433">
        <v>38.693894915975328</v>
      </c>
    </row>
    <row r="360" spans="1:3" x14ac:dyDescent="0.35">
      <c r="A360" s="1431">
        <v>44358</v>
      </c>
      <c r="B360" s="1430">
        <v>16.899269</v>
      </c>
      <c r="C360" s="1433">
        <v>38.879456706281836</v>
      </c>
    </row>
    <row r="361" spans="1:3" x14ac:dyDescent="0.35">
      <c r="A361" s="1431">
        <v>44365</v>
      </c>
      <c r="B361" s="1430">
        <v>16.078289000000002</v>
      </c>
      <c r="C361" s="1433">
        <v>36.990662139219012</v>
      </c>
    </row>
    <row r="362" spans="1:3" x14ac:dyDescent="0.35">
      <c r="A362" s="1431">
        <v>44372</v>
      </c>
      <c r="B362" s="1430">
        <v>16.530289</v>
      </c>
      <c r="C362" s="1433">
        <v>38.030560271646856</v>
      </c>
    </row>
    <row r="363" spans="1:3" x14ac:dyDescent="0.35">
      <c r="A363" s="1431">
        <v>44379</v>
      </c>
      <c r="B363" s="1430">
        <v>16.438044000000001</v>
      </c>
      <c r="C363" s="1433">
        <v>37.658495350803044</v>
      </c>
    </row>
    <row r="364" spans="1:3" x14ac:dyDescent="0.35">
      <c r="A364" s="1431">
        <v>44386</v>
      </c>
      <c r="B364" s="1430">
        <v>16.788575000000002</v>
      </c>
      <c r="C364" s="1433">
        <v>38.46153846153846</v>
      </c>
    </row>
    <row r="365" spans="1:3" x14ac:dyDescent="0.35">
      <c r="A365" s="1431">
        <v>44393</v>
      </c>
      <c r="B365" s="1430">
        <v>16.816248000000002</v>
      </c>
      <c r="C365" s="1433">
        <v>38.541226215644819</v>
      </c>
    </row>
    <row r="366" spans="1:3" x14ac:dyDescent="0.35">
      <c r="A366" s="1431">
        <v>44400</v>
      </c>
      <c r="B366" s="1430">
        <v>17.342044000000001</v>
      </c>
      <c r="C366" s="1433">
        <v>39.746300211416489</v>
      </c>
    </row>
    <row r="367" spans="1:3" x14ac:dyDescent="0.35">
      <c r="A367" s="1431">
        <v>44407</v>
      </c>
      <c r="B367" s="1430">
        <v>17.830942</v>
      </c>
      <c r="C367" s="1433">
        <v>40.823653643083418</v>
      </c>
    </row>
    <row r="368" spans="1:3" x14ac:dyDescent="0.35">
      <c r="A368" s="1431">
        <v>44414</v>
      </c>
      <c r="B368" s="1430">
        <v>18.172248</v>
      </c>
      <c r="C368" s="1433">
        <v>41.605068637803591</v>
      </c>
    </row>
    <row r="369" spans="1:3" x14ac:dyDescent="0.35">
      <c r="A369" s="1431">
        <v>44421</v>
      </c>
      <c r="B369" s="1430">
        <v>18.615023999999998</v>
      </c>
      <c r="C369" s="1433">
        <v>42.61879619852165</v>
      </c>
    </row>
    <row r="370" spans="1:3" x14ac:dyDescent="0.35">
      <c r="A370" s="1431">
        <v>44428</v>
      </c>
      <c r="B370" s="1430">
        <v>19.316085000000001</v>
      </c>
      <c r="C370" s="1433">
        <v>44.223864836325241</v>
      </c>
    </row>
    <row r="371" spans="1:3" x14ac:dyDescent="0.35">
      <c r="A371" s="1431">
        <v>44435</v>
      </c>
      <c r="B371" s="1430">
        <v>19.648167000000001</v>
      </c>
      <c r="C371" s="1433">
        <v>44.98416050686378</v>
      </c>
    </row>
    <row r="372" spans="1:3" x14ac:dyDescent="0.35">
      <c r="A372" s="1431">
        <v>44442</v>
      </c>
      <c r="B372" s="1430">
        <v>20.127841</v>
      </c>
      <c r="C372" s="1433">
        <v>46.082365364308345</v>
      </c>
    </row>
    <row r="373" spans="1:3" x14ac:dyDescent="0.35">
      <c r="A373" s="1431">
        <v>44449</v>
      </c>
      <c r="B373" s="1430">
        <v>20.330779</v>
      </c>
      <c r="C373" s="1433">
        <v>46.546990496304119</v>
      </c>
    </row>
    <row r="374" spans="1:3" x14ac:dyDescent="0.35">
      <c r="A374" s="1431">
        <v>44456</v>
      </c>
      <c r="B374" s="1430">
        <v>20.330779</v>
      </c>
      <c r="C374" s="1433">
        <v>46.546990496304119</v>
      </c>
    </row>
    <row r="375" spans="1:3" x14ac:dyDescent="0.35">
      <c r="A375" s="1431">
        <v>44463</v>
      </c>
      <c r="B375" s="1430">
        <v>19.998698000000001</v>
      </c>
      <c r="C375" s="1433">
        <v>45.786694825765572</v>
      </c>
    </row>
    <row r="376" spans="1:3" x14ac:dyDescent="0.35">
      <c r="A376" s="1431">
        <v>44470</v>
      </c>
      <c r="B376" s="1430">
        <v>18.522779</v>
      </c>
      <c r="C376" s="1433">
        <v>42.407602956705382</v>
      </c>
    </row>
    <row r="377" spans="1:3" x14ac:dyDescent="0.35">
      <c r="A377" s="1431">
        <v>44477</v>
      </c>
      <c r="B377" s="1430">
        <v>18.006208000000001</v>
      </c>
      <c r="C377" s="1433">
        <v>41.224920802534321</v>
      </c>
    </row>
    <row r="378" spans="1:3" x14ac:dyDescent="0.35">
      <c r="A378" s="1431">
        <v>44484</v>
      </c>
      <c r="B378" s="1430">
        <v>19.113147000000001</v>
      </c>
      <c r="C378" s="1433">
        <v>43.75923970432946</v>
      </c>
    </row>
    <row r="379" spans="1:3" x14ac:dyDescent="0.35">
      <c r="A379" s="1431">
        <v>44491</v>
      </c>
      <c r="B379" s="1430">
        <v>18.615023999999998</v>
      </c>
      <c r="C379" s="1433">
        <v>42.61879619852165</v>
      </c>
    </row>
    <row r="380" spans="1:3" x14ac:dyDescent="0.35">
      <c r="A380" s="1431">
        <v>44498</v>
      </c>
      <c r="B380" s="1430">
        <v>17.923186999999999</v>
      </c>
      <c r="C380" s="1433">
        <v>40.051945910290236</v>
      </c>
    </row>
    <row r="381" spans="1:3" x14ac:dyDescent="0.35">
      <c r="A381" s="1431">
        <v>44505</v>
      </c>
      <c r="B381" s="1430">
        <v>18.273717999999999</v>
      </c>
      <c r="C381" s="1433">
        <v>40.835257255936675</v>
      </c>
    </row>
    <row r="382" spans="1:3" x14ac:dyDescent="0.35">
      <c r="A382" s="1431">
        <v>44512</v>
      </c>
      <c r="B382" s="1430">
        <v>17.800135999999998</v>
      </c>
      <c r="C382" s="1433">
        <v>39.093928578796444</v>
      </c>
    </row>
    <row r="383" spans="1:3" x14ac:dyDescent="0.35">
      <c r="A383" s="1431">
        <v>44519</v>
      </c>
      <c r="B383" s="1430">
        <v>18.476447</v>
      </c>
      <c r="C383" s="1433">
        <v>40.57426927123084</v>
      </c>
    </row>
    <row r="384" spans="1:3" x14ac:dyDescent="0.35">
      <c r="A384" s="1431">
        <v>44526</v>
      </c>
      <c r="B384" s="1430">
        <v>17.236543000000001</v>
      </c>
      <c r="C384" s="1433">
        <v>37.851440830050123</v>
      </c>
    </row>
    <row r="385" spans="1:3" x14ac:dyDescent="0.35">
      <c r="A385" s="1431">
        <v>44533</v>
      </c>
      <c r="B385" s="1430">
        <v>16.926566999999999</v>
      </c>
      <c r="C385" s="1433">
        <v>37.170733719754942</v>
      </c>
    </row>
    <row r="386" spans="1:3" x14ac:dyDescent="0.35">
      <c r="A386" s="1431">
        <v>44540</v>
      </c>
      <c r="B386" s="1430">
        <v>16.532053000000001</v>
      </c>
      <c r="C386" s="1433">
        <v>36.30213275029908</v>
      </c>
    </row>
    <row r="387" spans="1:3" x14ac:dyDescent="0.35">
      <c r="A387" s="1431">
        <v>44547</v>
      </c>
      <c r="B387" s="1430">
        <v>16.344187999999999</v>
      </c>
      <c r="C387" s="1433">
        <v>35.889608514500225</v>
      </c>
    </row>
    <row r="388" spans="1:3" x14ac:dyDescent="0.35">
      <c r="A388" s="1431">
        <v>44554</v>
      </c>
      <c r="B388" s="1430">
        <v>16.785668999999999</v>
      </c>
      <c r="C388" s="1433">
        <v>36.380293159609117</v>
      </c>
    </row>
    <row r="389" spans="1:3" x14ac:dyDescent="0.35">
      <c r="A389" s="1431">
        <v>44561</v>
      </c>
      <c r="B389" s="1430">
        <v>16.945353999999998</v>
      </c>
      <c r="C389" s="1433">
        <v>36.726384364820845</v>
      </c>
    </row>
    <row r="390" spans="1:3" x14ac:dyDescent="0.35">
      <c r="A390" s="1431">
        <v>44568</v>
      </c>
      <c r="B390" s="1430">
        <v>15.386081000000001</v>
      </c>
      <c r="C390" s="1433">
        <v>33.346905537459286</v>
      </c>
    </row>
    <row r="391" spans="1:3" x14ac:dyDescent="0.35">
      <c r="A391" s="1431">
        <v>44575</v>
      </c>
      <c r="B391" s="1430">
        <v>15.789989</v>
      </c>
      <c r="C391" s="1433">
        <v>34.222312703583064</v>
      </c>
    </row>
    <row r="392" spans="1:3" x14ac:dyDescent="0.35">
      <c r="A392" s="1431">
        <v>44582</v>
      </c>
      <c r="B392" s="1430">
        <v>15.902706999999999</v>
      </c>
      <c r="C392" s="1433">
        <v>34.459596987583964</v>
      </c>
    </row>
    <row r="393" spans="1:3" x14ac:dyDescent="0.35">
      <c r="A393" s="1431">
        <v>44589</v>
      </c>
      <c r="B393" s="1430">
        <v>15.113678</v>
      </c>
      <c r="C393" s="1433">
        <v>32.617068720859514</v>
      </c>
    </row>
    <row r="394" spans="1:3" x14ac:dyDescent="0.35">
      <c r="A394" s="1431">
        <v>44596</v>
      </c>
      <c r="B394" s="1430">
        <v>14.728555999999999</v>
      </c>
      <c r="C394" s="1433">
        <v>31.785931481856881</v>
      </c>
    </row>
    <row r="395" spans="1:3" x14ac:dyDescent="0.35">
      <c r="A395" s="1431">
        <v>44603</v>
      </c>
      <c r="B395" s="1430">
        <v>14.850668000000001</v>
      </c>
      <c r="C395" s="1433">
        <v>32.049462801540642</v>
      </c>
    </row>
    <row r="396" spans="1:3" x14ac:dyDescent="0.35">
      <c r="A396" s="1431">
        <v>44610</v>
      </c>
      <c r="B396" s="1430">
        <v>14.446759999999999</v>
      </c>
      <c r="C396" s="1433">
        <v>31.177782282586662</v>
      </c>
    </row>
    <row r="397" spans="1:3" x14ac:dyDescent="0.35">
      <c r="A397" s="1431">
        <v>44617</v>
      </c>
      <c r="B397" s="1430">
        <v>14.277682</v>
      </c>
      <c r="C397" s="1433">
        <v>30.812892763024529</v>
      </c>
    </row>
    <row r="398" spans="1:3" x14ac:dyDescent="0.35">
      <c r="A398" s="1431">
        <v>44624</v>
      </c>
      <c r="B398" s="1430">
        <v>13.573191</v>
      </c>
      <c r="C398" s="1433">
        <v>29.292519764848976</v>
      </c>
    </row>
    <row r="399" spans="1:3" x14ac:dyDescent="0.35">
      <c r="A399" s="1431">
        <v>44631</v>
      </c>
      <c r="B399" s="1430">
        <v>14.258895000000001</v>
      </c>
      <c r="C399" s="1433">
        <v>30.772349483073182</v>
      </c>
    </row>
    <row r="400" spans="1:3" x14ac:dyDescent="0.35">
      <c r="A400" s="1431">
        <v>44638</v>
      </c>
      <c r="B400" s="1430">
        <v>16.212682999999998</v>
      </c>
      <c r="C400" s="1433">
        <v>34.988850598013379</v>
      </c>
    </row>
    <row r="401" spans="1:3" x14ac:dyDescent="0.35">
      <c r="A401" s="1431">
        <v>44645</v>
      </c>
      <c r="B401" s="1430">
        <v>15.902706999999999</v>
      </c>
      <c r="C401" s="1433">
        <v>32.003780718336486</v>
      </c>
    </row>
    <row r="402" spans="1:3" x14ac:dyDescent="0.35">
      <c r="A402" s="1431">
        <v>44652</v>
      </c>
      <c r="B402" s="1430">
        <v>15.883921000000001</v>
      </c>
      <c r="C402" s="1433">
        <v>32.178877259752618</v>
      </c>
    </row>
    <row r="403" spans="1:3" x14ac:dyDescent="0.35">
      <c r="A403" s="1431">
        <v>44659</v>
      </c>
      <c r="B403" s="1430">
        <v>14.663829</v>
      </c>
      <c r="C403" s="1433">
        <v>29.571836346336823</v>
      </c>
    </row>
    <row r="404" spans="1:3" x14ac:dyDescent="0.35">
      <c r="A404" s="1431">
        <v>44666</v>
      </c>
      <c r="B404" s="1430">
        <v>14.154275999999999</v>
      </c>
      <c r="C404" s="1433">
        <v>28.350028350028349</v>
      </c>
    </row>
    <row r="405" spans="1:3" x14ac:dyDescent="0.35">
      <c r="A405" s="1431">
        <v>44673</v>
      </c>
      <c r="B405" s="1430">
        <v>14.088222</v>
      </c>
      <c r="C405" s="1433">
        <v>28.217728217728219</v>
      </c>
    </row>
    <row r="406" spans="1:3" x14ac:dyDescent="0.35">
      <c r="A406" s="1431">
        <v>44680</v>
      </c>
      <c r="B406" s="1430">
        <v>13.361636000000001</v>
      </c>
      <c r="C406" s="1433">
        <v>26.762426762426763</v>
      </c>
    </row>
    <row r="407" spans="1:3" x14ac:dyDescent="0.35">
      <c r="A407" s="1431">
        <v>44687</v>
      </c>
      <c r="B407" s="1430">
        <v>12.267039</v>
      </c>
      <c r="C407" s="1433">
        <v>24.570024570024572</v>
      </c>
    </row>
    <row r="408" spans="1:3" x14ac:dyDescent="0.35">
      <c r="A408" s="1431">
        <v>44694</v>
      </c>
      <c r="B408" s="1430">
        <v>12.540687999999999</v>
      </c>
      <c r="C408" s="1433">
        <v>25.118125118125118</v>
      </c>
    </row>
    <row r="409" spans="1:3" x14ac:dyDescent="0.35">
      <c r="A409" s="1431">
        <v>44701</v>
      </c>
      <c r="B409" s="1430">
        <v>12.521815999999999</v>
      </c>
      <c r="C409" s="1433">
        <v>25.080325080325082</v>
      </c>
    </row>
    <row r="410" spans="1:3" x14ac:dyDescent="0.35">
      <c r="A410" s="1431">
        <v>44708</v>
      </c>
      <c r="B410" s="1430">
        <v>13.540924</v>
      </c>
      <c r="C410" s="1433">
        <v>26.837478960164578</v>
      </c>
    </row>
    <row r="411" spans="1:3" x14ac:dyDescent="0.35">
      <c r="A411" s="1431">
        <v>44715</v>
      </c>
      <c r="B411" s="1430">
        <v>13.191784999999999</v>
      </c>
      <c r="C411" s="1433">
        <v>26.145502150738732</v>
      </c>
    </row>
    <row r="412" spans="1:3" x14ac:dyDescent="0.35">
      <c r="A412" s="1431">
        <v>44722</v>
      </c>
      <c r="B412" s="1430">
        <v>12.455762</v>
      </c>
      <c r="C412" s="1433">
        <v>24.686740228165327</v>
      </c>
    </row>
    <row r="413" spans="1:3" x14ac:dyDescent="0.35">
      <c r="A413" s="1431">
        <v>44729</v>
      </c>
      <c r="B413" s="1430">
        <v>12.229293999999999</v>
      </c>
      <c r="C413" s="1433">
        <v>24.237890405835049</v>
      </c>
    </row>
    <row r="414" spans="1:3" x14ac:dyDescent="0.35">
      <c r="A414" s="1431">
        <v>44736</v>
      </c>
      <c r="B414" s="1430">
        <v>12.729412</v>
      </c>
      <c r="C414" s="1433">
        <v>25.229100430147746</v>
      </c>
    </row>
    <row r="415" spans="1:3" x14ac:dyDescent="0.35">
      <c r="A415" s="1431">
        <v>44743</v>
      </c>
      <c r="B415" s="1430">
        <v>12.257603</v>
      </c>
      <c r="C415" s="1433">
        <v>24.316735305129164</v>
      </c>
    </row>
    <row r="416" spans="1:3" x14ac:dyDescent="0.35">
      <c r="A416" s="1431">
        <v>44750</v>
      </c>
      <c r="B416" s="1430">
        <v>12.484071</v>
      </c>
      <c r="C416" s="1433">
        <v>24.766005241482592</v>
      </c>
    </row>
    <row r="417" spans="1:3" x14ac:dyDescent="0.35">
      <c r="A417" s="1431">
        <v>44757</v>
      </c>
      <c r="B417" s="1430">
        <v>12.446325999999999</v>
      </c>
      <c r="C417" s="1433">
        <v>24.691126918757021</v>
      </c>
    </row>
    <row r="418" spans="1:3" x14ac:dyDescent="0.35">
      <c r="A418" s="1431">
        <v>44764</v>
      </c>
      <c r="B418" s="1430">
        <v>12.955880000000001</v>
      </c>
      <c r="C418" s="1433">
        <v>25.881244109330819</v>
      </c>
    </row>
    <row r="419" spans="1:3" x14ac:dyDescent="0.35">
      <c r="A419" s="1431">
        <v>44771</v>
      </c>
      <c r="B419" s="1430">
        <v>13.163475999999999</v>
      </c>
      <c r="C419" s="1433">
        <v>26.261295180722893</v>
      </c>
    </row>
    <row r="420" spans="1:3" x14ac:dyDescent="0.35">
      <c r="A420" s="1431">
        <v>44778</v>
      </c>
      <c r="B420" s="1430">
        <v>13.493743</v>
      </c>
      <c r="C420" s="1433">
        <v>26.940467219291634</v>
      </c>
    </row>
    <row r="421" spans="1:3" x14ac:dyDescent="0.35">
      <c r="A421" s="1431">
        <v>44785</v>
      </c>
      <c r="B421" s="1430">
        <v>13.531487</v>
      </c>
      <c r="C421" s="1433">
        <v>27.015825169555388</v>
      </c>
    </row>
    <row r="422" spans="1:3" x14ac:dyDescent="0.35">
      <c r="A422" s="1431">
        <v>44792</v>
      </c>
      <c r="B422" s="1430">
        <v>12.455762</v>
      </c>
      <c r="C422" s="1433">
        <v>24.868123587038433</v>
      </c>
    </row>
    <row r="423" spans="1:3" x14ac:dyDescent="0.35">
      <c r="A423" s="1431">
        <v>44799</v>
      </c>
      <c r="B423" s="1430">
        <v>12.153805</v>
      </c>
      <c r="C423" s="1433">
        <v>24.265259984928409</v>
      </c>
    </row>
    <row r="424" spans="1:3" x14ac:dyDescent="0.35">
      <c r="A424" s="1431">
        <v>44806</v>
      </c>
      <c r="B424" s="1430">
        <v>11.983953</v>
      </c>
      <c r="C424" s="1433">
        <v>23.926149208741521</v>
      </c>
    </row>
    <row r="425" spans="1:3" x14ac:dyDescent="0.35">
      <c r="A425" s="1431">
        <v>44813</v>
      </c>
      <c r="B425" s="1430">
        <v>12.050007000000001</v>
      </c>
      <c r="C425" s="1433">
        <v>24.058025621703088</v>
      </c>
    </row>
    <row r="426" spans="1:3" x14ac:dyDescent="0.35">
      <c r="A426" s="1431">
        <v>44820</v>
      </c>
      <c r="B426" s="1430">
        <v>11.163005</v>
      </c>
      <c r="C426" s="1433">
        <v>22.287113790504897</v>
      </c>
    </row>
    <row r="427" spans="1:3" x14ac:dyDescent="0.35">
      <c r="A427" s="1431">
        <v>44827</v>
      </c>
      <c r="B427" s="1430">
        <v>10.945973</v>
      </c>
      <c r="C427" s="1433">
        <v>21.85380557648832</v>
      </c>
    </row>
    <row r="428" spans="1:3" x14ac:dyDescent="0.35">
      <c r="A428" s="1431">
        <v>44834</v>
      </c>
      <c r="B428" s="1430">
        <v>11.229058999999999</v>
      </c>
      <c r="C428" s="1433">
        <v>22.309711286089239</v>
      </c>
    </row>
    <row r="429" spans="1:3" x14ac:dyDescent="0.35">
      <c r="A429" s="1431">
        <v>44841</v>
      </c>
      <c r="B429" s="1430">
        <v>11.087516000000001</v>
      </c>
      <c r="C429" s="1433">
        <v>22.011989509179468</v>
      </c>
    </row>
    <row r="430" spans="1:3" x14ac:dyDescent="0.35">
      <c r="A430" s="1431">
        <v>44848</v>
      </c>
      <c r="B430" s="1430">
        <v>10.228823</v>
      </c>
      <c r="C430" s="1433">
        <v>20.352985354862938</v>
      </c>
    </row>
    <row r="431" spans="1:3" x14ac:dyDescent="0.35">
      <c r="A431" s="1431">
        <v>44855</v>
      </c>
      <c r="B431" s="1430">
        <v>10.370366000000001</v>
      </c>
      <c r="C431" s="1433">
        <v>20.634622606083365</v>
      </c>
    </row>
    <row r="432" spans="1:3" x14ac:dyDescent="0.35">
      <c r="A432" s="1431">
        <v>44862</v>
      </c>
      <c r="B432" s="1430">
        <v>10.823302999999999</v>
      </c>
      <c r="C432" s="1433">
        <v>21.089210855335736</v>
      </c>
    </row>
    <row r="433" spans="1:3" x14ac:dyDescent="0.35">
      <c r="A433" s="1431">
        <v>44869</v>
      </c>
      <c r="B433" s="1430">
        <v>11.342293</v>
      </c>
      <c r="C433" s="1433">
        <v>22.152598599336528</v>
      </c>
    </row>
    <row r="434" spans="1:3" x14ac:dyDescent="0.35">
      <c r="A434" s="1431">
        <v>44876</v>
      </c>
      <c r="B434" s="1430">
        <v>12.518003</v>
      </c>
      <c r="C434" s="1433">
        <v>23.788530070906351</v>
      </c>
    </row>
    <row r="435" spans="1:3" x14ac:dyDescent="0.35">
      <c r="A435" s="1431">
        <v>44883</v>
      </c>
      <c r="B435" s="1430">
        <v>12.179677999999999</v>
      </c>
      <c r="C435" s="1433">
        <v>23.145596825746722</v>
      </c>
    </row>
    <row r="436" spans="1:3" x14ac:dyDescent="0.35">
      <c r="A436" s="1431">
        <v>44890</v>
      </c>
      <c r="B436" s="1430">
        <v>12.489004</v>
      </c>
      <c r="C436" s="1433">
        <v>23.722962799750285</v>
      </c>
    </row>
    <row r="437" spans="1:3" x14ac:dyDescent="0.35">
      <c r="A437" s="1431">
        <v>44897</v>
      </c>
      <c r="B437" s="1430">
        <v>12.605</v>
      </c>
      <c r="C437" s="1433">
        <v>23.943299915537438</v>
      </c>
    </row>
    <row r="438" spans="1:3" x14ac:dyDescent="0.35">
      <c r="A438" s="1431">
        <v>44904</v>
      </c>
      <c r="B438" s="1430">
        <v>11.812355</v>
      </c>
      <c r="C438" s="1433">
        <v>22.437662957658549</v>
      </c>
    </row>
    <row r="439" spans="1:3" x14ac:dyDescent="0.35">
      <c r="A439" s="1431">
        <v>44911</v>
      </c>
      <c r="B439" s="1430">
        <v>11.657692000000001</v>
      </c>
      <c r="C439" s="1433">
        <v>22.143880136609013</v>
      </c>
    </row>
    <row r="440" spans="1:3" x14ac:dyDescent="0.35">
      <c r="A440" s="1431">
        <v>44918</v>
      </c>
      <c r="B440" s="1430">
        <v>11.406364999999999</v>
      </c>
      <c r="C440" s="1433">
        <v>21.751152073732719</v>
      </c>
    </row>
    <row r="441" spans="1:3" x14ac:dyDescent="0.35">
      <c r="A441" s="1431">
        <v>44925</v>
      </c>
      <c r="B441" s="1430">
        <v>11.445031</v>
      </c>
      <c r="C441" s="1433">
        <v>21.661178192462497</v>
      </c>
    </row>
    <row r="442" spans="1:3" x14ac:dyDescent="0.35">
      <c r="A442" s="1431">
        <v>44932</v>
      </c>
      <c r="B442" s="1430">
        <v>11.976684000000001</v>
      </c>
      <c r="C442" s="1433">
        <v>22.667398463227222</v>
      </c>
    </row>
    <row r="443" spans="1:3" x14ac:dyDescent="0.35">
      <c r="A443" s="1431">
        <v>44939</v>
      </c>
      <c r="B443" s="1430">
        <v>11.831688</v>
      </c>
      <c r="C443" s="1433">
        <v>22.434017595307918</v>
      </c>
    </row>
    <row r="444" spans="1:3" x14ac:dyDescent="0.35">
      <c r="A444" s="1431">
        <v>44946</v>
      </c>
      <c r="B444" s="1430">
        <v>11.860687</v>
      </c>
      <c r="C444" s="1433">
        <v>22.33345467783036</v>
      </c>
    </row>
    <row r="445" spans="1:3" x14ac:dyDescent="0.35">
      <c r="A445" s="1431">
        <v>44953</v>
      </c>
      <c r="B445" s="1430">
        <v>11.541695000000001</v>
      </c>
      <c r="C445" s="1433">
        <v>21.732799417546413</v>
      </c>
    </row>
    <row r="446" spans="1:3" x14ac:dyDescent="0.35">
      <c r="A446" s="1431">
        <v>44960</v>
      </c>
      <c r="B446" s="1430">
        <v>12.605</v>
      </c>
      <c r="C446" s="1433">
        <v>23.786939073330903</v>
      </c>
    </row>
    <row r="447" spans="1:3" x14ac:dyDescent="0.35">
      <c r="A447" s="1431">
        <v>44967</v>
      </c>
      <c r="B447" s="1430">
        <v>11.938018</v>
      </c>
      <c r="C447" s="1433">
        <v>22.528274352426124</v>
      </c>
    </row>
    <row r="448" spans="1:3" x14ac:dyDescent="0.35">
      <c r="A448" s="1431">
        <v>44974</v>
      </c>
      <c r="B448" s="1430">
        <v>12.083014</v>
      </c>
      <c r="C448" s="1433">
        <v>22.801897117840205</v>
      </c>
    </row>
    <row r="449" spans="1:3" x14ac:dyDescent="0.35">
      <c r="A449" s="1431">
        <v>44981</v>
      </c>
      <c r="B449" s="1430">
        <v>11.464364</v>
      </c>
      <c r="C449" s="1433">
        <v>21.634439985406786</v>
      </c>
    </row>
    <row r="450" spans="1:3" x14ac:dyDescent="0.35">
      <c r="A450" s="1431">
        <v>44988</v>
      </c>
      <c r="B450" s="1430">
        <v>11.522361999999999</v>
      </c>
      <c r="C450" s="1433">
        <v>21.74388909157242</v>
      </c>
    </row>
    <row r="451" spans="1:3" x14ac:dyDescent="0.35">
      <c r="A451" s="1431">
        <v>44995</v>
      </c>
      <c r="B451" s="1430">
        <v>10.797382000000001</v>
      </c>
      <c r="C451" s="1433">
        <v>20.375775264502007</v>
      </c>
    </row>
    <row r="452" spans="1:3" x14ac:dyDescent="0.35">
      <c r="A452" s="1431">
        <v>45002</v>
      </c>
      <c r="B452" s="1430">
        <v>10.729717000000001</v>
      </c>
      <c r="C452" s="1433">
        <v>20.248084640642102</v>
      </c>
    </row>
    <row r="453" spans="1:3" x14ac:dyDescent="0.35">
      <c r="A453" s="1431">
        <v>45009</v>
      </c>
      <c r="B453" s="1430">
        <v>11.164705</v>
      </c>
      <c r="C453" s="1433">
        <v>21.080489140354079</v>
      </c>
    </row>
    <row r="454" spans="1:3" x14ac:dyDescent="0.35">
      <c r="A454" s="1431">
        <v>45016</v>
      </c>
      <c r="B454" s="1430">
        <v>12.527668999999999</v>
      </c>
      <c r="C454" s="1433">
        <v>23.15112540192926</v>
      </c>
    </row>
    <row r="455" spans="1:3" x14ac:dyDescent="0.35">
      <c r="A455" s="1431">
        <v>45023</v>
      </c>
      <c r="B455" s="1430">
        <v>12.585668</v>
      </c>
      <c r="C455" s="1433">
        <v>23.179633256186577</v>
      </c>
    </row>
    <row r="456" spans="1:3" x14ac:dyDescent="0.35">
      <c r="A456" s="1431">
        <v>45030</v>
      </c>
      <c r="B456" s="1430">
        <v>12.847488999999999</v>
      </c>
      <c r="C456" s="1433">
        <v>23.517892113227703</v>
      </c>
    </row>
    <row r="457" spans="1:3" x14ac:dyDescent="0.35">
      <c r="A457" s="1431">
        <v>45037</v>
      </c>
      <c r="B457" s="1430">
        <v>13.090629</v>
      </c>
      <c r="C457" s="1433">
        <v>23.877949263792797</v>
      </c>
    </row>
    <row r="458" spans="1:3" x14ac:dyDescent="0.35">
      <c r="A458" s="1431">
        <v>45044</v>
      </c>
      <c r="B458" s="1430">
        <v>13.003098</v>
      </c>
      <c r="C458" s="1433">
        <v>23.718289870498491</v>
      </c>
    </row>
    <row r="459" spans="1:3" x14ac:dyDescent="0.35">
      <c r="A459" s="1431">
        <v>45051</v>
      </c>
      <c r="B459" s="1430">
        <v>13.265689</v>
      </c>
      <c r="C459" s="1433">
        <v>24.197268050381407</v>
      </c>
    </row>
    <row r="460" spans="1:3" x14ac:dyDescent="0.35">
      <c r="A460" s="1431">
        <v>45058</v>
      </c>
      <c r="B460" s="1430">
        <v>12.857215</v>
      </c>
      <c r="C460" s="1433">
        <v>23.45219088167465</v>
      </c>
    </row>
    <row r="461" spans="1:3" x14ac:dyDescent="0.35">
      <c r="A461" s="1431">
        <v>45065</v>
      </c>
      <c r="B461" s="1430">
        <v>13.314317000000001</v>
      </c>
      <c r="C461" s="1433">
        <v>24.285967713322691</v>
      </c>
    </row>
    <row r="462" spans="1:3" x14ac:dyDescent="0.35">
      <c r="A462" s="1431">
        <v>45072</v>
      </c>
      <c r="B462" s="1430">
        <v>12.886391</v>
      </c>
      <c r="C462" s="1433">
        <v>23.505410679439418</v>
      </c>
    </row>
    <row r="463" spans="1:3" x14ac:dyDescent="0.35">
      <c r="A463" s="1431">
        <v>45079</v>
      </c>
      <c r="B463" s="1430">
        <v>13.538005</v>
      </c>
      <c r="C463" s="1433">
        <v>24.693986162852582</v>
      </c>
    </row>
    <row r="464" spans="1:3" x14ac:dyDescent="0.35">
      <c r="A464" s="1431">
        <v>45086</v>
      </c>
      <c r="B464" s="1430">
        <v>13.683889000000001</v>
      </c>
      <c r="C464" s="1433">
        <v>24.955658034764102</v>
      </c>
    </row>
    <row r="465" spans="1:3" x14ac:dyDescent="0.35">
      <c r="A465" s="1431">
        <v>45093</v>
      </c>
      <c r="B465" s="1430">
        <v>14.277149</v>
      </c>
      <c r="C465" s="1433">
        <v>26.037601986520041</v>
      </c>
    </row>
    <row r="466" spans="1:3" x14ac:dyDescent="0.35">
      <c r="A466" s="1431">
        <v>45100</v>
      </c>
      <c r="B466" s="1430">
        <v>13.372669999999999</v>
      </c>
      <c r="C466" s="1433">
        <v>24.388080879744589</v>
      </c>
    </row>
    <row r="467" spans="1:3" x14ac:dyDescent="0.35">
      <c r="A467" s="1431">
        <v>45107</v>
      </c>
      <c r="B467" s="1430">
        <v>13.771419</v>
      </c>
      <c r="C467" s="1433">
        <v>25.115289109613339</v>
      </c>
    </row>
    <row r="468" spans="1:3" x14ac:dyDescent="0.35">
      <c r="A468" s="1431">
        <v>45114</v>
      </c>
      <c r="B468" s="1430">
        <v>13.353218999999999</v>
      </c>
      <c r="C468" s="1433">
        <v>24.352607307555871</v>
      </c>
    </row>
    <row r="469" spans="1:3" x14ac:dyDescent="0.35">
      <c r="A469" s="1431">
        <v>45121</v>
      </c>
      <c r="B469" s="1430">
        <v>14.209070000000001</v>
      </c>
      <c r="C469" s="1433">
        <v>25.753569539925966</v>
      </c>
    </row>
    <row r="470" spans="1:3" x14ac:dyDescent="0.35">
      <c r="A470" s="1431">
        <v>45128</v>
      </c>
      <c r="B470" s="1430">
        <v>14.500837000000001</v>
      </c>
      <c r="C470" s="1433">
        <v>26.328800988875155</v>
      </c>
    </row>
    <row r="471" spans="1:3" x14ac:dyDescent="0.35">
      <c r="A471" s="1431">
        <v>45135</v>
      </c>
      <c r="B471" s="1430">
        <v>14.559191</v>
      </c>
      <c r="C471" s="1433">
        <v>26.230944454179077</v>
      </c>
    </row>
    <row r="472" spans="1:3" x14ac:dyDescent="0.35">
      <c r="A472" s="1431">
        <v>45142</v>
      </c>
      <c r="B472" s="1430">
        <v>14.364679000000001</v>
      </c>
      <c r="C472" s="1433">
        <v>25.880497634483966</v>
      </c>
    </row>
    <row r="473" spans="1:3" x14ac:dyDescent="0.35">
      <c r="A473" s="1431">
        <v>45149</v>
      </c>
      <c r="B473" s="1430">
        <v>14.607818999999999</v>
      </c>
      <c r="C473" s="1433">
        <v>26.318556159102855</v>
      </c>
    </row>
    <row r="474" spans="1:3" x14ac:dyDescent="0.35">
      <c r="A474" s="1431">
        <v>45156</v>
      </c>
      <c r="B474" s="1430">
        <v>13.868675</v>
      </c>
      <c r="C474" s="1433">
        <v>24.986858244261434</v>
      </c>
    </row>
    <row r="475" spans="1:3" x14ac:dyDescent="0.35">
      <c r="A475" s="1431">
        <v>45163</v>
      </c>
      <c r="B475" s="1430">
        <v>13.732517</v>
      </c>
      <c r="C475" s="1433">
        <v>24.741545470474854</v>
      </c>
    </row>
    <row r="476" spans="1:3" x14ac:dyDescent="0.35">
      <c r="A476" s="1431">
        <v>45170</v>
      </c>
      <c r="B476" s="1430">
        <v>14.607818999999999</v>
      </c>
      <c r="C476" s="1433">
        <v>26.318556159102855</v>
      </c>
    </row>
    <row r="477" spans="1:3" x14ac:dyDescent="0.35">
      <c r="A477" s="1431">
        <v>45177</v>
      </c>
      <c r="B477" s="1430">
        <v>14.753702000000001</v>
      </c>
      <c r="C477" s="1433">
        <v>26.581391273874189</v>
      </c>
    </row>
    <row r="478" spans="1:3" x14ac:dyDescent="0.35">
      <c r="A478" s="1431">
        <v>45184</v>
      </c>
      <c r="B478" s="1430">
        <v>14.247972000000001</v>
      </c>
      <c r="C478" s="1433">
        <v>25.670229542666899</v>
      </c>
    </row>
    <row r="479" spans="1:3" x14ac:dyDescent="0.35">
      <c r="A479" s="1431">
        <v>45191</v>
      </c>
      <c r="B479" s="1430">
        <v>14.160442</v>
      </c>
      <c r="C479" s="1433">
        <v>25.41899441340782</v>
      </c>
    </row>
    <row r="480" spans="1:3" x14ac:dyDescent="0.35">
      <c r="A480" s="1431">
        <v>45198</v>
      </c>
      <c r="B480" s="1430">
        <v>14.189619</v>
      </c>
      <c r="C480" s="1433">
        <v>25.471368715083798</v>
      </c>
    </row>
    <row r="481" spans="1:3" x14ac:dyDescent="0.35">
      <c r="A481" s="1431">
        <v>45205</v>
      </c>
      <c r="B481" s="1430">
        <v>14.374404999999999</v>
      </c>
      <c r="C481" s="1433">
        <v>25.803072625698324</v>
      </c>
    </row>
    <row r="482" spans="1:3" x14ac:dyDescent="0.35">
      <c r="A482" s="1431">
        <v>45212</v>
      </c>
      <c r="B482" s="1430">
        <v>13.771419</v>
      </c>
      <c r="C482" s="1433">
        <v>24.720670391061454</v>
      </c>
    </row>
    <row r="483" spans="1:3" x14ac:dyDescent="0.35">
      <c r="A483" s="1431">
        <v>45219</v>
      </c>
      <c r="B483" s="1430">
        <v>13.654712</v>
      </c>
      <c r="C483" s="1433">
        <v>24.515453116815085</v>
      </c>
    </row>
    <row r="484" spans="1:3" x14ac:dyDescent="0.35">
      <c r="A484" s="1431">
        <v>45226</v>
      </c>
      <c r="B484" s="1430">
        <v>12.049992</v>
      </c>
      <c r="C484" s="1433">
        <v>21.455660034287494</v>
      </c>
    </row>
    <row r="485" spans="1:3" x14ac:dyDescent="0.35">
      <c r="A485" s="1431">
        <v>45233</v>
      </c>
      <c r="B485" s="1430">
        <v>12.691879999999999</v>
      </c>
      <c r="C485" s="1433">
        <v>22.571606475716063</v>
      </c>
    </row>
    <row r="486" spans="1:3" x14ac:dyDescent="0.35">
      <c r="A486" s="1431">
        <v>45240</v>
      </c>
      <c r="B486" s="1430">
        <v>12.812999</v>
      </c>
      <c r="C486" s="1433">
        <v>22.265246853823815</v>
      </c>
    </row>
    <row r="487" spans="1:3" x14ac:dyDescent="0.35">
      <c r="A487" s="1431">
        <v>45247</v>
      </c>
      <c r="B487" s="1430">
        <v>12.992062000000001</v>
      </c>
      <c r="C487" s="1433">
        <v>22.560807075732448</v>
      </c>
    </row>
    <row r="488" spans="1:3" x14ac:dyDescent="0.35">
      <c r="A488" s="1431">
        <v>45254</v>
      </c>
      <c r="B488" s="1430">
        <v>12.385236000000001</v>
      </c>
      <c r="C488" s="1433">
        <v>21.512994194083493</v>
      </c>
    </row>
    <row r="489" spans="1:3" x14ac:dyDescent="0.35">
      <c r="A489" s="1431">
        <v>45261</v>
      </c>
      <c r="B489" s="1430">
        <v>12.713519</v>
      </c>
      <c r="C489" s="1433">
        <v>22.083218136577273</v>
      </c>
    </row>
    <row r="490" spans="1:3" x14ac:dyDescent="0.35">
      <c r="A490" s="1431">
        <v>45268</v>
      </c>
      <c r="B490" s="1430">
        <v>12.812999</v>
      </c>
      <c r="C490" s="1433">
        <v>22.31423572010187</v>
      </c>
    </row>
    <row r="491" spans="1:3" x14ac:dyDescent="0.35">
      <c r="A491" s="1431">
        <v>45275</v>
      </c>
      <c r="B491" s="1430">
        <v>13.131334000000001</v>
      </c>
      <c r="C491" s="1433">
        <v>22.886866059817944</v>
      </c>
    </row>
    <row r="492" spans="1:3" x14ac:dyDescent="0.35">
      <c r="A492" s="1431">
        <v>45282</v>
      </c>
      <c r="B492" s="1430">
        <v>13.529253000000001</v>
      </c>
      <c r="C492" s="1433">
        <v>23.580407455570004</v>
      </c>
    </row>
    <row r="493" spans="1:3" x14ac:dyDescent="0.35">
      <c r="A493" s="1431">
        <v>45289</v>
      </c>
      <c r="B493" s="1430">
        <v>13.529253000000001</v>
      </c>
      <c r="C493" s="1433">
        <v>23.015738703672366</v>
      </c>
    </row>
    <row r="494" spans="1:3" x14ac:dyDescent="0.35">
      <c r="A494" s="1431">
        <v>45296</v>
      </c>
      <c r="B494" s="1430">
        <v>13.041802000000001</v>
      </c>
      <c r="C494" s="1433">
        <v>22.231643208411057</v>
      </c>
    </row>
    <row r="495" spans="1:3" x14ac:dyDescent="0.35">
      <c r="A495" s="1431">
        <v>45303</v>
      </c>
      <c r="B495" s="1430">
        <v>13.131334000000001</v>
      </c>
      <c r="C495" s="1433">
        <v>22.369089984748349</v>
      </c>
    </row>
    <row r="496" spans="1:3" x14ac:dyDescent="0.35">
      <c r="A496" s="1431">
        <v>45310</v>
      </c>
      <c r="B496" s="1430">
        <v>13.519304999999999</v>
      </c>
      <c r="C496" s="1433">
        <v>22.940580688723834</v>
      </c>
    </row>
    <row r="497" spans="1:3" x14ac:dyDescent="0.35">
      <c r="A497" s="1431">
        <v>45317</v>
      </c>
      <c r="B497" s="1430">
        <v>14.165924</v>
      </c>
      <c r="C497" s="1433">
        <v>24.082530018603077</v>
      </c>
    </row>
    <row r="498" spans="1:3" x14ac:dyDescent="0.35">
      <c r="A498" s="1431">
        <v>45324</v>
      </c>
      <c r="B498" s="1430">
        <v>14.723011</v>
      </c>
      <c r="C498" s="1433">
        <v>25.029595805851514</v>
      </c>
    </row>
    <row r="499" spans="1:3" x14ac:dyDescent="0.35">
      <c r="A499" s="1431">
        <v>45331</v>
      </c>
      <c r="B499" s="1430">
        <v>14.772751</v>
      </c>
      <c r="C499" s="1433">
        <v>25.105663567202029</v>
      </c>
    </row>
    <row r="500" spans="1:3" x14ac:dyDescent="0.35">
      <c r="A500" s="1431">
        <v>45338</v>
      </c>
      <c r="B500" s="1430">
        <v>15.051294</v>
      </c>
      <c r="C500" s="1433">
        <v>25.592016238159676</v>
      </c>
    </row>
    <row r="501" spans="1:3" x14ac:dyDescent="0.35">
      <c r="A501" s="1431">
        <v>45345</v>
      </c>
      <c r="B501" s="1430">
        <v>14.951815</v>
      </c>
      <c r="C501" s="1433">
        <v>25.40138583741761</v>
      </c>
    </row>
    <row r="502" spans="1:3" x14ac:dyDescent="0.35">
      <c r="A502" s="1431">
        <v>45352</v>
      </c>
      <c r="B502" s="1430">
        <v>14.902075</v>
      </c>
      <c r="C502" s="1433">
        <v>25.316883555856009</v>
      </c>
    </row>
    <row r="503" spans="1:3" x14ac:dyDescent="0.35">
      <c r="A503" s="1431">
        <v>45359</v>
      </c>
      <c r="B503" s="1430">
        <v>15.170669999999999</v>
      </c>
      <c r="C503" s="1433">
        <v>25.773195876288661</v>
      </c>
    </row>
    <row r="504" spans="1:3" x14ac:dyDescent="0.35">
      <c r="A504" s="1431">
        <v>45366</v>
      </c>
      <c r="B504" s="1430">
        <v>15.648173</v>
      </c>
      <c r="C504" s="1433">
        <v>26.584417779280042</v>
      </c>
    </row>
    <row r="505" spans="1:3" x14ac:dyDescent="0.35">
      <c r="A505" s="1431">
        <v>45373</v>
      </c>
      <c r="B505" s="1430">
        <v>14.882179000000001</v>
      </c>
      <c r="C505" s="1433">
        <v>25.308746405007614</v>
      </c>
    </row>
    <row r="506" spans="1:3" x14ac:dyDescent="0.35">
      <c r="A506" s="1431">
        <v>45380</v>
      </c>
      <c r="B506" s="1430">
        <v>15.797393</v>
      </c>
      <c r="C506" s="1433">
        <v>26.071252667870628</v>
      </c>
    </row>
    <row r="507" spans="1:3" x14ac:dyDescent="0.35">
      <c r="A507" s="1431">
        <v>45387</v>
      </c>
      <c r="B507" s="1430">
        <v>16.046092000000002</v>
      </c>
      <c r="C507" s="1433">
        <v>26.481694303070103</v>
      </c>
    </row>
    <row r="508" spans="1:3" x14ac:dyDescent="0.35">
      <c r="A508" s="1431">
        <v>45394</v>
      </c>
      <c r="B508" s="1430">
        <v>16</v>
      </c>
      <c r="C508" s="1433">
        <v>26.190865935504991</v>
      </c>
    </row>
    <row r="509" spans="1:3" x14ac:dyDescent="0.35">
      <c r="A509" s="1431">
        <v>45401</v>
      </c>
      <c r="B509" s="1430">
        <v>15.5</v>
      </c>
      <c r="C509" s="1433">
        <v>25.273112669166803</v>
      </c>
    </row>
    <row r="510" spans="1:3" x14ac:dyDescent="0.35">
      <c r="A510" s="1431">
        <v>45408</v>
      </c>
      <c r="B510" s="1430">
        <v>15.76</v>
      </c>
      <c r="C510" s="1433">
        <v>25.734813847158719</v>
      </c>
    </row>
    <row r="511" spans="1:3" x14ac:dyDescent="0.35">
      <c r="A511" s="1431">
        <v>45415</v>
      </c>
      <c r="B511" s="1430">
        <v>16.100000000000001</v>
      </c>
      <c r="C511" s="1433">
        <v>26.290006531678642</v>
      </c>
    </row>
    <row r="512" spans="1:3" x14ac:dyDescent="0.35">
      <c r="A512" s="1431"/>
      <c r="B512" s="1430"/>
    </row>
    <row r="513" spans="1:2" x14ac:dyDescent="0.35">
      <c r="A513" s="1429"/>
      <c r="B513" s="1430"/>
    </row>
    <row r="514" spans="1:2" x14ac:dyDescent="0.35">
      <c r="A514" s="1429"/>
      <c r="B514" s="1430"/>
    </row>
    <row r="515" spans="1:2" x14ac:dyDescent="0.35">
      <c r="A515" s="1429"/>
      <c r="B515" s="1430"/>
    </row>
    <row r="516" spans="1:2" x14ac:dyDescent="0.35">
      <c r="A516" s="1429"/>
      <c r="B516" s="1430"/>
    </row>
    <row r="517" spans="1:2" x14ac:dyDescent="0.35">
      <c r="A517" s="1429"/>
      <c r="B517" s="1430"/>
    </row>
    <row r="518" spans="1:2" x14ac:dyDescent="0.35">
      <c r="A518" s="1429"/>
      <c r="B518" s="1430"/>
    </row>
    <row r="519" spans="1:2" x14ac:dyDescent="0.35">
      <c r="A519" s="1429"/>
      <c r="B519" s="1430"/>
    </row>
    <row r="520" spans="1:2" x14ac:dyDescent="0.35">
      <c r="A520" s="1429"/>
      <c r="B520" s="1430"/>
    </row>
    <row r="521" spans="1:2" x14ac:dyDescent="0.35">
      <c r="A521" s="1429"/>
      <c r="B521" s="1430"/>
    </row>
    <row r="522" spans="1:2" x14ac:dyDescent="0.35">
      <c r="A522" s="1429"/>
      <c r="B522" s="1430"/>
    </row>
    <row r="523" spans="1:2" x14ac:dyDescent="0.35">
      <c r="A523" s="1429"/>
      <c r="B523" s="1430"/>
    </row>
    <row r="524" spans="1:2" x14ac:dyDescent="0.35">
      <c r="A524" s="1429"/>
      <c r="B524" s="1430"/>
    </row>
    <row r="525" spans="1:2" x14ac:dyDescent="0.35">
      <c r="A525" s="1429"/>
      <c r="B525" s="1430"/>
    </row>
    <row r="526" spans="1:2" x14ac:dyDescent="0.35">
      <c r="A526" s="1429"/>
      <c r="B526" s="1430"/>
    </row>
    <row r="527" spans="1:2" x14ac:dyDescent="0.35">
      <c r="A527" s="1429"/>
      <c r="B527" s="1430"/>
    </row>
    <row r="528" spans="1:2" x14ac:dyDescent="0.35">
      <c r="A528" s="1429"/>
      <c r="B528" s="1430"/>
    </row>
    <row r="529" spans="1:2" x14ac:dyDescent="0.35">
      <c r="A529" s="1429"/>
      <c r="B529" s="1430"/>
    </row>
    <row r="530" spans="1:2" x14ac:dyDescent="0.35">
      <c r="A530" s="1429"/>
      <c r="B530" s="1430"/>
    </row>
    <row r="531" spans="1:2" x14ac:dyDescent="0.35">
      <c r="A531" s="1429"/>
      <c r="B531" s="1430"/>
    </row>
    <row r="532" spans="1:2" x14ac:dyDescent="0.35">
      <c r="A532" s="1429"/>
      <c r="B532" s="1430"/>
    </row>
    <row r="533" spans="1:2" x14ac:dyDescent="0.35">
      <c r="A533" s="1429"/>
      <c r="B533" s="1430"/>
    </row>
    <row r="534" spans="1:2" x14ac:dyDescent="0.35">
      <c r="A534" s="1429"/>
      <c r="B534" s="1430"/>
    </row>
    <row r="535" spans="1:2" x14ac:dyDescent="0.35">
      <c r="A535" s="1429"/>
      <c r="B535" s="1430"/>
    </row>
    <row r="536" spans="1:2" x14ac:dyDescent="0.35">
      <c r="A536" s="1429"/>
      <c r="B536" s="1430"/>
    </row>
    <row r="537" spans="1:2" x14ac:dyDescent="0.35">
      <c r="A537" s="1429"/>
      <c r="B537" s="1430"/>
    </row>
    <row r="538" spans="1:2" x14ac:dyDescent="0.35">
      <c r="A538" s="1429"/>
      <c r="B538" s="1430"/>
    </row>
    <row r="539" spans="1:2" x14ac:dyDescent="0.35">
      <c r="A539" s="1429"/>
      <c r="B539" s="1430"/>
    </row>
    <row r="540" spans="1:2" x14ac:dyDescent="0.35">
      <c r="A540" s="1429"/>
      <c r="B540" s="1430"/>
    </row>
    <row r="541" spans="1:2" x14ac:dyDescent="0.35">
      <c r="A541" s="1429"/>
      <c r="B541" s="1430"/>
    </row>
    <row r="542" spans="1:2" x14ac:dyDescent="0.35">
      <c r="A542" s="1429"/>
      <c r="B542" s="1430"/>
    </row>
    <row r="543" spans="1:2" x14ac:dyDescent="0.35">
      <c r="A543" s="1429"/>
      <c r="B543" s="1430"/>
    </row>
    <row r="544" spans="1:2" x14ac:dyDescent="0.35">
      <c r="A544" s="1429"/>
      <c r="B544" s="1430"/>
    </row>
    <row r="545" spans="1:2" x14ac:dyDescent="0.35">
      <c r="A545" s="1429"/>
      <c r="B545" s="1430"/>
    </row>
    <row r="546" spans="1:2" x14ac:dyDescent="0.35">
      <c r="A546" s="1429"/>
      <c r="B546" s="1430"/>
    </row>
    <row r="547" spans="1:2" x14ac:dyDescent="0.35">
      <c r="A547" s="1429"/>
      <c r="B547" s="1430"/>
    </row>
    <row r="548" spans="1:2" x14ac:dyDescent="0.35">
      <c r="A548" s="1429"/>
      <c r="B548" s="1430"/>
    </row>
    <row r="549" spans="1:2" x14ac:dyDescent="0.35">
      <c r="A549" s="1429"/>
      <c r="B549" s="1430"/>
    </row>
    <row r="550" spans="1:2" x14ac:dyDescent="0.35">
      <c r="A550" s="1429"/>
      <c r="B550" s="1430"/>
    </row>
    <row r="551" spans="1:2" x14ac:dyDescent="0.35">
      <c r="A551" s="1429"/>
      <c r="B551" s="1430"/>
    </row>
    <row r="552" spans="1:2" x14ac:dyDescent="0.35">
      <c r="A552" s="1429"/>
      <c r="B552" s="1430"/>
    </row>
    <row r="553" spans="1:2" x14ac:dyDescent="0.35">
      <c r="A553" s="1429"/>
      <c r="B553" s="1430"/>
    </row>
    <row r="554" spans="1:2" x14ac:dyDescent="0.35">
      <c r="A554" s="1429"/>
      <c r="B554" s="1430"/>
    </row>
    <row r="555" spans="1:2" x14ac:dyDescent="0.35">
      <c r="A555" s="1429"/>
      <c r="B555" s="1430"/>
    </row>
    <row r="556" spans="1:2" x14ac:dyDescent="0.35">
      <c r="A556" s="1429"/>
      <c r="B556" s="1430"/>
    </row>
    <row r="557" spans="1:2" x14ac:dyDescent="0.35">
      <c r="A557" s="1429"/>
      <c r="B557" s="1430"/>
    </row>
    <row r="558" spans="1:2" x14ac:dyDescent="0.35">
      <c r="A558" s="1429"/>
      <c r="B558" s="1430"/>
    </row>
    <row r="559" spans="1:2" x14ac:dyDescent="0.35">
      <c r="A559" s="1429"/>
      <c r="B559" s="1430"/>
    </row>
    <row r="560" spans="1:2" x14ac:dyDescent="0.35">
      <c r="A560" s="1429"/>
      <c r="B560" s="1430"/>
    </row>
    <row r="561" spans="1:2" x14ac:dyDescent="0.35">
      <c r="A561" s="1429"/>
      <c r="B561" s="1430"/>
    </row>
    <row r="562" spans="1:2" x14ac:dyDescent="0.35">
      <c r="A562" s="1429"/>
      <c r="B562" s="1430"/>
    </row>
    <row r="563" spans="1:2" x14ac:dyDescent="0.35">
      <c r="A563" s="1429"/>
      <c r="B563" s="1430"/>
    </row>
    <row r="564" spans="1:2" x14ac:dyDescent="0.35">
      <c r="A564" s="1429"/>
      <c r="B564" s="1430"/>
    </row>
    <row r="565" spans="1:2" x14ac:dyDescent="0.35">
      <c r="A565" s="1429"/>
      <c r="B565" s="1430"/>
    </row>
    <row r="566" spans="1:2" x14ac:dyDescent="0.35">
      <c r="A566" s="1429"/>
      <c r="B566" s="1430"/>
    </row>
    <row r="567" spans="1:2" x14ac:dyDescent="0.35">
      <c r="A567" s="1429"/>
      <c r="B567" s="1430"/>
    </row>
    <row r="568" spans="1:2" x14ac:dyDescent="0.35">
      <c r="A568" s="1429"/>
      <c r="B568" s="1430"/>
    </row>
    <row r="569" spans="1:2" x14ac:dyDescent="0.35">
      <c r="A569" s="1429"/>
      <c r="B569" s="1430"/>
    </row>
    <row r="570" spans="1:2" x14ac:dyDescent="0.35">
      <c r="A570" s="1429"/>
      <c r="B570" s="1430"/>
    </row>
    <row r="571" spans="1:2" x14ac:dyDescent="0.35">
      <c r="A571" s="1429"/>
      <c r="B571" s="1430"/>
    </row>
    <row r="572" spans="1:2" x14ac:dyDescent="0.35">
      <c r="A572" s="1429"/>
      <c r="B572" s="1430"/>
    </row>
    <row r="573" spans="1:2" x14ac:dyDescent="0.35">
      <c r="A573" s="1429"/>
      <c r="B573" s="1430"/>
    </row>
    <row r="574" spans="1:2" x14ac:dyDescent="0.35">
      <c r="A574" s="1429"/>
      <c r="B574" s="1430"/>
    </row>
    <row r="575" spans="1:2" x14ac:dyDescent="0.35">
      <c r="A575" s="1429"/>
      <c r="B575" s="1430"/>
    </row>
    <row r="576" spans="1:2" x14ac:dyDescent="0.35">
      <c r="A576" s="1429"/>
      <c r="B576" s="1430"/>
    </row>
    <row r="577" spans="1:2" x14ac:dyDescent="0.35">
      <c r="A577" s="1429"/>
      <c r="B577" s="1430"/>
    </row>
    <row r="578" spans="1:2" x14ac:dyDescent="0.35">
      <c r="A578" s="1429"/>
      <c r="B578" s="1430"/>
    </row>
    <row r="579" spans="1:2" x14ac:dyDescent="0.35">
      <c r="A579" s="1429"/>
      <c r="B579" s="1430"/>
    </row>
    <row r="580" spans="1:2" x14ac:dyDescent="0.35">
      <c r="A580" s="1429"/>
      <c r="B580" s="1430"/>
    </row>
    <row r="581" spans="1:2" x14ac:dyDescent="0.35">
      <c r="A581" s="1429"/>
      <c r="B581" s="1430"/>
    </row>
    <row r="582" spans="1:2" x14ac:dyDescent="0.35">
      <c r="A582" s="1429"/>
      <c r="B582" s="1430"/>
    </row>
    <row r="583" spans="1:2" x14ac:dyDescent="0.35">
      <c r="A583" s="1429"/>
      <c r="B583" s="1430"/>
    </row>
    <row r="584" spans="1:2" x14ac:dyDescent="0.35">
      <c r="A584" s="1429"/>
      <c r="B584" s="1430"/>
    </row>
    <row r="585" spans="1:2" x14ac:dyDescent="0.35">
      <c r="A585" s="1429"/>
      <c r="B585" s="1430"/>
    </row>
    <row r="586" spans="1:2" x14ac:dyDescent="0.35">
      <c r="A586" s="1429"/>
      <c r="B586" s="1430"/>
    </row>
    <row r="587" spans="1:2" x14ac:dyDescent="0.35">
      <c r="A587" s="1429"/>
      <c r="B587" s="1430"/>
    </row>
    <row r="588" spans="1:2" x14ac:dyDescent="0.35">
      <c r="A588" s="1429"/>
      <c r="B588" s="1430"/>
    </row>
    <row r="589" spans="1:2" x14ac:dyDescent="0.35">
      <c r="A589" s="1429"/>
      <c r="B589" s="1430"/>
    </row>
    <row r="590" spans="1:2" x14ac:dyDescent="0.35">
      <c r="A590" s="1429"/>
      <c r="B590" s="1430"/>
    </row>
    <row r="591" spans="1:2" x14ac:dyDescent="0.35">
      <c r="A591" s="1429"/>
      <c r="B591" s="1430"/>
    </row>
    <row r="592" spans="1:2" x14ac:dyDescent="0.35">
      <c r="A592" s="1429"/>
      <c r="B592" s="1430"/>
    </row>
    <row r="593" spans="1:2" x14ac:dyDescent="0.35">
      <c r="A593" s="1429"/>
      <c r="B593" s="1430"/>
    </row>
    <row r="594" spans="1:2" x14ac:dyDescent="0.35">
      <c r="A594" s="1429"/>
      <c r="B594" s="1430"/>
    </row>
    <row r="595" spans="1:2" x14ac:dyDescent="0.35">
      <c r="A595" s="1429"/>
      <c r="B595" s="1430"/>
    </row>
    <row r="596" spans="1:2" x14ac:dyDescent="0.35">
      <c r="A596" s="1429"/>
      <c r="B596" s="1430"/>
    </row>
    <row r="597" spans="1:2" x14ac:dyDescent="0.35">
      <c r="A597" s="1429"/>
      <c r="B597" s="1430"/>
    </row>
    <row r="598" spans="1:2" x14ac:dyDescent="0.35">
      <c r="A598" s="1429"/>
      <c r="B598" s="1430"/>
    </row>
    <row r="599" spans="1:2" x14ac:dyDescent="0.35">
      <c r="A599" s="1429"/>
      <c r="B599" s="1430"/>
    </row>
    <row r="600" spans="1:2" x14ac:dyDescent="0.35">
      <c r="A600" s="1429"/>
      <c r="B600" s="1430"/>
    </row>
    <row r="601" spans="1:2" x14ac:dyDescent="0.35">
      <c r="A601" s="1429"/>
      <c r="B601" s="1430"/>
    </row>
    <row r="602" spans="1:2" x14ac:dyDescent="0.35">
      <c r="A602" s="1429"/>
      <c r="B602" s="1430"/>
    </row>
    <row r="603" spans="1:2" x14ac:dyDescent="0.35">
      <c r="A603" s="1429"/>
      <c r="B603" s="1430"/>
    </row>
    <row r="604" spans="1:2" x14ac:dyDescent="0.35">
      <c r="A604" s="1429"/>
      <c r="B604" s="1430"/>
    </row>
    <row r="605" spans="1:2" x14ac:dyDescent="0.35">
      <c r="A605" s="1429"/>
      <c r="B605" s="1430"/>
    </row>
    <row r="606" spans="1:2" x14ac:dyDescent="0.35">
      <c r="A606" s="1429"/>
      <c r="B606" s="1430"/>
    </row>
    <row r="607" spans="1:2" x14ac:dyDescent="0.35">
      <c r="A607" s="1429"/>
      <c r="B607" s="1430"/>
    </row>
    <row r="608" spans="1:2" x14ac:dyDescent="0.35">
      <c r="A608" s="1429"/>
      <c r="B608" s="1430"/>
    </row>
    <row r="609" spans="1:2" x14ac:dyDescent="0.35">
      <c r="A609" s="1429"/>
      <c r="B609" s="1430"/>
    </row>
    <row r="610" spans="1:2" x14ac:dyDescent="0.35">
      <c r="A610" s="1429"/>
      <c r="B610" s="1430"/>
    </row>
    <row r="611" spans="1:2" x14ac:dyDescent="0.35">
      <c r="A611" s="1429"/>
      <c r="B611" s="1430"/>
    </row>
    <row r="612" spans="1:2" x14ac:dyDescent="0.35">
      <c r="A612" s="1429"/>
      <c r="B612" s="1430"/>
    </row>
    <row r="613" spans="1:2" x14ac:dyDescent="0.35">
      <c r="A613" s="1429"/>
      <c r="B613" s="1430"/>
    </row>
    <row r="614" spans="1:2" x14ac:dyDescent="0.35">
      <c r="A614" s="1429"/>
      <c r="B614" s="1430"/>
    </row>
    <row r="615" spans="1:2" x14ac:dyDescent="0.35">
      <c r="A615" s="1429"/>
      <c r="B615" s="1430"/>
    </row>
    <row r="616" spans="1:2" x14ac:dyDescent="0.35">
      <c r="A616" s="1429"/>
      <c r="B616" s="1430"/>
    </row>
    <row r="617" spans="1:2" x14ac:dyDescent="0.35">
      <c r="A617" s="1429"/>
      <c r="B617" s="1430"/>
    </row>
    <row r="618" spans="1:2" x14ac:dyDescent="0.35">
      <c r="A618" s="1429"/>
      <c r="B618" s="1430"/>
    </row>
    <row r="619" spans="1:2" x14ac:dyDescent="0.35">
      <c r="A619" s="1429"/>
      <c r="B619" s="1430"/>
    </row>
    <row r="620" spans="1:2" x14ac:dyDescent="0.35">
      <c r="A620" s="1429"/>
      <c r="B620" s="1430"/>
    </row>
    <row r="621" spans="1:2" x14ac:dyDescent="0.35">
      <c r="A621" s="1429"/>
      <c r="B621" s="1430"/>
    </row>
    <row r="622" spans="1:2" x14ac:dyDescent="0.35">
      <c r="A622" s="1429"/>
      <c r="B622" s="1430"/>
    </row>
    <row r="623" spans="1:2" x14ac:dyDescent="0.35">
      <c r="A623" s="1429"/>
      <c r="B623" s="1430"/>
    </row>
    <row r="624" spans="1:2" x14ac:dyDescent="0.35">
      <c r="A624" s="1429"/>
      <c r="B624" s="1430"/>
    </row>
    <row r="625" spans="1:2" x14ac:dyDescent="0.35">
      <c r="A625" s="1429"/>
      <c r="B625" s="1430"/>
    </row>
    <row r="626" spans="1:2" x14ac:dyDescent="0.35">
      <c r="A626" s="1429"/>
      <c r="B626" s="1430"/>
    </row>
    <row r="627" spans="1:2" x14ac:dyDescent="0.35">
      <c r="A627" s="1429"/>
      <c r="B627" s="1430"/>
    </row>
    <row r="628" spans="1:2" x14ac:dyDescent="0.35">
      <c r="A628" s="1429"/>
      <c r="B628" s="1430"/>
    </row>
    <row r="629" spans="1:2" x14ac:dyDescent="0.35">
      <c r="A629" s="1429"/>
      <c r="B629" s="1430"/>
    </row>
    <row r="630" spans="1:2" x14ac:dyDescent="0.35">
      <c r="A630" s="1429"/>
      <c r="B630" s="1430"/>
    </row>
    <row r="631" spans="1:2" x14ac:dyDescent="0.35">
      <c r="A631" s="1429"/>
      <c r="B631" s="1430"/>
    </row>
    <row r="632" spans="1:2" x14ac:dyDescent="0.35">
      <c r="A632" s="1429"/>
      <c r="B632" s="1430"/>
    </row>
    <row r="633" spans="1:2" x14ac:dyDescent="0.35">
      <c r="A633" s="1429"/>
      <c r="B633" s="1430"/>
    </row>
    <row r="634" spans="1:2" x14ac:dyDescent="0.35">
      <c r="A634" s="1429"/>
      <c r="B634" s="1430"/>
    </row>
    <row r="635" spans="1:2" x14ac:dyDescent="0.35">
      <c r="A635" s="1429"/>
      <c r="B635" s="1430"/>
    </row>
    <row r="636" spans="1:2" x14ac:dyDescent="0.35">
      <c r="A636" s="1429"/>
      <c r="B636" s="1430"/>
    </row>
    <row r="637" spans="1:2" x14ac:dyDescent="0.35">
      <c r="A637" s="1429"/>
      <c r="B637" s="1430"/>
    </row>
    <row r="638" spans="1:2" x14ac:dyDescent="0.35">
      <c r="A638" s="1429"/>
      <c r="B638" s="1430"/>
    </row>
    <row r="639" spans="1:2" x14ac:dyDescent="0.35">
      <c r="A639" s="1429"/>
      <c r="B639" s="1430"/>
    </row>
    <row r="640" spans="1:2" x14ac:dyDescent="0.35">
      <c r="A640" s="1429"/>
      <c r="B640" s="1430"/>
    </row>
    <row r="641" spans="1:2" x14ac:dyDescent="0.35">
      <c r="A641" s="1429"/>
      <c r="B641" s="1430"/>
    </row>
    <row r="642" spans="1:2" x14ac:dyDescent="0.35">
      <c r="A642" s="1429"/>
      <c r="B642" s="1430"/>
    </row>
    <row r="643" spans="1:2" x14ac:dyDescent="0.35">
      <c r="A643" s="1429"/>
      <c r="B643" s="1430"/>
    </row>
    <row r="644" spans="1:2" x14ac:dyDescent="0.35">
      <c r="A644" s="1429"/>
      <c r="B644" s="1430"/>
    </row>
    <row r="645" spans="1:2" x14ac:dyDescent="0.35">
      <c r="A645" s="1429"/>
      <c r="B645" s="1430"/>
    </row>
    <row r="646" spans="1:2" x14ac:dyDescent="0.35">
      <c r="A646" s="1429"/>
      <c r="B646" s="1430"/>
    </row>
    <row r="647" spans="1:2" x14ac:dyDescent="0.35">
      <c r="A647" s="1429"/>
      <c r="B647" s="1430"/>
    </row>
    <row r="648" spans="1:2" x14ac:dyDescent="0.35">
      <c r="A648" s="1429"/>
      <c r="B648" s="1430"/>
    </row>
    <row r="649" spans="1:2" x14ac:dyDescent="0.35">
      <c r="A649" s="1429"/>
      <c r="B649" s="1430"/>
    </row>
    <row r="650" spans="1:2" x14ac:dyDescent="0.35">
      <c r="A650" s="1429"/>
      <c r="B650" s="1430"/>
    </row>
    <row r="651" spans="1:2" x14ac:dyDescent="0.35">
      <c r="A651" s="1429"/>
      <c r="B651" s="1430"/>
    </row>
    <row r="652" spans="1:2" x14ac:dyDescent="0.35">
      <c r="A652" s="1429"/>
      <c r="B652" s="1430"/>
    </row>
    <row r="653" spans="1:2" x14ac:dyDescent="0.35">
      <c r="A653" s="1429"/>
      <c r="B653" s="1430"/>
    </row>
    <row r="654" spans="1:2" x14ac:dyDescent="0.35">
      <c r="A654" s="1429"/>
      <c r="B654" s="1430"/>
    </row>
    <row r="655" spans="1:2" x14ac:dyDescent="0.35">
      <c r="A655" s="1429"/>
      <c r="B655" s="1430"/>
    </row>
    <row r="656" spans="1:2" x14ac:dyDescent="0.35">
      <c r="A656" s="1429"/>
      <c r="B656" s="1430"/>
    </row>
    <row r="657" spans="1:2" x14ac:dyDescent="0.35">
      <c r="A657" s="1429"/>
      <c r="B657" s="1430"/>
    </row>
    <row r="658" spans="1:2" x14ac:dyDescent="0.35">
      <c r="A658" s="1429"/>
      <c r="B658" s="1430"/>
    </row>
    <row r="659" spans="1:2" x14ac:dyDescent="0.35">
      <c r="A659" s="1429"/>
      <c r="B659" s="1430"/>
    </row>
    <row r="660" spans="1:2" x14ac:dyDescent="0.35">
      <c r="A660" s="1429"/>
      <c r="B660" s="1430"/>
    </row>
    <row r="661" spans="1:2" x14ac:dyDescent="0.35">
      <c r="A661" s="1429"/>
      <c r="B661" s="1430"/>
    </row>
    <row r="662" spans="1:2" x14ac:dyDescent="0.35">
      <c r="A662" s="1429"/>
      <c r="B662" s="1430"/>
    </row>
    <row r="663" spans="1:2" x14ac:dyDescent="0.35">
      <c r="A663" s="1429"/>
      <c r="B663" s="1430"/>
    </row>
    <row r="664" spans="1:2" x14ac:dyDescent="0.35">
      <c r="A664" s="1429"/>
      <c r="B664" s="1430"/>
    </row>
    <row r="665" spans="1:2" x14ac:dyDescent="0.35">
      <c r="A665" s="1429"/>
      <c r="B665" s="1430"/>
    </row>
    <row r="666" spans="1:2" x14ac:dyDescent="0.35">
      <c r="A666" s="1429"/>
      <c r="B666" s="1430"/>
    </row>
    <row r="667" spans="1:2" x14ac:dyDescent="0.35">
      <c r="A667" s="1429"/>
      <c r="B667" s="1430"/>
    </row>
    <row r="668" spans="1:2" x14ac:dyDescent="0.35">
      <c r="A668" s="1429"/>
      <c r="B668" s="1430"/>
    </row>
    <row r="669" spans="1:2" x14ac:dyDescent="0.35">
      <c r="A669" s="1429"/>
      <c r="B669" s="1430"/>
    </row>
    <row r="670" spans="1:2" x14ac:dyDescent="0.35">
      <c r="A670" s="1429"/>
      <c r="B670" s="1430"/>
    </row>
    <row r="671" spans="1:2" x14ac:dyDescent="0.35">
      <c r="A671" s="1429"/>
      <c r="B671" s="1430"/>
    </row>
    <row r="672" spans="1:2" x14ac:dyDescent="0.35">
      <c r="A672" s="1429"/>
      <c r="B672" s="1430"/>
    </row>
    <row r="673" spans="1:2" x14ac:dyDescent="0.35">
      <c r="A673" s="1429"/>
      <c r="B673" s="1430"/>
    </row>
    <row r="674" spans="1:2" x14ac:dyDescent="0.35">
      <c r="A674" s="1429"/>
      <c r="B674" s="1430"/>
    </row>
    <row r="675" spans="1:2" x14ac:dyDescent="0.35">
      <c r="A675" s="1429"/>
      <c r="B675" s="1430"/>
    </row>
    <row r="676" spans="1:2" x14ac:dyDescent="0.35">
      <c r="A676" s="1429"/>
      <c r="B676" s="1430"/>
    </row>
    <row r="677" spans="1:2" x14ac:dyDescent="0.35">
      <c r="A677" s="1429"/>
      <c r="B677" s="1430"/>
    </row>
    <row r="678" spans="1:2" x14ac:dyDescent="0.35">
      <c r="A678" s="1429"/>
      <c r="B678" s="1430"/>
    </row>
    <row r="679" spans="1:2" x14ac:dyDescent="0.35">
      <c r="A679" s="1429"/>
      <c r="B679" s="1430"/>
    </row>
    <row r="680" spans="1:2" x14ac:dyDescent="0.35">
      <c r="A680" s="1429"/>
      <c r="B680" s="1430"/>
    </row>
    <row r="681" spans="1:2" x14ac:dyDescent="0.35">
      <c r="A681" s="1429"/>
      <c r="B681" s="1430"/>
    </row>
    <row r="682" spans="1:2" x14ac:dyDescent="0.35">
      <c r="A682" s="1429"/>
      <c r="B682" s="1430"/>
    </row>
    <row r="683" spans="1:2" x14ac:dyDescent="0.35">
      <c r="A683" s="1429"/>
      <c r="B683" s="1430"/>
    </row>
    <row r="684" spans="1:2" x14ac:dyDescent="0.35">
      <c r="A684" s="1429"/>
      <c r="B684" s="1430"/>
    </row>
    <row r="685" spans="1:2" x14ac:dyDescent="0.35">
      <c r="A685" s="1429"/>
      <c r="B685" s="1430"/>
    </row>
    <row r="686" spans="1:2" x14ac:dyDescent="0.35">
      <c r="A686" s="1429"/>
      <c r="B686" s="1430"/>
    </row>
    <row r="687" spans="1:2" x14ac:dyDescent="0.35">
      <c r="A687" s="1429"/>
      <c r="B687" s="1430"/>
    </row>
    <row r="688" spans="1:2" x14ac:dyDescent="0.35">
      <c r="A688" s="1429"/>
      <c r="B688" s="1430"/>
    </row>
    <row r="689" spans="1:2" x14ac:dyDescent="0.35">
      <c r="A689" s="1429"/>
      <c r="B689" s="1430"/>
    </row>
    <row r="690" spans="1:2" x14ac:dyDescent="0.35">
      <c r="A690" s="1429"/>
      <c r="B690" s="1430"/>
    </row>
    <row r="691" spans="1:2" x14ac:dyDescent="0.35">
      <c r="A691" s="1429"/>
      <c r="B691" s="1430"/>
    </row>
    <row r="692" spans="1:2" x14ac:dyDescent="0.35">
      <c r="A692" s="1429"/>
      <c r="B692" s="1430"/>
    </row>
    <row r="693" spans="1:2" x14ac:dyDescent="0.35">
      <c r="A693" s="1429"/>
      <c r="B693" s="1430"/>
    </row>
    <row r="694" spans="1:2" x14ac:dyDescent="0.35">
      <c r="A694" s="1429"/>
      <c r="B694" s="1430"/>
    </row>
    <row r="695" spans="1:2" x14ac:dyDescent="0.35">
      <c r="A695" s="1429"/>
      <c r="B695" s="1430"/>
    </row>
    <row r="696" spans="1:2" x14ac:dyDescent="0.35">
      <c r="A696" s="1429"/>
      <c r="B696" s="1430"/>
    </row>
    <row r="697" spans="1:2" x14ac:dyDescent="0.35">
      <c r="A697" s="1429"/>
      <c r="B697" s="1430"/>
    </row>
    <row r="698" spans="1:2" x14ac:dyDescent="0.35">
      <c r="A698" s="1429"/>
      <c r="B698" s="1430"/>
    </row>
    <row r="699" spans="1:2" x14ac:dyDescent="0.35">
      <c r="A699" s="1429"/>
      <c r="B699" s="1430"/>
    </row>
    <row r="700" spans="1:2" x14ac:dyDescent="0.35">
      <c r="A700" s="1429"/>
      <c r="B700" s="1430"/>
    </row>
    <row r="701" spans="1:2" x14ac:dyDescent="0.35">
      <c r="A701" s="1429"/>
      <c r="B701" s="1430"/>
    </row>
    <row r="702" spans="1:2" x14ac:dyDescent="0.35">
      <c r="A702" s="1429"/>
      <c r="B702" s="1430"/>
    </row>
    <row r="703" spans="1:2" x14ac:dyDescent="0.35">
      <c r="A703" s="1429"/>
      <c r="B703" s="1430"/>
    </row>
    <row r="704" spans="1:2" x14ac:dyDescent="0.35">
      <c r="A704" s="1429"/>
      <c r="B704" s="1430"/>
    </row>
    <row r="705" spans="1:2" x14ac:dyDescent="0.35">
      <c r="A705" s="1429"/>
      <c r="B705" s="1430"/>
    </row>
    <row r="706" spans="1:2" x14ac:dyDescent="0.35">
      <c r="A706" s="1429"/>
      <c r="B706" s="1430"/>
    </row>
    <row r="707" spans="1:2" x14ac:dyDescent="0.35">
      <c r="A707" s="1429"/>
      <c r="B707" s="1430"/>
    </row>
    <row r="708" spans="1:2" x14ac:dyDescent="0.35">
      <c r="A708" s="1429"/>
      <c r="B708" s="1430"/>
    </row>
    <row r="709" spans="1:2" x14ac:dyDescent="0.35">
      <c r="A709" s="1429"/>
      <c r="B709" s="1430"/>
    </row>
    <row r="710" spans="1:2" x14ac:dyDescent="0.35">
      <c r="A710" s="1429"/>
      <c r="B710" s="1430"/>
    </row>
    <row r="711" spans="1:2" x14ac:dyDescent="0.35">
      <c r="A711" s="1429"/>
      <c r="B711" s="1430"/>
    </row>
    <row r="712" spans="1:2" x14ac:dyDescent="0.35">
      <c r="A712" s="1429"/>
      <c r="B712" s="1430"/>
    </row>
    <row r="713" spans="1:2" x14ac:dyDescent="0.35">
      <c r="A713" s="1429"/>
      <c r="B713" s="1430"/>
    </row>
    <row r="714" spans="1:2" x14ac:dyDescent="0.35">
      <c r="A714" s="1429"/>
      <c r="B714" s="1430"/>
    </row>
    <row r="715" spans="1:2" x14ac:dyDescent="0.35">
      <c r="A715" s="1429"/>
      <c r="B715" s="1430"/>
    </row>
    <row r="716" spans="1:2" x14ac:dyDescent="0.35">
      <c r="A716" s="1429"/>
      <c r="B716" s="1430"/>
    </row>
    <row r="717" spans="1:2" x14ac:dyDescent="0.35">
      <c r="A717" s="1429"/>
      <c r="B717" s="1430"/>
    </row>
    <row r="718" spans="1:2" x14ac:dyDescent="0.35">
      <c r="A718" s="1429"/>
      <c r="B718" s="1430"/>
    </row>
    <row r="719" spans="1:2" x14ac:dyDescent="0.35">
      <c r="A719" s="1429"/>
      <c r="B719" s="1430"/>
    </row>
    <row r="720" spans="1:2" x14ac:dyDescent="0.35">
      <c r="A720" s="1429"/>
      <c r="B720" s="1430"/>
    </row>
    <row r="721" spans="1:2" x14ac:dyDescent="0.35">
      <c r="A721" s="1429"/>
      <c r="B721" s="1430"/>
    </row>
    <row r="722" spans="1:2" x14ac:dyDescent="0.35">
      <c r="A722" s="1429"/>
      <c r="B722" s="1430"/>
    </row>
    <row r="723" spans="1:2" x14ac:dyDescent="0.35">
      <c r="A723" s="1429"/>
      <c r="B723" s="1430"/>
    </row>
    <row r="724" spans="1:2" x14ac:dyDescent="0.35">
      <c r="A724" s="1429"/>
      <c r="B724" s="1430"/>
    </row>
    <row r="725" spans="1:2" x14ac:dyDescent="0.35">
      <c r="A725" s="1429"/>
      <c r="B725" s="1430"/>
    </row>
    <row r="726" spans="1:2" x14ac:dyDescent="0.35">
      <c r="A726" s="1429"/>
      <c r="B726" s="1430"/>
    </row>
    <row r="727" spans="1:2" x14ac:dyDescent="0.35">
      <c r="A727" s="1429"/>
      <c r="B727" s="1430"/>
    </row>
    <row r="728" spans="1:2" x14ac:dyDescent="0.35">
      <c r="A728" s="1429"/>
      <c r="B728" s="1430"/>
    </row>
    <row r="729" spans="1:2" x14ac:dyDescent="0.35">
      <c r="A729" s="1429"/>
      <c r="B729" s="1430"/>
    </row>
    <row r="730" spans="1:2" x14ac:dyDescent="0.35">
      <c r="A730" s="1429"/>
      <c r="B730" s="1430"/>
    </row>
    <row r="731" spans="1:2" x14ac:dyDescent="0.35">
      <c r="A731" s="1429"/>
      <c r="B731" s="1430"/>
    </row>
    <row r="732" spans="1:2" x14ac:dyDescent="0.35">
      <c r="A732" s="1429"/>
      <c r="B732" s="1430"/>
    </row>
    <row r="733" spans="1:2" x14ac:dyDescent="0.35">
      <c r="A733" s="1429"/>
      <c r="B733" s="1430"/>
    </row>
    <row r="734" spans="1:2" x14ac:dyDescent="0.35">
      <c r="A734" s="1429"/>
      <c r="B734" s="1430"/>
    </row>
    <row r="735" spans="1:2" x14ac:dyDescent="0.35">
      <c r="A735" s="1429"/>
      <c r="B735" s="1430"/>
    </row>
    <row r="736" spans="1:2" x14ac:dyDescent="0.35">
      <c r="A736" s="1429"/>
      <c r="B736" s="1430"/>
    </row>
    <row r="737" spans="1:2" x14ac:dyDescent="0.35">
      <c r="A737" s="1429"/>
      <c r="B737" s="1430"/>
    </row>
    <row r="738" spans="1:2" x14ac:dyDescent="0.35">
      <c r="A738" s="1429"/>
      <c r="B738" s="1430"/>
    </row>
    <row r="739" spans="1:2" x14ac:dyDescent="0.35">
      <c r="A739" s="1429"/>
      <c r="B739" s="1430"/>
    </row>
    <row r="740" spans="1:2" x14ac:dyDescent="0.35">
      <c r="A740" s="1429"/>
      <c r="B740" s="1430"/>
    </row>
    <row r="741" spans="1:2" x14ac:dyDescent="0.35">
      <c r="A741" s="1429"/>
      <c r="B741" s="1430"/>
    </row>
    <row r="742" spans="1:2" x14ac:dyDescent="0.35">
      <c r="A742" s="1429"/>
      <c r="B742" s="1430"/>
    </row>
    <row r="743" spans="1:2" x14ac:dyDescent="0.35">
      <c r="A743" s="1429"/>
      <c r="B743" s="1430"/>
    </row>
    <row r="744" spans="1:2" x14ac:dyDescent="0.35">
      <c r="A744" s="1429"/>
      <c r="B744" s="1430"/>
    </row>
    <row r="745" spans="1:2" x14ac:dyDescent="0.35">
      <c r="A745" s="1429"/>
      <c r="B745" s="1430"/>
    </row>
    <row r="746" spans="1:2" x14ac:dyDescent="0.35">
      <c r="A746" s="1429"/>
      <c r="B746" s="1430"/>
    </row>
    <row r="747" spans="1:2" x14ac:dyDescent="0.35">
      <c r="A747" s="1429"/>
      <c r="B747" s="1430"/>
    </row>
    <row r="748" spans="1:2" x14ac:dyDescent="0.35">
      <c r="A748" s="1429"/>
      <c r="B748" s="1430"/>
    </row>
    <row r="749" spans="1:2" x14ac:dyDescent="0.35">
      <c r="A749" s="1429"/>
      <c r="B749" s="1430"/>
    </row>
    <row r="750" spans="1:2" x14ac:dyDescent="0.35">
      <c r="A750" s="1429"/>
      <c r="B750" s="1430"/>
    </row>
    <row r="751" spans="1:2" x14ac:dyDescent="0.35">
      <c r="A751" s="1429"/>
      <c r="B751" s="1430"/>
    </row>
    <row r="752" spans="1:2" x14ac:dyDescent="0.35">
      <c r="A752" s="1429"/>
      <c r="B752" s="1430"/>
    </row>
    <row r="753" spans="1:2" x14ac:dyDescent="0.35">
      <c r="A753" s="1429"/>
      <c r="B753" s="1430"/>
    </row>
    <row r="754" spans="1:2" x14ac:dyDescent="0.35">
      <c r="A754" s="1429"/>
      <c r="B754" s="1430"/>
    </row>
    <row r="755" spans="1:2" x14ac:dyDescent="0.35">
      <c r="A755" s="1429"/>
      <c r="B755" s="1430"/>
    </row>
    <row r="756" spans="1:2" x14ac:dyDescent="0.35">
      <c r="A756" s="1429"/>
      <c r="B756" s="1430"/>
    </row>
    <row r="757" spans="1:2" x14ac:dyDescent="0.35">
      <c r="A757" s="1429"/>
      <c r="B757" s="1430"/>
    </row>
    <row r="758" spans="1:2" x14ac:dyDescent="0.35">
      <c r="A758" s="1429"/>
      <c r="B758" s="1430"/>
    </row>
    <row r="759" spans="1:2" x14ac:dyDescent="0.35">
      <c r="A759" s="1429"/>
      <c r="B759" s="1430"/>
    </row>
    <row r="760" spans="1:2" x14ac:dyDescent="0.35">
      <c r="A760" s="1429"/>
      <c r="B760" s="1430"/>
    </row>
    <row r="761" spans="1:2" x14ac:dyDescent="0.35">
      <c r="A761" s="1429"/>
      <c r="B761" s="1430"/>
    </row>
    <row r="762" spans="1:2" x14ac:dyDescent="0.35">
      <c r="A762" s="1429"/>
      <c r="B762" s="1430"/>
    </row>
    <row r="763" spans="1:2" x14ac:dyDescent="0.35">
      <c r="A763" s="1429"/>
      <c r="B763" s="1430"/>
    </row>
    <row r="764" spans="1:2" x14ac:dyDescent="0.35">
      <c r="A764" s="1429"/>
      <c r="B764" s="1430"/>
    </row>
    <row r="765" spans="1:2" x14ac:dyDescent="0.35">
      <c r="A765" s="1429"/>
      <c r="B765" s="1430"/>
    </row>
    <row r="766" spans="1:2" x14ac:dyDescent="0.35">
      <c r="A766" s="1429"/>
      <c r="B766" s="1430"/>
    </row>
    <row r="767" spans="1:2" x14ac:dyDescent="0.35">
      <c r="A767" s="1429"/>
      <c r="B767" s="1430"/>
    </row>
    <row r="768" spans="1:2" x14ac:dyDescent="0.35">
      <c r="A768" s="1429"/>
      <c r="B768" s="1430"/>
    </row>
    <row r="769" spans="1:2" x14ac:dyDescent="0.35">
      <c r="A769" s="1429"/>
      <c r="B769" s="1430"/>
    </row>
    <row r="770" spans="1:2" x14ac:dyDescent="0.35">
      <c r="A770" s="1429"/>
      <c r="B770" s="1430"/>
    </row>
    <row r="771" spans="1:2" x14ac:dyDescent="0.35">
      <c r="A771" s="1429"/>
      <c r="B771" s="1430"/>
    </row>
    <row r="772" spans="1:2" x14ac:dyDescent="0.35">
      <c r="A772" s="1429"/>
      <c r="B772" s="1430"/>
    </row>
    <row r="773" spans="1:2" x14ac:dyDescent="0.35">
      <c r="A773" s="1429"/>
      <c r="B773" s="1430"/>
    </row>
    <row r="774" spans="1:2" x14ac:dyDescent="0.35">
      <c r="A774" s="1429"/>
      <c r="B774" s="1430"/>
    </row>
    <row r="775" spans="1:2" x14ac:dyDescent="0.35">
      <c r="A775" s="1429"/>
      <c r="B775" s="1430"/>
    </row>
    <row r="776" spans="1:2" x14ac:dyDescent="0.35">
      <c r="A776" s="1429"/>
      <c r="B776" s="1430"/>
    </row>
    <row r="777" spans="1:2" x14ac:dyDescent="0.35">
      <c r="A777" s="1429"/>
      <c r="B777" s="1430"/>
    </row>
    <row r="778" spans="1:2" x14ac:dyDescent="0.35">
      <c r="A778" s="1429"/>
      <c r="B778" s="1430"/>
    </row>
    <row r="779" spans="1:2" x14ac:dyDescent="0.35">
      <c r="A779" s="1429"/>
      <c r="B779" s="1430"/>
    </row>
    <row r="780" spans="1:2" x14ac:dyDescent="0.35">
      <c r="A780" s="1429"/>
      <c r="B780" s="1430"/>
    </row>
    <row r="781" spans="1:2" x14ac:dyDescent="0.35">
      <c r="A781" s="1429"/>
      <c r="B781" s="1430"/>
    </row>
    <row r="782" spans="1:2" x14ac:dyDescent="0.35">
      <c r="A782" s="1429"/>
      <c r="B782" s="1430"/>
    </row>
    <row r="783" spans="1:2" x14ac:dyDescent="0.35">
      <c r="A783" s="1429"/>
      <c r="B783" s="1430"/>
    </row>
    <row r="784" spans="1:2" x14ac:dyDescent="0.35">
      <c r="A784" s="1429"/>
      <c r="B784" s="1430"/>
    </row>
    <row r="785" spans="1:2" x14ac:dyDescent="0.35">
      <c r="A785" s="1429"/>
      <c r="B785" s="1430"/>
    </row>
    <row r="786" spans="1:2" x14ac:dyDescent="0.35">
      <c r="A786" s="1429"/>
      <c r="B786" s="1430"/>
    </row>
    <row r="787" spans="1:2" x14ac:dyDescent="0.35">
      <c r="A787" s="1429"/>
      <c r="B787" s="1430"/>
    </row>
    <row r="788" spans="1:2" x14ac:dyDescent="0.35">
      <c r="A788" s="1429"/>
      <c r="B788" s="1430"/>
    </row>
    <row r="789" spans="1:2" x14ac:dyDescent="0.35">
      <c r="A789" s="1429"/>
      <c r="B789" s="1430"/>
    </row>
    <row r="790" spans="1:2" x14ac:dyDescent="0.35">
      <c r="A790" s="1429"/>
      <c r="B790" s="1430"/>
    </row>
    <row r="791" spans="1:2" x14ac:dyDescent="0.35">
      <c r="A791" s="1429"/>
      <c r="B791" s="1430"/>
    </row>
    <row r="792" spans="1:2" x14ac:dyDescent="0.35">
      <c r="A792" s="1429"/>
      <c r="B792" s="1430"/>
    </row>
    <row r="793" spans="1:2" x14ac:dyDescent="0.35">
      <c r="A793" s="1429"/>
      <c r="B793" s="1430"/>
    </row>
    <row r="794" spans="1:2" x14ac:dyDescent="0.35">
      <c r="A794" s="1429"/>
      <c r="B794" s="1430"/>
    </row>
    <row r="795" spans="1:2" x14ac:dyDescent="0.35">
      <c r="A795" s="1429"/>
      <c r="B795" s="1430"/>
    </row>
    <row r="796" spans="1:2" x14ac:dyDescent="0.35">
      <c r="A796" s="1429"/>
      <c r="B796" s="1430"/>
    </row>
    <row r="797" spans="1:2" x14ac:dyDescent="0.35">
      <c r="A797" s="1429"/>
      <c r="B797" s="1430"/>
    </row>
    <row r="798" spans="1:2" x14ac:dyDescent="0.35">
      <c r="A798" s="1429"/>
      <c r="B798" s="1430"/>
    </row>
    <row r="799" spans="1:2" x14ac:dyDescent="0.35">
      <c r="A799" s="1429"/>
      <c r="B799" s="1430"/>
    </row>
    <row r="800" spans="1:2" x14ac:dyDescent="0.35">
      <c r="A800" s="1429"/>
      <c r="B800" s="1430"/>
    </row>
    <row r="801" spans="1:2" x14ac:dyDescent="0.35">
      <c r="A801" s="1429"/>
      <c r="B801" s="1430"/>
    </row>
    <row r="802" spans="1:2" x14ac:dyDescent="0.35">
      <c r="A802" s="1429"/>
      <c r="B802" s="1430"/>
    </row>
    <row r="803" spans="1:2" x14ac:dyDescent="0.35">
      <c r="A803" s="1429"/>
      <c r="B803" s="1430"/>
    </row>
    <row r="804" spans="1:2" x14ac:dyDescent="0.35">
      <c r="A804" s="1429"/>
      <c r="B804" s="1430"/>
    </row>
    <row r="805" spans="1:2" x14ac:dyDescent="0.35">
      <c r="A805" s="1429"/>
      <c r="B805" s="1430"/>
    </row>
    <row r="806" spans="1:2" x14ac:dyDescent="0.35">
      <c r="A806" s="1429"/>
      <c r="B806" s="1430"/>
    </row>
    <row r="807" spans="1:2" x14ac:dyDescent="0.35">
      <c r="A807" s="1429"/>
      <c r="B807" s="1430"/>
    </row>
    <row r="808" spans="1:2" x14ac:dyDescent="0.35">
      <c r="A808" s="1429"/>
      <c r="B808" s="1430"/>
    </row>
    <row r="809" spans="1:2" x14ac:dyDescent="0.35">
      <c r="A809" s="1429"/>
      <c r="B809" s="1430"/>
    </row>
    <row r="810" spans="1:2" x14ac:dyDescent="0.35">
      <c r="A810" s="1429"/>
      <c r="B810" s="1430"/>
    </row>
    <row r="811" spans="1:2" x14ac:dyDescent="0.35">
      <c r="A811" s="1429"/>
      <c r="B811" s="1430"/>
    </row>
    <row r="812" spans="1:2" x14ac:dyDescent="0.35">
      <c r="A812" s="1429"/>
      <c r="B812" s="1430"/>
    </row>
    <row r="813" spans="1:2" x14ac:dyDescent="0.35">
      <c r="A813" s="1429"/>
      <c r="B813" s="1430"/>
    </row>
    <row r="814" spans="1:2" x14ac:dyDescent="0.35">
      <c r="A814" s="1429"/>
      <c r="B814" s="1430"/>
    </row>
    <row r="815" spans="1:2" x14ac:dyDescent="0.35">
      <c r="A815" s="1429"/>
      <c r="B815" s="1430"/>
    </row>
    <row r="816" spans="1:2" x14ac:dyDescent="0.35">
      <c r="A816" s="1429"/>
      <c r="B816" s="1430"/>
    </row>
    <row r="817" spans="1:2" x14ac:dyDescent="0.35">
      <c r="A817" s="1429"/>
      <c r="B817" s="1430"/>
    </row>
    <row r="818" spans="1:2" x14ac:dyDescent="0.35">
      <c r="A818" s="1429"/>
      <c r="B818" s="1430"/>
    </row>
    <row r="819" spans="1:2" x14ac:dyDescent="0.35">
      <c r="A819" s="1429"/>
      <c r="B819" s="1430"/>
    </row>
    <row r="820" spans="1:2" x14ac:dyDescent="0.35">
      <c r="A820" s="1429"/>
      <c r="B820" s="1430"/>
    </row>
    <row r="821" spans="1:2" x14ac:dyDescent="0.35">
      <c r="A821" s="1429"/>
      <c r="B821" s="1430"/>
    </row>
    <row r="822" spans="1:2" x14ac:dyDescent="0.35">
      <c r="A822" s="1429"/>
      <c r="B822" s="1430"/>
    </row>
    <row r="823" spans="1:2" x14ac:dyDescent="0.35">
      <c r="A823" s="1429"/>
      <c r="B823" s="1430"/>
    </row>
    <row r="824" spans="1:2" x14ac:dyDescent="0.35">
      <c r="A824" s="1429"/>
      <c r="B824" s="1430"/>
    </row>
    <row r="825" spans="1:2" x14ac:dyDescent="0.35">
      <c r="A825" s="1429"/>
      <c r="B825" s="1430"/>
    </row>
    <row r="826" spans="1:2" x14ac:dyDescent="0.35">
      <c r="A826" s="1429"/>
      <c r="B826" s="1430"/>
    </row>
    <row r="827" spans="1:2" x14ac:dyDescent="0.35">
      <c r="A827" s="1429"/>
      <c r="B827" s="1430"/>
    </row>
    <row r="828" spans="1:2" x14ac:dyDescent="0.35">
      <c r="A828" s="1429"/>
      <c r="B828" s="1430"/>
    </row>
    <row r="829" spans="1:2" x14ac:dyDescent="0.35">
      <c r="A829" s="1429"/>
      <c r="B829" s="1430"/>
    </row>
    <row r="830" spans="1:2" x14ac:dyDescent="0.35">
      <c r="A830" s="1429"/>
      <c r="B830" s="1430"/>
    </row>
    <row r="831" spans="1:2" x14ac:dyDescent="0.35">
      <c r="A831" s="1429"/>
      <c r="B831" s="1430"/>
    </row>
    <row r="832" spans="1:2" x14ac:dyDescent="0.35">
      <c r="A832" s="1429"/>
      <c r="B832" s="1430"/>
    </row>
    <row r="833" spans="1:2" x14ac:dyDescent="0.35">
      <c r="A833" s="1429"/>
      <c r="B833" s="1430"/>
    </row>
    <row r="834" spans="1:2" x14ac:dyDescent="0.35">
      <c r="A834" s="1429"/>
      <c r="B834" s="1430"/>
    </row>
    <row r="835" spans="1:2" x14ac:dyDescent="0.35">
      <c r="A835" s="1429"/>
      <c r="B835" s="1430"/>
    </row>
    <row r="836" spans="1:2" x14ac:dyDescent="0.35">
      <c r="A836" s="1429"/>
      <c r="B836" s="1430"/>
    </row>
    <row r="837" spans="1:2" x14ac:dyDescent="0.35">
      <c r="A837" s="1429"/>
      <c r="B837" s="1430"/>
    </row>
    <row r="838" spans="1:2" x14ac:dyDescent="0.35">
      <c r="A838" s="1429"/>
      <c r="B838" s="1430"/>
    </row>
    <row r="839" spans="1:2" x14ac:dyDescent="0.35">
      <c r="A839" s="1429"/>
      <c r="B839" s="1430"/>
    </row>
    <row r="840" spans="1:2" x14ac:dyDescent="0.35">
      <c r="A840" s="1429"/>
      <c r="B840" s="1430"/>
    </row>
    <row r="841" spans="1:2" x14ac:dyDescent="0.35">
      <c r="A841" s="1429"/>
      <c r="B841" s="1430"/>
    </row>
    <row r="842" spans="1:2" x14ac:dyDescent="0.35">
      <c r="A842" s="1429"/>
      <c r="B842" s="1430"/>
    </row>
    <row r="843" spans="1:2" x14ac:dyDescent="0.35">
      <c r="A843" s="1429"/>
      <c r="B843" s="1430"/>
    </row>
    <row r="844" spans="1:2" x14ac:dyDescent="0.35">
      <c r="A844" s="1429"/>
      <c r="B844" s="1430"/>
    </row>
    <row r="845" spans="1:2" x14ac:dyDescent="0.35">
      <c r="A845" s="1429"/>
      <c r="B845" s="1430"/>
    </row>
    <row r="846" spans="1:2" x14ac:dyDescent="0.35">
      <c r="A846" s="1429"/>
      <c r="B846" s="1430"/>
    </row>
    <row r="847" spans="1:2" x14ac:dyDescent="0.35">
      <c r="A847" s="1429"/>
      <c r="B847" s="1430"/>
    </row>
    <row r="848" spans="1:2" x14ac:dyDescent="0.35">
      <c r="A848" s="1429"/>
      <c r="B848" s="1430"/>
    </row>
    <row r="849" spans="1:2" x14ac:dyDescent="0.35">
      <c r="A849" s="1429"/>
      <c r="B849" s="1430"/>
    </row>
    <row r="850" spans="1:2" x14ac:dyDescent="0.35">
      <c r="A850" s="1429"/>
      <c r="B850" s="1430"/>
    </row>
    <row r="851" spans="1:2" x14ac:dyDescent="0.35">
      <c r="A851" s="1429"/>
      <c r="B851" s="1430"/>
    </row>
    <row r="852" spans="1:2" x14ac:dyDescent="0.35">
      <c r="A852" s="1429"/>
      <c r="B852" s="1430"/>
    </row>
    <row r="853" spans="1:2" x14ac:dyDescent="0.35">
      <c r="A853" s="1429"/>
      <c r="B853" s="1430"/>
    </row>
    <row r="854" spans="1:2" x14ac:dyDescent="0.35">
      <c r="A854" s="1429"/>
      <c r="B854" s="1430"/>
    </row>
    <row r="855" spans="1:2" x14ac:dyDescent="0.35">
      <c r="A855" s="1429"/>
      <c r="B855" s="1430"/>
    </row>
    <row r="856" spans="1:2" x14ac:dyDescent="0.35">
      <c r="A856" s="1429"/>
      <c r="B856" s="1430"/>
    </row>
    <row r="857" spans="1:2" x14ac:dyDescent="0.35">
      <c r="A857" s="1429"/>
      <c r="B857" s="1430"/>
    </row>
    <row r="858" spans="1:2" x14ac:dyDescent="0.35">
      <c r="A858" s="1429"/>
      <c r="B858" s="1430"/>
    </row>
    <row r="859" spans="1:2" x14ac:dyDescent="0.35">
      <c r="A859" s="1429"/>
      <c r="B859" s="1430"/>
    </row>
    <row r="860" spans="1:2" x14ac:dyDescent="0.35">
      <c r="A860" s="1429"/>
      <c r="B860" s="1430"/>
    </row>
    <row r="861" spans="1:2" x14ac:dyDescent="0.35">
      <c r="A861" s="1429"/>
      <c r="B861" s="1430"/>
    </row>
    <row r="862" spans="1:2" x14ac:dyDescent="0.35">
      <c r="A862" s="1429"/>
      <c r="B862" s="1430"/>
    </row>
    <row r="863" spans="1:2" x14ac:dyDescent="0.35">
      <c r="A863" s="1429"/>
      <c r="B863" s="1430"/>
    </row>
    <row r="864" spans="1:2" x14ac:dyDescent="0.35">
      <c r="A864" s="1429"/>
      <c r="B864" s="1430"/>
    </row>
    <row r="865" spans="1:2" x14ac:dyDescent="0.35">
      <c r="A865" s="1429"/>
      <c r="B865" s="1430"/>
    </row>
    <row r="866" spans="1:2" x14ac:dyDescent="0.35">
      <c r="A866" s="1429"/>
      <c r="B866" s="1430"/>
    </row>
    <row r="867" spans="1:2" x14ac:dyDescent="0.35">
      <c r="A867" s="1429"/>
      <c r="B867" s="1430"/>
    </row>
    <row r="868" spans="1:2" x14ac:dyDescent="0.35">
      <c r="A868" s="1429"/>
      <c r="B868" s="1430"/>
    </row>
    <row r="869" spans="1:2" x14ac:dyDescent="0.35">
      <c r="A869" s="1429"/>
      <c r="B869" s="1430"/>
    </row>
    <row r="870" spans="1:2" x14ac:dyDescent="0.35">
      <c r="A870" s="1429"/>
      <c r="B870" s="1430"/>
    </row>
    <row r="871" spans="1:2" x14ac:dyDescent="0.35">
      <c r="A871" s="1429"/>
      <c r="B871" s="1430"/>
    </row>
    <row r="872" spans="1:2" x14ac:dyDescent="0.35">
      <c r="A872" s="1429"/>
      <c r="B872" s="1430"/>
    </row>
    <row r="873" spans="1:2" x14ac:dyDescent="0.35">
      <c r="A873" s="1429"/>
      <c r="B873" s="1430"/>
    </row>
    <row r="874" spans="1:2" x14ac:dyDescent="0.35">
      <c r="A874" s="1429"/>
      <c r="B874" s="1430"/>
    </row>
    <row r="875" spans="1:2" x14ac:dyDescent="0.35">
      <c r="A875" s="1429"/>
      <c r="B875" s="1430"/>
    </row>
    <row r="876" spans="1:2" x14ac:dyDescent="0.35">
      <c r="A876" s="1429"/>
      <c r="B876" s="1430"/>
    </row>
    <row r="877" spans="1:2" x14ac:dyDescent="0.35">
      <c r="A877" s="1429"/>
      <c r="B877" s="1430"/>
    </row>
    <row r="878" spans="1:2" x14ac:dyDescent="0.35">
      <c r="A878" s="1429"/>
      <c r="B878" s="1430"/>
    </row>
    <row r="879" spans="1:2" x14ac:dyDescent="0.35">
      <c r="A879" s="1429"/>
      <c r="B879" s="1430"/>
    </row>
    <row r="880" spans="1:2" x14ac:dyDescent="0.35">
      <c r="A880" s="1429"/>
      <c r="B880" s="1430"/>
    </row>
    <row r="881" spans="1:2" x14ac:dyDescent="0.35">
      <c r="A881" s="1429"/>
      <c r="B881" s="1430"/>
    </row>
    <row r="882" spans="1:2" x14ac:dyDescent="0.35">
      <c r="A882" s="1429"/>
      <c r="B882" s="1430"/>
    </row>
    <row r="883" spans="1:2" x14ac:dyDescent="0.35">
      <c r="A883" s="1429"/>
      <c r="B883" s="1430"/>
    </row>
    <row r="884" spans="1:2" x14ac:dyDescent="0.35">
      <c r="A884" s="1429"/>
      <c r="B884" s="1430"/>
    </row>
    <row r="885" spans="1:2" x14ac:dyDescent="0.35">
      <c r="A885" s="1429"/>
      <c r="B885" s="1430"/>
    </row>
    <row r="886" spans="1:2" x14ac:dyDescent="0.35">
      <c r="A886" s="1429"/>
      <c r="B886" s="1430"/>
    </row>
    <row r="887" spans="1:2" x14ac:dyDescent="0.35">
      <c r="A887" s="1429"/>
      <c r="B887" s="1430"/>
    </row>
    <row r="888" spans="1:2" x14ac:dyDescent="0.35">
      <c r="A888" s="1429"/>
      <c r="B888" s="1430"/>
    </row>
    <row r="889" spans="1:2" x14ac:dyDescent="0.35">
      <c r="A889" s="1429"/>
      <c r="B889" s="1430"/>
    </row>
    <row r="890" spans="1:2" x14ac:dyDescent="0.35">
      <c r="A890" s="1429"/>
      <c r="B890" s="1430"/>
    </row>
    <row r="891" spans="1:2" x14ac:dyDescent="0.35">
      <c r="A891" s="1429"/>
      <c r="B891" s="1430"/>
    </row>
    <row r="892" spans="1:2" x14ac:dyDescent="0.35">
      <c r="A892" s="1429"/>
      <c r="B892" s="1430"/>
    </row>
    <row r="893" spans="1:2" x14ac:dyDescent="0.35">
      <c r="A893" s="1429"/>
      <c r="B893" s="1430"/>
    </row>
    <row r="894" spans="1:2" x14ac:dyDescent="0.35">
      <c r="A894" s="1429"/>
      <c r="B894" s="1430"/>
    </row>
    <row r="895" spans="1:2" x14ac:dyDescent="0.35">
      <c r="A895" s="1429"/>
      <c r="B895" s="1430"/>
    </row>
    <row r="896" spans="1:2" x14ac:dyDescent="0.35">
      <c r="A896" s="1429"/>
      <c r="B896" s="1430"/>
    </row>
    <row r="897" spans="1:2" x14ac:dyDescent="0.35">
      <c r="A897" s="1429"/>
      <c r="B897" s="1430"/>
    </row>
    <row r="898" spans="1:2" x14ac:dyDescent="0.35">
      <c r="A898" s="1429"/>
      <c r="B898" s="1430"/>
    </row>
    <row r="899" spans="1:2" x14ac:dyDescent="0.35">
      <c r="A899" s="1429"/>
      <c r="B899" s="1430"/>
    </row>
    <row r="900" spans="1:2" x14ac:dyDescent="0.35">
      <c r="A900" s="1429"/>
      <c r="B900" s="1430"/>
    </row>
    <row r="901" spans="1:2" x14ac:dyDescent="0.35">
      <c r="A901" s="1429"/>
      <c r="B901" s="1430"/>
    </row>
    <row r="902" spans="1:2" x14ac:dyDescent="0.35">
      <c r="A902" s="1429"/>
      <c r="B902" s="1430"/>
    </row>
    <row r="903" spans="1:2" x14ac:dyDescent="0.35">
      <c r="A903" s="1429"/>
      <c r="B903" s="1430"/>
    </row>
    <row r="904" spans="1:2" x14ac:dyDescent="0.35">
      <c r="A904" s="1429"/>
      <c r="B904" s="1430"/>
    </row>
    <row r="905" spans="1:2" x14ac:dyDescent="0.35">
      <c r="A905" s="1429"/>
      <c r="B905" s="1430"/>
    </row>
    <row r="906" spans="1:2" x14ac:dyDescent="0.35">
      <c r="A906" s="1429"/>
      <c r="B906" s="1430"/>
    </row>
    <row r="907" spans="1:2" x14ac:dyDescent="0.35">
      <c r="A907" s="1429"/>
      <c r="B907" s="1430"/>
    </row>
    <row r="908" spans="1:2" x14ac:dyDescent="0.35">
      <c r="A908" s="1429"/>
      <c r="B908" s="1430"/>
    </row>
    <row r="909" spans="1:2" x14ac:dyDescent="0.35">
      <c r="A909" s="1429"/>
      <c r="B909" s="1430"/>
    </row>
    <row r="910" spans="1:2" x14ac:dyDescent="0.35">
      <c r="A910" s="1429"/>
      <c r="B910" s="1430"/>
    </row>
    <row r="911" spans="1:2" x14ac:dyDescent="0.35">
      <c r="A911" s="1429"/>
      <c r="B911" s="1430"/>
    </row>
    <row r="912" spans="1:2" x14ac:dyDescent="0.35">
      <c r="A912" s="1429"/>
      <c r="B912" s="1430"/>
    </row>
    <row r="913" spans="1:2" x14ac:dyDescent="0.35">
      <c r="A913" s="1429"/>
      <c r="B913" s="1430"/>
    </row>
    <row r="914" spans="1:2" x14ac:dyDescent="0.35">
      <c r="A914" s="1429"/>
      <c r="B914" s="1430"/>
    </row>
    <row r="915" spans="1:2" x14ac:dyDescent="0.35">
      <c r="A915" s="1429"/>
      <c r="B915" s="1430"/>
    </row>
    <row r="916" spans="1:2" x14ac:dyDescent="0.35">
      <c r="A916" s="1429"/>
      <c r="B916" s="1430"/>
    </row>
    <row r="917" spans="1:2" x14ac:dyDescent="0.35">
      <c r="A917" s="1429"/>
      <c r="B917" s="1430"/>
    </row>
    <row r="918" spans="1:2" x14ac:dyDescent="0.35">
      <c r="A918" s="1429"/>
      <c r="B918" s="1430"/>
    </row>
    <row r="919" spans="1:2" x14ac:dyDescent="0.35">
      <c r="A919" s="1429"/>
      <c r="B919" s="1430"/>
    </row>
    <row r="920" spans="1:2" x14ac:dyDescent="0.35">
      <c r="A920" s="1429"/>
      <c r="B920" s="1430"/>
    </row>
    <row r="921" spans="1:2" x14ac:dyDescent="0.35">
      <c r="A921" s="1429"/>
      <c r="B921" s="1430"/>
    </row>
    <row r="922" spans="1:2" x14ac:dyDescent="0.35">
      <c r="A922" s="1429"/>
      <c r="B922" s="1430"/>
    </row>
    <row r="923" spans="1:2" x14ac:dyDescent="0.35">
      <c r="A923" s="1429"/>
      <c r="B923" s="1430"/>
    </row>
    <row r="924" spans="1:2" x14ac:dyDescent="0.35">
      <c r="A924" s="1429"/>
      <c r="B924" s="1430"/>
    </row>
    <row r="925" spans="1:2" x14ac:dyDescent="0.35">
      <c r="A925" s="1429"/>
      <c r="B925" s="1430"/>
    </row>
    <row r="926" spans="1:2" x14ac:dyDescent="0.35">
      <c r="A926" s="1429"/>
      <c r="B926" s="1430"/>
    </row>
    <row r="927" spans="1:2" x14ac:dyDescent="0.35">
      <c r="A927" s="1429"/>
      <c r="B927" s="1430"/>
    </row>
    <row r="928" spans="1:2" x14ac:dyDescent="0.35">
      <c r="A928" s="1429"/>
      <c r="B928" s="1430"/>
    </row>
    <row r="929" spans="1:2" x14ac:dyDescent="0.35">
      <c r="A929" s="1429"/>
      <c r="B929" s="1430"/>
    </row>
    <row r="930" spans="1:2" x14ac:dyDescent="0.35">
      <c r="A930" s="1429"/>
      <c r="B930" s="1430"/>
    </row>
    <row r="931" spans="1:2" x14ac:dyDescent="0.35">
      <c r="A931" s="1429"/>
      <c r="B931" s="1430"/>
    </row>
    <row r="932" spans="1:2" x14ac:dyDescent="0.35">
      <c r="A932" s="1429"/>
      <c r="B932" s="1430"/>
    </row>
    <row r="933" spans="1:2" x14ac:dyDescent="0.35">
      <c r="A933" s="1429"/>
      <c r="B933" s="1430"/>
    </row>
    <row r="934" spans="1:2" x14ac:dyDescent="0.35">
      <c r="A934" s="1429"/>
      <c r="B934" s="1430"/>
    </row>
    <row r="935" spans="1:2" x14ac:dyDescent="0.35">
      <c r="A935" s="1429"/>
      <c r="B935" s="1430"/>
    </row>
    <row r="936" spans="1:2" x14ac:dyDescent="0.35">
      <c r="A936" s="1429"/>
      <c r="B936" s="1430"/>
    </row>
    <row r="937" spans="1:2" x14ac:dyDescent="0.35">
      <c r="A937" s="1429"/>
      <c r="B937" s="1430"/>
    </row>
    <row r="938" spans="1:2" x14ac:dyDescent="0.35">
      <c r="A938" s="1429"/>
      <c r="B938" s="1430"/>
    </row>
    <row r="939" spans="1:2" x14ac:dyDescent="0.35">
      <c r="A939" s="1429"/>
      <c r="B939" s="1430"/>
    </row>
    <row r="940" spans="1:2" x14ac:dyDescent="0.35">
      <c r="A940" s="1429"/>
      <c r="B940" s="1430"/>
    </row>
    <row r="941" spans="1:2" x14ac:dyDescent="0.35">
      <c r="A941" s="1429"/>
      <c r="B941" s="1430"/>
    </row>
    <row r="942" spans="1:2" x14ac:dyDescent="0.35">
      <c r="A942" s="1429"/>
      <c r="B942" s="1430"/>
    </row>
    <row r="943" spans="1:2" x14ac:dyDescent="0.35">
      <c r="A943" s="1429"/>
      <c r="B943" s="1430"/>
    </row>
    <row r="944" spans="1:2" x14ac:dyDescent="0.35">
      <c r="A944" s="1429"/>
      <c r="B944" s="1430"/>
    </row>
    <row r="945" spans="1:2" x14ac:dyDescent="0.35">
      <c r="A945" s="1429"/>
      <c r="B945" s="1430"/>
    </row>
    <row r="946" spans="1:2" x14ac:dyDescent="0.35">
      <c r="A946" s="1429"/>
      <c r="B946" s="1430"/>
    </row>
    <row r="947" spans="1:2" x14ac:dyDescent="0.35">
      <c r="A947" s="1429"/>
      <c r="B947" s="1430"/>
    </row>
    <row r="948" spans="1:2" x14ac:dyDescent="0.35">
      <c r="A948" s="1429"/>
      <c r="B948" s="1430"/>
    </row>
    <row r="949" spans="1:2" x14ac:dyDescent="0.35">
      <c r="A949" s="1429"/>
      <c r="B949" s="1430"/>
    </row>
    <row r="950" spans="1:2" x14ac:dyDescent="0.35">
      <c r="A950" s="1429"/>
      <c r="B950" s="1430"/>
    </row>
    <row r="951" spans="1:2" x14ac:dyDescent="0.35">
      <c r="A951" s="1429"/>
      <c r="B951" s="1430"/>
    </row>
    <row r="952" spans="1:2" x14ac:dyDescent="0.35">
      <c r="A952" s="1429"/>
      <c r="B952" s="1430"/>
    </row>
    <row r="953" spans="1:2" x14ac:dyDescent="0.35">
      <c r="A953" s="1429"/>
      <c r="B953" s="1430"/>
    </row>
    <row r="954" spans="1:2" x14ac:dyDescent="0.35">
      <c r="A954" s="1429"/>
      <c r="B954" s="1430"/>
    </row>
    <row r="955" spans="1:2" x14ac:dyDescent="0.35">
      <c r="A955" s="1429"/>
      <c r="B955" s="1430"/>
    </row>
    <row r="956" spans="1:2" x14ac:dyDescent="0.35">
      <c r="A956" s="1429"/>
      <c r="B956" s="1430"/>
    </row>
    <row r="957" spans="1:2" x14ac:dyDescent="0.35">
      <c r="A957" s="1429"/>
      <c r="B957" s="1430"/>
    </row>
    <row r="958" spans="1:2" x14ac:dyDescent="0.35">
      <c r="A958" s="1429"/>
      <c r="B958" s="1430"/>
    </row>
    <row r="959" spans="1:2" x14ac:dyDescent="0.35">
      <c r="A959" s="1429"/>
      <c r="B959" s="1430"/>
    </row>
    <row r="960" spans="1:2" x14ac:dyDescent="0.35">
      <c r="A960" s="1429"/>
      <c r="B960" s="1430"/>
    </row>
    <row r="961" spans="1:2" x14ac:dyDescent="0.35">
      <c r="A961" s="1429"/>
      <c r="B961" s="1430"/>
    </row>
    <row r="962" spans="1:2" x14ac:dyDescent="0.35">
      <c r="A962" s="1429"/>
      <c r="B962" s="1430"/>
    </row>
    <row r="963" spans="1:2" x14ac:dyDescent="0.35">
      <c r="A963" s="1429"/>
      <c r="B963" s="1430"/>
    </row>
    <row r="964" spans="1:2" x14ac:dyDescent="0.35">
      <c r="A964" s="1429"/>
      <c r="B964" s="1430"/>
    </row>
    <row r="965" spans="1:2" x14ac:dyDescent="0.35">
      <c r="A965" s="1429"/>
      <c r="B965" s="1430"/>
    </row>
    <row r="966" spans="1:2" x14ac:dyDescent="0.35">
      <c r="A966" s="1429"/>
      <c r="B966" s="1430"/>
    </row>
    <row r="967" spans="1:2" x14ac:dyDescent="0.35">
      <c r="A967" s="1429"/>
      <c r="B967" s="1430"/>
    </row>
    <row r="968" spans="1:2" x14ac:dyDescent="0.35">
      <c r="A968" s="1429"/>
      <c r="B968" s="1430"/>
    </row>
    <row r="969" spans="1:2" x14ac:dyDescent="0.35">
      <c r="A969" s="1429"/>
      <c r="B969" s="1430"/>
    </row>
    <row r="970" spans="1:2" x14ac:dyDescent="0.35">
      <c r="A970" s="1429"/>
      <c r="B970" s="1430"/>
    </row>
    <row r="971" spans="1:2" x14ac:dyDescent="0.35">
      <c r="A971" s="1429"/>
      <c r="B971" s="1430"/>
    </row>
    <row r="972" spans="1:2" x14ac:dyDescent="0.35">
      <c r="A972" s="1429"/>
      <c r="B972" s="1430"/>
    </row>
    <row r="973" spans="1:2" x14ac:dyDescent="0.35">
      <c r="A973" s="1429"/>
      <c r="B973" s="1430"/>
    </row>
    <row r="974" spans="1:2" x14ac:dyDescent="0.35">
      <c r="A974" s="1429"/>
      <c r="B974" s="1430"/>
    </row>
    <row r="975" spans="1:2" x14ac:dyDescent="0.35">
      <c r="A975" s="1429"/>
      <c r="B975" s="1430"/>
    </row>
    <row r="976" spans="1:2" x14ac:dyDescent="0.35">
      <c r="A976" s="1429"/>
      <c r="B976" s="1430"/>
    </row>
    <row r="977" spans="1:2" x14ac:dyDescent="0.35">
      <c r="A977" s="1429"/>
      <c r="B977" s="1430"/>
    </row>
    <row r="978" spans="1:2" x14ac:dyDescent="0.35">
      <c r="A978" s="1429"/>
      <c r="B978" s="1430"/>
    </row>
    <row r="979" spans="1:2" x14ac:dyDescent="0.35">
      <c r="A979" s="1429"/>
      <c r="B979" s="1430"/>
    </row>
    <row r="980" spans="1:2" x14ac:dyDescent="0.35">
      <c r="A980" s="1429"/>
      <c r="B980" s="1430"/>
    </row>
    <row r="981" spans="1:2" x14ac:dyDescent="0.35">
      <c r="A981" s="1429"/>
      <c r="B981" s="1430"/>
    </row>
    <row r="982" spans="1:2" x14ac:dyDescent="0.35">
      <c r="A982" s="1429"/>
      <c r="B982" s="1430"/>
    </row>
    <row r="983" spans="1:2" x14ac:dyDescent="0.35">
      <c r="A983" s="1429"/>
      <c r="B983" s="1430"/>
    </row>
    <row r="984" spans="1:2" x14ac:dyDescent="0.35">
      <c r="A984" s="1429"/>
      <c r="B984" s="1430"/>
    </row>
    <row r="985" spans="1:2" x14ac:dyDescent="0.35">
      <c r="A985" s="1429"/>
      <c r="B985" s="1430"/>
    </row>
    <row r="986" spans="1:2" x14ac:dyDescent="0.35">
      <c r="A986" s="1429"/>
      <c r="B986" s="1430"/>
    </row>
    <row r="987" spans="1:2" x14ac:dyDescent="0.35">
      <c r="A987" s="1429"/>
      <c r="B987" s="1430"/>
    </row>
    <row r="988" spans="1:2" x14ac:dyDescent="0.35">
      <c r="A988" s="1429"/>
      <c r="B988" s="1430"/>
    </row>
    <row r="989" spans="1:2" x14ac:dyDescent="0.35">
      <c r="A989" s="1429"/>
      <c r="B989" s="1430"/>
    </row>
    <row r="990" spans="1:2" x14ac:dyDescent="0.35">
      <c r="A990" s="1429"/>
      <c r="B990" s="1430"/>
    </row>
    <row r="991" spans="1:2" x14ac:dyDescent="0.35">
      <c r="A991" s="1429"/>
      <c r="B991" s="1430"/>
    </row>
    <row r="992" spans="1:2" x14ac:dyDescent="0.35">
      <c r="A992" s="1429"/>
      <c r="B992" s="1430"/>
    </row>
    <row r="993" spans="1:2" x14ac:dyDescent="0.35">
      <c r="A993" s="1429"/>
      <c r="B993" s="1430"/>
    </row>
    <row r="994" spans="1:2" x14ac:dyDescent="0.35">
      <c r="A994" s="1429"/>
      <c r="B994" s="1430"/>
    </row>
    <row r="995" spans="1:2" x14ac:dyDescent="0.35">
      <c r="A995" s="1429"/>
      <c r="B995" s="1430"/>
    </row>
    <row r="996" spans="1:2" x14ac:dyDescent="0.35">
      <c r="A996" s="1429"/>
      <c r="B996" s="1430"/>
    </row>
    <row r="997" spans="1:2" x14ac:dyDescent="0.35">
      <c r="A997" s="1429"/>
      <c r="B997" s="1430"/>
    </row>
    <row r="998" spans="1:2" x14ac:dyDescent="0.35">
      <c r="A998" s="1429"/>
      <c r="B998" s="1430"/>
    </row>
    <row r="999" spans="1:2" x14ac:dyDescent="0.35">
      <c r="A999" s="1429"/>
      <c r="B999" s="1430"/>
    </row>
    <row r="1000" spans="1:2" x14ac:dyDescent="0.35">
      <c r="A1000" s="1429"/>
      <c r="B1000" s="1430"/>
    </row>
    <row r="1001" spans="1:2" x14ac:dyDescent="0.35">
      <c r="A1001" s="1429"/>
      <c r="B1001" s="1430"/>
    </row>
    <row r="1002" spans="1:2" x14ac:dyDescent="0.35">
      <c r="A1002" s="1429"/>
      <c r="B1002" s="1430"/>
    </row>
    <row r="1003" spans="1:2" x14ac:dyDescent="0.35">
      <c r="A1003" s="1429"/>
      <c r="B1003" s="1430"/>
    </row>
    <row r="1004" spans="1:2" x14ac:dyDescent="0.35">
      <c r="A1004" s="1429"/>
      <c r="B1004" s="1430"/>
    </row>
    <row r="1005" spans="1:2" x14ac:dyDescent="0.35">
      <c r="A1005" s="1429"/>
      <c r="B1005" s="1430"/>
    </row>
    <row r="1006" spans="1:2" x14ac:dyDescent="0.35">
      <c r="A1006" s="1429"/>
      <c r="B1006" s="1430"/>
    </row>
    <row r="1007" spans="1:2" x14ac:dyDescent="0.35">
      <c r="A1007" s="1429"/>
      <c r="B1007" s="1430"/>
    </row>
    <row r="1008" spans="1:2" x14ac:dyDescent="0.35">
      <c r="A1008" s="1429"/>
      <c r="B1008" s="1430"/>
    </row>
    <row r="1009" spans="1:2" x14ac:dyDescent="0.35">
      <c r="A1009" s="1429"/>
      <c r="B1009" s="1430"/>
    </row>
    <row r="1010" spans="1:2" x14ac:dyDescent="0.35">
      <c r="A1010" s="1429"/>
      <c r="B1010" s="1430"/>
    </row>
    <row r="1011" spans="1:2" x14ac:dyDescent="0.35">
      <c r="A1011" s="1429"/>
      <c r="B1011" s="1430"/>
    </row>
    <row r="1012" spans="1:2" x14ac:dyDescent="0.35">
      <c r="A1012" s="1429"/>
      <c r="B1012" s="1430"/>
    </row>
    <row r="1013" spans="1:2" x14ac:dyDescent="0.35">
      <c r="A1013" s="1429"/>
      <c r="B1013" s="1430"/>
    </row>
    <row r="1014" spans="1:2" x14ac:dyDescent="0.35">
      <c r="A1014" s="1429"/>
      <c r="B1014" s="1430"/>
    </row>
    <row r="1015" spans="1:2" x14ac:dyDescent="0.35">
      <c r="A1015" s="1429"/>
      <c r="B1015" s="1430"/>
    </row>
    <row r="1016" spans="1:2" x14ac:dyDescent="0.35">
      <c r="A1016" s="1429"/>
      <c r="B1016" s="1430"/>
    </row>
    <row r="1017" spans="1:2" x14ac:dyDescent="0.35">
      <c r="A1017" s="1429"/>
      <c r="B1017" s="1430"/>
    </row>
    <row r="1018" spans="1:2" x14ac:dyDescent="0.35">
      <c r="A1018" s="1429"/>
      <c r="B1018" s="1430"/>
    </row>
    <row r="1019" spans="1:2" x14ac:dyDescent="0.35">
      <c r="A1019" s="1429"/>
      <c r="B1019" s="1430"/>
    </row>
    <row r="1020" spans="1:2" x14ac:dyDescent="0.35">
      <c r="A1020" s="1429"/>
      <c r="B1020" s="1430"/>
    </row>
    <row r="1021" spans="1:2" x14ac:dyDescent="0.35">
      <c r="A1021" s="1429"/>
      <c r="B1021" s="1430"/>
    </row>
    <row r="1022" spans="1:2" x14ac:dyDescent="0.35">
      <c r="A1022" s="1429"/>
      <c r="B1022" s="1430"/>
    </row>
    <row r="1023" spans="1:2" x14ac:dyDescent="0.35">
      <c r="A1023" s="1429"/>
      <c r="B1023" s="1430"/>
    </row>
    <row r="1024" spans="1:2" x14ac:dyDescent="0.35">
      <c r="A1024" s="1429"/>
      <c r="B1024" s="1430"/>
    </row>
    <row r="1025" spans="1:2" x14ac:dyDescent="0.35">
      <c r="A1025" s="1429"/>
      <c r="B1025" s="1430"/>
    </row>
    <row r="1026" spans="1:2" x14ac:dyDescent="0.35">
      <c r="A1026" s="1429"/>
      <c r="B1026" s="1430"/>
    </row>
    <row r="1027" spans="1:2" x14ac:dyDescent="0.35">
      <c r="A1027" s="1429"/>
      <c r="B1027" s="1430"/>
    </row>
    <row r="1028" spans="1:2" x14ac:dyDescent="0.35">
      <c r="A1028" s="1429"/>
      <c r="B1028" s="1430"/>
    </row>
    <row r="1029" spans="1:2" x14ac:dyDescent="0.35">
      <c r="A1029" s="1429"/>
      <c r="B1029" s="1430"/>
    </row>
    <row r="1030" spans="1:2" x14ac:dyDescent="0.35">
      <c r="A1030" s="1429"/>
      <c r="B1030" s="1430"/>
    </row>
    <row r="1031" spans="1:2" x14ac:dyDescent="0.35">
      <c r="A1031" s="1429"/>
      <c r="B1031" s="1430"/>
    </row>
    <row r="1032" spans="1:2" x14ac:dyDescent="0.35">
      <c r="A1032" s="1429"/>
      <c r="B1032" s="1430"/>
    </row>
    <row r="1033" spans="1:2" x14ac:dyDescent="0.35">
      <c r="A1033" s="1429"/>
      <c r="B1033" s="1430"/>
    </row>
    <row r="1034" spans="1:2" x14ac:dyDescent="0.35">
      <c r="A1034" s="1429"/>
      <c r="B1034" s="1430"/>
    </row>
    <row r="1035" spans="1:2" x14ac:dyDescent="0.35">
      <c r="A1035" s="1429"/>
      <c r="B1035" s="1430"/>
    </row>
    <row r="1036" spans="1:2" x14ac:dyDescent="0.35">
      <c r="A1036" s="1429"/>
      <c r="B1036" s="1430"/>
    </row>
    <row r="1037" spans="1:2" x14ac:dyDescent="0.35">
      <c r="A1037" s="1429"/>
      <c r="B1037" s="1430"/>
    </row>
    <row r="1038" spans="1:2" x14ac:dyDescent="0.35">
      <c r="A1038" s="1429"/>
      <c r="B1038" s="1430"/>
    </row>
    <row r="1039" spans="1:2" x14ac:dyDescent="0.35">
      <c r="A1039" s="1429"/>
      <c r="B1039" s="1430"/>
    </row>
    <row r="1040" spans="1:2" x14ac:dyDescent="0.35">
      <c r="A1040" s="1429"/>
      <c r="B1040" s="1430"/>
    </row>
    <row r="1041" spans="1:2" x14ac:dyDescent="0.35">
      <c r="A1041" s="1429"/>
      <c r="B1041" s="1430"/>
    </row>
    <row r="1042" spans="1:2" x14ac:dyDescent="0.35">
      <c r="A1042" s="1429"/>
      <c r="B1042" s="1430"/>
    </row>
    <row r="1043" spans="1:2" x14ac:dyDescent="0.35">
      <c r="A1043" s="1429"/>
      <c r="B1043" s="1430"/>
    </row>
    <row r="1044" spans="1:2" x14ac:dyDescent="0.35">
      <c r="A1044" s="1429"/>
      <c r="B1044" s="1430"/>
    </row>
    <row r="1045" spans="1:2" x14ac:dyDescent="0.35">
      <c r="A1045" s="1429"/>
      <c r="B1045" s="1430"/>
    </row>
    <row r="1046" spans="1:2" x14ac:dyDescent="0.35">
      <c r="A1046" s="1429"/>
      <c r="B1046" s="1430"/>
    </row>
    <row r="1047" spans="1:2" x14ac:dyDescent="0.35">
      <c r="A1047" s="1429"/>
      <c r="B1047" s="1430"/>
    </row>
    <row r="1048" spans="1:2" x14ac:dyDescent="0.35">
      <c r="A1048" s="1429"/>
      <c r="B1048" s="1430"/>
    </row>
    <row r="1049" spans="1:2" x14ac:dyDescent="0.35">
      <c r="A1049" s="1429"/>
      <c r="B1049" s="1430"/>
    </row>
    <row r="1050" spans="1:2" x14ac:dyDescent="0.35">
      <c r="A1050" s="1429"/>
      <c r="B1050" s="1430"/>
    </row>
    <row r="1051" spans="1:2" x14ac:dyDescent="0.35">
      <c r="A1051" s="1429"/>
      <c r="B1051" s="1430"/>
    </row>
    <row r="1052" spans="1:2" x14ac:dyDescent="0.35">
      <c r="A1052" s="1429"/>
      <c r="B1052" s="1430"/>
    </row>
    <row r="1053" spans="1:2" x14ac:dyDescent="0.35">
      <c r="A1053" s="1429"/>
      <c r="B1053" s="1430"/>
    </row>
    <row r="1054" spans="1:2" x14ac:dyDescent="0.35">
      <c r="A1054" s="1429"/>
      <c r="B1054" s="1430"/>
    </row>
    <row r="1055" spans="1:2" x14ac:dyDescent="0.35">
      <c r="A1055" s="1429"/>
      <c r="B1055" s="1430"/>
    </row>
    <row r="1056" spans="1:2" x14ac:dyDescent="0.35">
      <c r="A1056" s="1429"/>
      <c r="B1056" s="1430"/>
    </row>
    <row r="1057" spans="1:2" x14ac:dyDescent="0.35">
      <c r="A1057" s="1429"/>
      <c r="B1057" s="1430"/>
    </row>
    <row r="1058" spans="1:2" x14ac:dyDescent="0.35">
      <c r="A1058" s="1429"/>
      <c r="B1058" s="1430"/>
    </row>
    <row r="1059" spans="1:2" x14ac:dyDescent="0.35">
      <c r="A1059" s="1429"/>
      <c r="B1059" s="1430"/>
    </row>
    <row r="1060" spans="1:2" x14ac:dyDescent="0.35">
      <c r="A1060" s="1429"/>
      <c r="B1060" s="1430"/>
    </row>
    <row r="1061" spans="1:2" x14ac:dyDescent="0.35">
      <c r="A1061" s="1429"/>
      <c r="B1061" s="1430"/>
    </row>
    <row r="1062" spans="1:2" x14ac:dyDescent="0.35">
      <c r="A1062" s="1429"/>
      <c r="B1062" s="1430"/>
    </row>
    <row r="1063" spans="1:2" x14ac:dyDescent="0.35">
      <c r="A1063" s="1429"/>
      <c r="B1063" s="1430"/>
    </row>
    <row r="1064" spans="1:2" x14ac:dyDescent="0.35">
      <c r="A1064" s="1429"/>
      <c r="B1064" s="1430"/>
    </row>
    <row r="1065" spans="1:2" x14ac:dyDescent="0.35">
      <c r="A1065" s="1429"/>
      <c r="B1065" s="1430"/>
    </row>
    <row r="1066" spans="1:2" x14ac:dyDescent="0.35">
      <c r="A1066" s="1429"/>
      <c r="B1066" s="1430"/>
    </row>
    <row r="1067" spans="1:2" x14ac:dyDescent="0.35">
      <c r="A1067" s="1429"/>
      <c r="B1067" s="1430"/>
    </row>
    <row r="1068" spans="1:2" x14ac:dyDescent="0.35">
      <c r="A1068" s="1429"/>
      <c r="B1068" s="1430"/>
    </row>
    <row r="1069" spans="1:2" x14ac:dyDescent="0.35">
      <c r="A1069" s="1429"/>
      <c r="B1069" s="1430"/>
    </row>
    <row r="1070" spans="1:2" x14ac:dyDescent="0.35">
      <c r="A1070" s="1429"/>
      <c r="B1070" s="1430"/>
    </row>
    <row r="1071" spans="1:2" x14ac:dyDescent="0.35">
      <c r="A1071" s="1429"/>
      <c r="B1071" s="1430"/>
    </row>
    <row r="1072" spans="1:2" x14ac:dyDescent="0.35">
      <c r="A1072" s="1429"/>
      <c r="B1072" s="1430"/>
    </row>
    <row r="1073" spans="1:2" x14ac:dyDescent="0.35">
      <c r="A1073" s="1429"/>
      <c r="B1073" s="1430"/>
    </row>
    <row r="1074" spans="1:2" x14ac:dyDescent="0.35">
      <c r="A1074" s="1429"/>
      <c r="B1074" s="1430"/>
    </row>
    <row r="1075" spans="1:2" x14ac:dyDescent="0.35">
      <c r="A1075" s="1429"/>
      <c r="B1075" s="1430"/>
    </row>
    <row r="1076" spans="1:2" x14ac:dyDescent="0.35">
      <c r="A1076" s="1429"/>
      <c r="B1076" s="1430"/>
    </row>
    <row r="1077" spans="1:2" x14ac:dyDescent="0.35">
      <c r="A1077" s="1429"/>
      <c r="B1077" s="1430"/>
    </row>
    <row r="1078" spans="1:2" x14ac:dyDescent="0.35">
      <c r="A1078" s="1429"/>
      <c r="B1078" s="1430"/>
    </row>
    <row r="1079" spans="1:2" x14ac:dyDescent="0.35">
      <c r="A1079" s="1429"/>
      <c r="B1079" s="1430"/>
    </row>
    <row r="1080" spans="1:2" x14ac:dyDescent="0.35">
      <c r="A1080" s="1429"/>
      <c r="B1080" s="1430"/>
    </row>
    <row r="1081" spans="1:2" x14ac:dyDescent="0.35">
      <c r="A1081" s="1429"/>
      <c r="B1081" s="1430"/>
    </row>
    <row r="1082" spans="1:2" x14ac:dyDescent="0.35">
      <c r="A1082" s="1429"/>
      <c r="B1082" s="1430"/>
    </row>
    <row r="1083" spans="1:2" x14ac:dyDescent="0.35">
      <c r="A1083" s="1429"/>
      <c r="B1083" s="1430"/>
    </row>
    <row r="1084" spans="1:2" x14ac:dyDescent="0.35">
      <c r="A1084" s="1429"/>
      <c r="B1084" s="1430"/>
    </row>
    <row r="1085" spans="1:2" x14ac:dyDescent="0.35">
      <c r="A1085" s="1429"/>
      <c r="B1085" s="1430"/>
    </row>
    <row r="1086" spans="1:2" x14ac:dyDescent="0.35">
      <c r="A1086" s="1429"/>
      <c r="B1086" s="1430"/>
    </row>
    <row r="1087" spans="1:2" x14ac:dyDescent="0.35">
      <c r="A1087" s="1429"/>
      <c r="B1087" s="1430"/>
    </row>
    <row r="1088" spans="1:2" x14ac:dyDescent="0.35">
      <c r="A1088" s="1429"/>
      <c r="B1088" s="1430"/>
    </row>
    <row r="1089" spans="1:2" x14ac:dyDescent="0.35">
      <c r="A1089" s="1429"/>
      <c r="B1089" s="1430"/>
    </row>
    <row r="1090" spans="1:2" x14ac:dyDescent="0.35">
      <c r="A1090" s="1429"/>
      <c r="B1090" s="1430"/>
    </row>
    <row r="1091" spans="1:2" x14ac:dyDescent="0.35">
      <c r="A1091" s="1429"/>
      <c r="B1091" s="1430"/>
    </row>
    <row r="1092" spans="1:2" x14ac:dyDescent="0.35">
      <c r="A1092" s="1429"/>
      <c r="B1092" s="1430"/>
    </row>
    <row r="1093" spans="1:2" x14ac:dyDescent="0.35">
      <c r="A1093" s="1429"/>
      <c r="B1093" s="1430"/>
    </row>
    <row r="1094" spans="1:2" x14ac:dyDescent="0.35">
      <c r="A1094" s="1429"/>
      <c r="B1094" s="1430"/>
    </row>
    <row r="1095" spans="1:2" x14ac:dyDescent="0.35">
      <c r="A1095" s="1429"/>
      <c r="B1095" s="1430"/>
    </row>
    <row r="1096" spans="1:2" x14ac:dyDescent="0.35">
      <c r="A1096" s="1429"/>
      <c r="B1096" s="1430"/>
    </row>
    <row r="1097" spans="1:2" x14ac:dyDescent="0.35">
      <c r="A1097" s="1429"/>
      <c r="B1097" s="1430"/>
    </row>
    <row r="1098" spans="1:2" x14ac:dyDescent="0.35">
      <c r="A1098" s="1429"/>
      <c r="B1098" s="1430"/>
    </row>
    <row r="1099" spans="1:2" x14ac:dyDescent="0.35">
      <c r="A1099" s="1429"/>
      <c r="B1099" s="1430"/>
    </row>
    <row r="1100" spans="1:2" x14ac:dyDescent="0.35">
      <c r="A1100" s="1429"/>
      <c r="B1100" s="1430"/>
    </row>
    <row r="1101" spans="1:2" x14ac:dyDescent="0.35">
      <c r="A1101" s="1429"/>
      <c r="B1101" s="1430"/>
    </row>
    <row r="1102" spans="1:2" x14ac:dyDescent="0.35">
      <c r="A1102" s="1429"/>
      <c r="B1102" s="1430"/>
    </row>
    <row r="1103" spans="1:2" x14ac:dyDescent="0.35">
      <c r="A1103" s="1429"/>
      <c r="B1103" s="1430"/>
    </row>
    <row r="1104" spans="1:2" x14ac:dyDescent="0.35">
      <c r="A1104" s="1429"/>
      <c r="B1104" s="1430"/>
    </row>
    <row r="1105" spans="1:2" x14ac:dyDescent="0.35">
      <c r="A1105" s="1429"/>
      <c r="B1105" s="1430"/>
    </row>
    <row r="1106" spans="1:2" x14ac:dyDescent="0.35">
      <c r="A1106" s="1429"/>
      <c r="B1106" s="1430"/>
    </row>
    <row r="1107" spans="1:2" x14ac:dyDescent="0.35">
      <c r="A1107" s="1429"/>
      <c r="B1107" s="1430"/>
    </row>
    <row r="1108" spans="1:2" x14ac:dyDescent="0.35">
      <c r="A1108" s="1429"/>
      <c r="B1108" s="1430"/>
    </row>
    <row r="1109" spans="1:2" x14ac:dyDescent="0.35">
      <c r="A1109" s="1429"/>
      <c r="B1109" s="1430"/>
    </row>
    <row r="1110" spans="1:2" x14ac:dyDescent="0.35">
      <c r="A1110" s="1429"/>
      <c r="B1110" s="1430"/>
    </row>
    <row r="1111" spans="1:2" x14ac:dyDescent="0.35">
      <c r="A1111" s="1429"/>
      <c r="B1111" s="1430"/>
    </row>
    <row r="1112" spans="1:2" x14ac:dyDescent="0.35">
      <c r="A1112" s="1429"/>
      <c r="B1112" s="1430"/>
    </row>
    <row r="1113" spans="1:2" x14ac:dyDescent="0.35">
      <c r="A1113" s="1429"/>
      <c r="B1113" s="1430"/>
    </row>
    <row r="1114" spans="1:2" x14ac:dyDescent="0.35">
      <c r="A1114" s="1429"/>
      <c r="B1114" s="1430"/>
    </row>
    <row r="1115" spans="1:2" x14ac:dyDescent="0.35">
      <c r="A1115" s="1429"/>
      <c r="B1115" s="1430"/>
    </row>
    <row r="1116" spans="1:2" x14ac:dyDescent="0.35">
      <c r="A1116" s="1429"/>
      <c r="B1116" s="1430"/>
    </row>
    <row r="1117" spans="1:2" x14ac:dyDescent="0.35">
      <c r="A1117" s="1429"/>
      <c r="B1117" s="1430"/>
    </row>
    <row r="1118" spans="1:2" x14ac:dyDescent="0.35">
      <c r="A1118" s="1429"/>
      <c r="B1118" s="1430"/>
    </row>
    <row r="1119" spans="1:2" x14ac:dyDescent="0.35">
      <c r="A1119" s="1429"/>
      <c r="B1119" s="1430"/>
    </row>
    <row r="1120" spans="1:2" x14ac:dyDescent="0.35">
      <c r="A1120" s="1429"/>
      <c r="B1120" s="1430"/>
    </row>
    <row r="1121" spans="1:2" x14ac:dyDescent="0.35">
      <c r="A1121" s="1429"/>
      <c r="B1121" s="1430"/>
    </row>
    <row r="1122" spans="1:2" x14ac:dyDescent="0.35">
      <c r="A1122" s="1429"/>
      <c r="B1122" s="1430"/>
    </row>
    <row r="1123" spans="1:2" x14ac:dyDescent="0.35">
      <c r="A1123" s="1429"/>
      <c r="B1123" s="1430"/>
    </row>
    <row r="1124" spans="1:2" x14ac:dyDescent="0.35">
      <c r="A1124" s="1429"/>
      <c r="B1124" s="1430"/>
    </row>
    <row r="1125" spans="1:2" x14ac:dyDescent="0.35">
      <c r="A1125" s="1429"/>
      <c r="B1125" s="1430"/>
    </row>
    <row r="1126" spans="1:2" x14ac:dyDescent="0.35">
      <c r="A1126" s="1429"/>
      <c r="B1126" s="1430"/>
    </row>
    <row r="1127" spans="1:2" x14ac:dyDescent="0.35">
      <c r="A1127" s="1429"/>
      <c r="B1127" s="1430"/>
    </row>
    <row r="1128" spans="1:2" x14ac:dyDescent="0.35">
      <c r="A1128" s="1429"/>
      <c r="B1128" s="1430"/>
    </row>
    <row r="1129" spans="1:2" x14ac:dyDescent="0.35">
      <c r="A1129" s="1429"/>
      <c r="B1129" s="1430"/>
    </row>
    <row r="1130" spans="1:2" x14ac:dyDescent="0.35">
      <c r="A1130" s="1429"/>
      <c r="B1130" s="1430"/>
    </row>
    <row r="1131" spans="1:2" x14ac:dyDescent="0.35">
      <c r="A1131" s="1429"/>
      <c r="B1131" s="1430"/>
    </row>
    <row r="1132" spans="1:2" x14ac:dyDescent="0.35">
      <c r="A1132" s="1429"/>
      <c r="B1132" s="1430"/>
    </row>
    <row r="1133" spans="1:2" x14ac:dyDescent="0.35">
      <c r="A1133" s="1429"/>
      <c r="B1133" s="1430"/>
    </row>
    <row r="1134" spans="1:2" x14ac:dyDescent="0.35">
      <c r="A1134" s="1429"/>
      <c r="B1134" s="1430"/>
    </row>
    <row r="1135" spans="1:2" x14ac:dyDescent="0.35">
      <c r="A1135" s="1429"/>
      <c r="B1135" s="1430"/>
    </row>
    <row r="1136" spans="1:2" x14ac:dyDescent="0.35">
      <c r="A1136" s="1429"/>
      <c r="B1136" s="1430"/>
    </row>
    <row r="1137" spans="1:2" x14ac:dyDescent="0.35">
      <c r="A1137" s="1429"/>
      <c r="B1137" s="1430"/>
    </row>
    <row r="1138" spans="1:2" x14ac:dyDescent="0.35">
      <c r="A1138" s="1429"/>
      <c r="B1138" s="1430"/>
    </row>
    <row r="1139" spans="1:2" x14ac:dyDescent="0.35">
      <c r="A1139" s="1429"/>
      <c r="B1139" s="1430"/>
    </row>
    <row r="1140" spans="1:2" x14ac:dyDescent="0.35">
      <c r="A1140" s="1429"/>
      <c r="B1140" s="1430"/>
    </row>
    <row r="1141" spans="1:2" x14ac:dyDescent="0.35">
      <c r="A1141" s="1429"/>
      <c r="B1141" s="1430"/>
    </row>
    <row r="1142" spans="1:2" x14ac:dyDescent="0.35">
      <c r="A1142" s="1429"/>
      <c r="B1142" s="1430"/>
    </row>
    <row r="1143" spans="1:2" x14ac:dyDescent="0.35">
      <c r="A1143" s="1429"/>
      <c r="B1143" s="1430"/>
    </row>
    <row r="1144" spans="1:2" x14ac:dyDescent="0.35">
      <c r="A1144" s="1429"/>
      <c r="B1144" s="1430"/>
    </row>
    <row r="1145" spans="1:2" x14ac:dyDescent="0.35">
      <c r="A1145" s="1429"/>
      <c r="B1145" s="1430"/>
    </row>
    <row r="1146" spans="1:2" x14ac:dyDescent="0.35">
      <c r="A1146" s="1429"/>
      <c r="B1146" s="1430"/>
    </row>
    <row r="1147" spans="1:2" x14ac:dyDescent="0.35">
      <c r="A1147" s="1429"/>
      <c r="B1147" s="1430"/>
    </row>
    <row r="1148" spans="1:2" x14ac:dyDescent="0.35">
      <c r="A1148" s="1429"/>
      <c r="B1148" s="1430"/>
    </row>
    <row r="1149" spans="1:2" x14ac:dyDescent="0.35">
      <c r="A1149" s="1429"/>
      <c r="B1149" s="1430"/>
    </row>
    <row r="1150" spans="1:2" x14ac:dyDescent="0.35">
      <c r="A1150" s="1429"/>
      <c r="B1150" s="1430"/>
    </row>
    <row r="1151" spans="1:2" x14ac:dyDescent="0.35">
      <c r="A1151" s="1429"/>
      <c r="B1151" s="1430"/>
    </row>
    <row r="1152" spans="1:2" x14ac:dyDescent="0.35">
      <c r="A1152" s="1429"/>
      <c r="B1152" s="1430"/>
    </row>
    <row r="1153" spans="1:2" x14ac:dyDescent="0.35">
      <c r="A1153" s="1429"/>
      <c r="B1153" s="1430"/>
    </row>
    <row r="1154" spans="1:2" x14ac:dyDescent="0.35">
      <c r="A1154" s="1429"/>
      <c r="B1154" s="1430"/>
    </row>
    <row r="1155" spans="1:2" x14ac:dyDescent="0.35">
      <c r="A1155" s="1429"/>
      <c r="B1155" s="1430"/>
    </row>
    <row r="1156" spans="1:2" x14ac:dyDescent="0.35">
      <c r="A1156" s="1429"/>
      <c r="B1156" s="1430"/>
    </row>
    <row r="1157" spans="1:2" x14ac:dyDescent="0.35">
      <c r="A1157" s="1429"/>
      <c r="B1157" s="1430"/>
    </row>
    <row r="1158" spans="1:2" x14ac:dyDescent="0.35">
      <c r="A1158" s="1429"/>
      <c r="B1158" s="1430"/>
    </row>
    <row r="1159" spans="1:2" x14ac:dyDescent="0.35">
      <c r="A1159" s="1429"/>
      <c r="B1159" s="1430"/>
    </row>
    <row r="1160" spans="1:2" x14ac:dyDescent="0.35">
      <c r="A1160" s="1429"/>
      <c r="B1160" s="1430"/>
    </row>
    <row r="1161" spans="1:2" x14ac:dyDescent="0.35">
      <c r="A1161" s="1429"/>
      <c r="B1161" s="1430"/>
    </row>
    <row r="1162" spans="1:2" x14ac:dyDescent="0.35">
      <c r="A1162" s="1429"/>
      <c r="B1162" s="1430"/>
    </row>
    <row r="1163" spans="1:2" x14ac:dyDescent="0.35">
      <c r="A1163" s="1429"/>
      <c r="B1163" s="1430"/>
    </row>
    <row r="1164" spans="1:2" x14ac:dyDescent="0.35">
      <c r="A1164" s="1429"/>
      <c r="B1164" s="1430"/>
    </row>
    <row r="1165" spans="1:2" x14ac:dyDescent="0.35">
      <c r="A1165" s="1429"/>
      <c r="B1165" s="1430"/>
    </row>
    <row r="1166" spans="1:2" x14ac:dyDescent="0.35">
      <c r="A1166" s="1429"/>
      <c r="B1166" s="1430"/>
    </row>
    <row r="1167" spans="1:2" x14ac:dyDescent="0.35">
      <c r="A1167" s="1429"/>
      <c r="B1167" s="1430"/>
    </row>
    <row r="1168" spans="1:2" x14ac:dyDescent="0.35">
      <c r="A1168" s="1429"/>
      <c r="B1168" s="1430"/>
    </row>
    <row r="1169" spans="1:2" x14ac:dyDescent="0.35">
      <c r="A1169" s="1429"/>
      <c r="B1169" s="1430"/>
    </row>
    <row r="1170" spans="1:2" x14ac:dyDescent="0.35">
      <c r="A1170" s="1429"/>
      <c r="B1170" s="1430"/>
    </row>
    <row r="1171" spans="1:2" x14ac:dyDescent="0.35">
      <c r="A1171" s="1429"/>
      <c r="B1171" s="1430"/>
    </row>
    <row r="1172" spans="1:2" x14ac:dyDescent="0.35">
      <c r="A1172" s="1429"/>
      <c r="B1172" s="1430"/>
    </row>
    <row r="1173" spans="1:2" x14ac:dyDescent="0.35">
      <c r="A1173" s="1429"/>
      <c r="B1173" s="1430"/>
    </row>
    <row r="1174" spans="1:2" x14ac:dyDescent="0.35">
      <c r="A1174" s="1429"/>
      <c r="B1174" s="1430"/>
    </row>
    <row r="1175" spans="1:2" x14ac:dyDescent="0.35">
      <c r="A1175" s="1429"/>
      <c r="B1175" s="1430"/>
    </row>
    <row r="1176" spans="1:2" x14ac:dyDescent="0.35">
      <c r="A1176" s="1429"/>
      <c r="B1176" s="1430"/>
    </row>
    <row r="1177" spans="1:2" x14ac:dyDescent="0.35">
      <c r="A1177" s="1429"/>
      <c r="B1177" s="1430"/>
    </row>
    <row r="1178" spans="1:2" x14ac:dyDescent="0.35">
      <c r="A1178" s="1429"/>
      <c r="B1178" s="1430"/>
    </row>
    <row r="1179" spans="1:2" x14ac:dyDescent="0.35">
      <c r="A1179" s="1429"/>
      <c r="B1179" s="1430"/>
    </row>
    <row r="1180" spans="1:2" x14ac:dyDescent="0.35">
      <c r="A1180" s="1429"/>
      <c r="B1180" s="1430"/>
    </row>
    <row r="1181" spans="1:2" x14ac:dyDescent="0.35">
      <c r="A1181" s="1429"/>
      <c r="B1181" s="1430"/>
    </row>
    <row r="1182" spans="1:2" x14ac:dyDescent="0.35">
      <c r="A1182" s="1429"/>
      <c r="B1182" s="1430"/>
    </row>
    <row r="1183" spans="1:2" x14ac:dyDescent="0.35">
      <c r="A1183" s="1429"/>
      <c r="B1183" s="1430"/>
    </row>
    <row r="1184" spans="1:2" x14ac:dyDescent="0.35">
      <c r="A1184" s="1429"/>
      <c r="B1184" s="1430"/>
    </row>
    <row r="1185" spans="1:2" x14ac:dyDescent="0.35">
      <c r="A1185" s="1429"/>
      <c r="B1185" s="1430"/>
    </row>
    <row r="1186" spans="1:2" x14ac:dyDescent="0.35">
      <c r="A1186" s="1429"/>
      <c r="B1186" s="1430"/>
    </row>
    <row r="1187" spans="1:2" x14ac:dyDescent="0.35">
      <c r="A1187" s="1429"/>
      <c r="B1187" s="1430"/>
    </row>
    <row r="1188" spans="1:2" x14ac:dyDescent="0.35">
      <c r="A1188" s="1429"/>
      <c r="B1188" s="1430"/>
    </row>
    <row r="1189" spans="1:2" x14ac:dyDescent="0.35">
      <c r="A1189" s="1429"/>
      <c r="B1189" s="1430"/>
    </row>
    <row r="1190" spans="1:2" x14ac:dyDescent="0.35">
      <c r="A1190" s="1429"/>
      <c r="B1190" s="1430"/>
    </row>
    <row r="1191" spans="1:2" x14ac:dyDescent="0.35">
      <c r="A1191" s="1429"/>
      <c r="B1191" s="1430"/>
    </row>
    <row r="1192" spans="1:2" x14ac:dyDescent="0.35">
      <c r="A1192" s="1429"/>
      <c r="B1192" s="1430"/>
    </row>
    <row r="1193" spans="1:2" x14ac:dyDescent="0.35">
      <c r="A1193" s="1429"/>
      <c r="B1193" s="1430"/>
    </row>
    <row r="1194" spans="1:2" x14ac:dyDescent="0.35">
      <c r="A1194" s="1429"/>
      <c r="B1194" s="1430"/>
    </row>
    <row r="1195" spans="1:2" x14ac:dyDescent="0.35">
      <c r="A1195" s="1429"/>
      <c r="B1195" s="1430"/>
    </row>
    <row r="1196" spans="1:2" x14ac:dyDescent="0.35">
      <c r="A1196" s="1429"/>
      <c r="B1196" s="1430"/>
    </row>
    <row r="1197" spans="1:2" x14ac:dyDescent="0.35">
      <c r="A1197" s="1429"/>
      <c r="B1197" s="1430"/>
    </row>
    <row r="1198" spans="1:2" x14ac:dyDescent="0.35">
      <c r="A1198" s="1429"/>
      <c r="B1198" s="1430"/>
    </row>
    <row r="1199" spans="1:2" x14ac:dyDescent="0.35">
      <c r="A1199" s="1429"/>
      <c r="B1199" s="1430"/>
    </row>
    <row r="1200" spans="1:2" x14ac:dyDescent="0.35">
      <c r="A1200" s="1429"/>
      <c r="B1200" s="1430"/>
    </row>
    <row r="1201" spans="1:2" x14ac:dyDescent="0.35">
      <c r="A1201" s="1429"/>
      <c r="B1201" s="1430"/>
    </row>
    <row r="1202" spans="1:2" x14ac:dyDescent="0.35">
      <c r="A1202" s="1429"/>
      <c r="B1202" s="1430"/>
    </row>
    <row r="1203" spans="1:2" x14ac:dyDescent="0.35">
      <c r="A1203" s="1429"/>
      <c r="B1203" s="1430"/>
    </row>
    <row r="1204" spans="1:2" x14ac:dyDescent="0.35">
      <c r="A1204" s="1429"/>
      <c r="B1204" s="1430"/>
    </row>
    <row r="1205" spans="1:2" x14ac:dyDescent="0.35">
      <c r="A1205" s="1429"/>
      <c r="B1205" s="1430"/>
    </row>
    <row r="1206" spans="1:2" x14ac:dyDescent="0.35">
      <c r="A1206" s="1429"/>
      <c r="B1206" s="1430"/>
    </row>
    <row r="1207" spans="1:2" x14ac:dyDescent="0.35">
      <c r="A1207" s="1429"/>
      <c r="B1207" s="1430"/>
    </row>
    <row r="1208" spans="1:2" x14ac:dyDescent="0.35">
      <c r="A1208" s="1429"/>
      <c r="B1208" s="1430"/>
    </row>
    <row r="1209" spans="1:2" x14ac:dyDescent="0.35">
      <c r="A1209" s="1429"/>
      <c r="B1209" s="1430"/>
    </row>
    <row r="1210" spans="1:2" x14ac:dyDescent="0.35">
      <c r="A1210" s="1429"/>
      <c r="B1210" s="1430"/>
    </row>
    <row r="1211" spans="1:2" x14ac:dyDescent="0.35">
      <c r="A1211" s="1429"/>
      <c r="B1211" s="1430"/>
    </row>
    <row r="1212" spans="1:2" x14ac:dyDescent="0.35">
      <c r="A1212" s="1429"/>
      <c r="B1212" s="1430"/>
    </row>
    <row r="1213" spans="1:2" x14ac:dyDescent="0.35">
      <c r="A1213" s="1429"/>
      <c r="B1213" s="1430"/>
    </row>
    <row r="1214" spans="1:2" x14ac:dyDescent="0.35">
      <c r="A1214" s="1429"/>
      <c r="B1214" s="1430"/>
    </row>
    <row r="1215" spans="1:2" x14ac:dyDescent="0.35">
      <c r="A1215" s="1429"/>
      <c r="B1215" s="1430"/>
    </row>
    <row r="1216" spans="1:2" x14ac:dyDescent="0.35">
      <c r="A1216" s="1429"/>
      <c r="B1216" s="1430"/>
    </row>
    <row r="1217" spans="1:2" x14ac:dyDescent="0.35">
      <c r="A1217" s="1429"/>
      <c r="B1217" s="1430"/>
    </row>
    <row r="1218" spans="1:2" x14ac:dyDescent="0.35">
      <c r="A1218" s="1429"/>
      <c r="B1218" s="1430"/>
    </row>
    <row r="1219" spans="1:2" x14ac:dyDescent="0.35">
      <c r="A1219" s="1429"/>
      <c r="B1219" s="1430"/>
    </row>
    <row r="1220" spans="1:2" x14ac:dyDescent="0.35">
      <c r="A1220" s="1429"/>
      <c r="B1220" s="1430"/>
    </row>
    <row r="1221" spans="1:2" x14ac:dyDescent="0.35">
      <c r="A1221" s="1429"/>
      <c r="B1221" s="1430"/>
    </row>
    <row r="1222" spans="1:2" x14ac:dyDescent="0.35">
      <c r="A1222" s="1429"/>
      <c r="B1222" s="1430"/>
    </row>
    <row r="1223" spans="1:2" x14ac:dyDescent="0.35">
      <c r="A1223" s="1429"/>
      <c r="B1223" s="1430"/>
    </row>
    <row r="1224" spans="1:2" x14ac:dyDescent="0.35">
      <c r="A1224" s="1429"/>
      <c r="B1224" s="1430"/>
    </row>
    <row r="1225" spans="1:2" x14ac:dyDescent="0.35">
      <c r="A1225" s="1429"/>
      <c r="B1225" s="1430"/>
    </row>
    <row r="1226" spans="1:2" x14ac:dyDescent="0.35">
      <c r="A1226" s="1429"/>
      <c r="B1226" s="1430"/>
    </row>
    <row r="1227" spans="1:2" x14ac:dyDescent="0.35">
      <c r="A1227" s="1429"/>
      <c r="B1227" s="1430"/>
    </row>
    <row r="1228" spans="1:2" x14ac:dyDescent="0.35">
      <c r="A1228" s="1429"/>
      <c r="B1228" s="1430"/>
    </row>
    <row r="1229" spans="1:2" x14ac:dyDescent="0.35">
      <c r="A1229" s="1429"/>
      <c r="B1229" s="1430"/>
    </row>
    <row r="1230" spans="1:2" x14ac:dyDescent="0.35">
      <c r="A1230" s="1429"/>
      <c r="B1230" s="1430"/>
    </row>
    <row r="1231" spans="1:2" x14ac:dyDescent="0.35">
      <c r="A1231" s="1429"/>
      <c r="B1231" s="1430"/>
    </row>
    <row r="1232" spans="1:2" x14ac:dyDescent="0.35">
      <c r="A1232" s="1429"/>
      <c r="B1232" s="1430"/>
    </row>
    <row r="1233" spans="1:2" x14ac:dyDescent="0.35">
      <c r="A1233" s="1429"/>
      <c r="B1233" s="1430"/>
    </row>
    <row r="1234" spans="1:2" x14ac:dyDescent="0.35">
      <c r="A1234" s="1429"/>
      <c r="B1234" s="1430"/>
    </row>
    <row r="1235" spans="1:2" x14ac:dyDescent="0.35">
      <c r="A1235" s="1429"/>
      <c r="B1235" s="1430"/>
    </row>
    <row r="1236" spans="1:2" x14ac:dyDescent="0.35">
      <c r="A1236" s="1429"/>
      <c r="B1236" s="1430"/>
    </row>
    <row r="1237" spans="1:2" x14ac:dyDescent="0.35">
      <c r="A1237" s="1429"/>
      <c r="B1237" s="1430"/>
    </row>
    <row r="1238" spans="1:2" x14ac:dyDescent="0.35">
      <c r="A1238" s="1429"/>
      <c r="B1238" s="1430"/>
    </row>
    <row r="1239" spans="1:2" x14ac:dyDescent="0.35">
      <c r="A1239" s="1429"/>
      <c r="B1239" s="1430"/>
    </row>
    <row r="1240" spans="1:2" x14ac:dyDescent="0.35">
      <c r="A1240" s="1429"/>
      <c r="B1240" s="1430"/>
    </row>
    <row r="1241" spans="1:2" x14ac:dyDescent="0.35">
      <c r="A1241" s="1429"/>
      <c r="B1241" s="1430"/>
    </row>
    <row r="1242" spans="1:2" x14ac:dyDescent="0.35">
      <c r="A1242" s="1429"/>
      <c r="B1242" s="1430"/>
    </row>
    <row r="1243" spans="1:2" x14ac:dyDescent="0.35">
      <c r="A1243" s="1429"/>
      <c r="B1243" s="1430"/>
    </row>
    <row r="1244" spans="1:2" x14ac:dyDescent="0.35">
      <c r="A1244" s="1429"/>
      <c r="B1244" s="1430"/>
    </row>
    <row r="1245" spans="1:2" x14ac:dyDescent="0.35">
      <c r="A1245" s="1429"/>
      <c r="B1245" s="1430"/>
    </row>
    <row r="1246" spans="1:2" x14ac:dyDescent="0.35">
      <c r="A1246" s="1429"/>
      <c r="B1246" s="1430"/>
    </row>
    <row r="1247" spans="1:2" x14ac:dyDescent="0.35">
      <c r="A1247" s="1429"/>
      <c r="B1247" s="1430"/>
    </row>
    <row r="1248" spans="1:2" x14ac:dyDescent="0.35">
      <c r="A1248" s="1429"/>
      <c r="B1248" s="1430"/>
    </row>
    <row r="1249" spans="1:2" x14ac:dyDescent="0.35">
      <c r="A1249" s="1429"/>
      <c r="B1249" s="1430"/>
    </row>
    <row r="1250" spans="1:2" x14ac:dyDescent="0.35">
      <c r="A1250" s="1429"/>
      <c r="B1250" s="1430"/>
    </row>
    <row r="1251" spans="1:2" x14ac:dyDescent="0.35">
      <c r="A1251" s="1429"/>
      <c r="B1251" s="1430"/>
    </row>
    <row r="1252" spans="1:2" x14ac:dyDescent="0.35">
      <c r="A1252" s="1429"/>
      <c r="B1252" s="1430"/>
    </row>
    <row r="1253" spans="1:2" x14ac:dyDescent="0.35">
      <c r="A1253" s="1429"/>
      <c r="B1253" s="1430"/>
    </row>
    <row r="1254" spans="1:2" x14ac:dyDescent="0.35">
      <c r="A1254" s="1429"/>
      <c r="B1254" s="1430"/>
    </row>
    <row r="1255" spans="1:2" x14ac:dyDescent="0.35">
      <c r="A1255" s="1429"/>
      <c r="B1255" s="1430"/>
    </row>
    <row r="1256" spans="1:2" x14ac:dyDescent="0.35">
      <c r="A1256" s="1429"/>
      <c r="B1256" s="1430"/>
    </row>
    <row r="1257" spans="1:2" x14ac:dyDescent="0.35">
      <c r="A1257" s="1429"/>
      <c r="B1257" s="1430"/>
    </row>
    <row r="1258" spans="1:2" x14ac:dyDescent="0.35">
      <c r="A1258" s="1429"/>
      <c r="B1258" s="1430"/>
    </row>
    <row r="1259" spans="1:2" x14ac:dyDescent="0.35">
      <c r="A1259" s="1429"/>
      <c r="B1259" s="1430"/>
    </row>
    <row r="1260" spans="1:2" x14ac:dyDescent="0.35">
      <c r="A1260" s="1429"/>
      <c r="B1260" s="1430"/>
    </row>
    <row r="1261" spans="1:2" x14ac:dyDescent="0.35">
      <c r="A1261" s="1429"/>
      <c r="B1261" s="1430"/>
    </row>
    <row r="1262" spans="1:2" x14ac:dyDescent="0.35">
      <c r="A1262" s="1429"/>
      <c r="B1262" s="1430"/>
    </row>
    <row r="1263" spans="1:2" x14ac:dyDescent="0.35">
      <c r="A1263" s="1429"/>
      <c r="B1263" s="1430"/>
    </row>
    <row r="1264" spans="1:2" x14ac:dyDescent="0.35">
      <c r="A1264" s="1429"/>
      <c r="B1264" s="1430"/>
    </row>
    <row r="1265" spans="1:2" x14ac:dyDescent="0.35">
      <c r="A1265" s="1429"/>
      <c r="B1265" s="1430"/>
    </row>
    <row r="1266" spans="1:2" x14ac:dyDescent="0.35">
      <c r="A1266" s="1429"/>
      <c r="B1266" s="1430"/>
    </row>
    <row r="1267" spans="1:2" x14ac:dyDescent="0.35">
      <c r="A1267" s="1429"/>
      <c r="B1267" s="1430"/>
    </row>
    <row r="1268" spans="1:2" x14ac:dyDescent="0.35">
      <c r="A1268" s="1429"/>
      <c r="B1268" s="1430"/>
    </row>
    <row r="1269" spans="1:2" x14ac:dyDescent="0.35">
      <c r="A1269" s="1429"/>
      <c r="B1269" s="1430"/>
    </row>
    <row r="1270" spans="1:2" x14ac:dyDescent="0.35">
      <c r="A1270" s="1429"/>
      <c r="B1270" s="1430"/>
    </row>
    <row r="1271" spans="1:2" x14ac:dyDescent="0.35">
      <c r="A1271" s="1429"/>
      <c r="B1271" s="1430"/>
    </row>
    <row r="1272" spans="1:2" x14ac:dyDescent="0.35">
      <c r="A1272" s="1429"/>
      <c r="B1272" s="1430"/>
    </row>
    <row r="1273" spans="1:2" x14ac:dyDescent="0.35">
      <c r="A1273" s="1429"/>
      <c r="B1273" s="1430"/>
    </row>
    <row r="1274" spans="1:2" x14ac:dyDescent="0.35">
      <c r="A1274" s="1429"/>
      <c r="B1274" s="1430"/>
    </row>
    <row r="1275" spans="1:2" x14ac:dyDescent="0.35">
      <c r="A1275" s="1429"/>
      <c r="B1275" s="1430"/>
    </row>
    <row r="1276" spans="1:2" x14ac:dyDescent="0.35">
      <c r="A1276" s="1429"/>
      <c r="B1276" s="1430"/>
    </row>
    <row r="1277" spans="1:2" x14ac:dyDescent="0.35">
      <c r="A1277" s="1429"/>
      <c r="B1277" s="1430"/>
    </row>
    <row r="1278" spans="1:2" x14ac:dyDescent="0.35">
      <c r="A1278" s="1429"/>
      <c r="B1278" s="1430"/>
    </row>
    <row r="1279" spans="1:2" x14ac:dyDescent="0.35">
      <c r="A1279" s="1429"/>
      <c r="B1279" s="1430"/>
    </row>
    <row r="1280" spans="1:2" x14ac:dyDescent="0.35">
      <c r="A1280" s="1429"/>
      <c r="B1280" s="1430"/>
    </row>
    <row r="1281" spans="1:2" x14ac:dyDescent="0.35">
      <c r="A1281" s="1429"/>
      <c r="B1281" s="1430"/>
    </row>
    <row r="1282" spans="1:2" x14ac:dyDescent="0.35">
      <c r="A1282" s="1429"/>
      <c r="B1282" s="1430"/>
    </row>
    <row r="1283" spans="1:2" x14ac:dyDescent="0.35">
      <c r="A1283" s="1429"/>
      <c r="B1283" s="1430"/>
    </row>
    <row r="1284" spans="1:2" x14ac:dyDescent="0.35">
      <c r="A1284" s="1429"/>
      <c r="B1284" s="1430"/>
    </row>
    <row r="1285" spans="1:2" x14ac:dyDescent="0.35">
      <c r="A1285" s="1429"/>
      <c r="B1285" s="1430"/>
    </row>
    <row r="1286" spans="1:2" x14ac:dyDescent="0.35">
      <c r="A1286" s="1429"/>
      <c r="B1286" s="1430"/>
    </row>
    <row r="1287" spans="1:2" x14ac:dyDescent="0.35">
      <c r="A1287" s="1429"/>
      <c r="B1287" s="1430"/>
    </row>
    <row r="1288" spans="1:2" x14ac:dyDescent="0.35">
      <c r="A1288" s="1429"/>
      <c r="B1288" s="1430"/>
    </row>
    <row r="1289" spans="1:2" x14ac:dyDescent="0.35">
      <c r="A1289" s="1429"/>
      <c r="B1289" s="1430"/>
    </row>
    <row r="1290" spans="1:2" x14ac:dyDescent="0.35">
      <c r="A1290" s="1429"/>
      <c r="B1290" s="1430"/>
    </row>
    <row r="1291" spans="1:2" x14ac:dyDescent="0.35">
      <c r="A1291" s="1429"/>
      <c r="B1291" s="1430"/>
    </row>
    <row r="1292" spans="1:2" x14ac:dyDescent="0.35">
      <c r="A1292" s="1429"/>
      <c r="B1292" s="1430"/>
    </row>
    <row r="1293" spans="1:2" x14ac:dyDescent="0.35">
      <c r="A1293" s="1429"/>
      <c r="B1293" s="1430"/>
    </row>
    <row r="1294" spans="1:2" x14ac:dyDescent="0.35">
      <c r="A1294" s="1429"/>
      <c r="B1294" s="1430"/>
    </row>
    <row r="1295" spans="1:2" x14ac:dyDescent="0.35">
      <c r="A1295" s="1429"/>
      <c r="B1295" s="1430"/>
    </row>
    <row r="1296" spans="1:2" x14ac:dyDescent="0.35">
      <c r="A1296" s="1429"/>
      <c r="B1296" s="1430"/>
    </row>
    <row r="1297" spans="1:2" x14ac:dyDescent="0.35">
      <c r="A1297" s="1429"/>
      <c r="B1297" s="1430"/>
    </row>
    <row r="1298" spans="1:2" x14ac:dyDescent="0.35">
      <c r="A1298" s="1429"/>
      <c r="B1298" s="1430"/>
    </row>
    <row r="1299" spans="1:2" x14ac:dyDescent="0.35">
      <c r="A1299" s="1429"/>
      <c r="B1299" s="1430"/>
    </row>
    <row r="1300" spans="1:2" x14ac:dyDescent="0.35">
      <c r="A1300" s="1429"/>
      <c r="B1300" s="1430"/>
    </row>
    <row r="1301" spans="1:2" x14ac:dyDescent="0.35">
      <c r="A1301" s="1429"/>
      <c r="B1301" s="1430"/>
    </row>
    <row r="1302" spans="1:2" x14ac:dyDescent="0.35">
      <c r="A1302" s="1429"/>
      <c r="B1302" s="1430"/>
    </row>
    <row r="1303" spans="1:2" x14ac:dyDescent="0.35">
      <c r="A1303" s="1429"/>
      <c r="B1303" s="1430"/>
    </row>
    <row r="1304" spans="1:2" x14ac:dyDescent="0.35">
      <c r="A1304" s="1429"/>
      <c r="B1304" s="1430"/>
    </row>
    <row r="1305" spans="1:2" x14ac:dyDescent="0.35">
      <c r="A1305" s="1429"/>
      <c r="B1305" s="1430"/>
    </row>
    <row r="1306" spans="1:2" x14ac:dyDescent="0.35">
      <c r="A1306" s="1429"/>
      <c r="B1306" s="1430"/>
    </row>
    <row r="1307" spans="1:2" x14ac:dyDescent="0.35">
      <c r="A1307" s="1429"/>
      <c r="B1307" s="1430"/>
    </row>
    <row r="1308" spans="1:2" x14ac:dyDescent="0.35">
      <c r="A1308" s="1429"/>
      <c r="B1308" s="1430"/>
    </row>
    <row r="1309" spans="1:2" x14ac:dyDescent="0.35">
      <c r="A1309" s="1429"/>
      <c r="B1309" s="1430"/>
    </row>
    <row r="1310" spans="1:2" x14ac:dyDescent="0.35">
      <c r="A1310" s="1429"/>
      <c r="B1310" s="1430"/>
    </row>
    <row r="1311" spans="1:2" x14ac:dyDescent="0.35">
      <c r="A1311" s="1429"/>
      <c r="B1311" s="1430"/>
    </row>
    <row r="1312" spans="1:2" x14ac:dyDescent="0.35">
      <c r="A1312" s="1429"/>
      <c r="B1312" s="1430"/>
    </row>
    <row r="1313" spans="1:2" x14ac:dyDescent="0.35">
      <c r="A1313" s="1429"/>
      <c r="B1313" s="1430"/>
    </row>
    <row r="1314" spans="1:2" x14ac:dyDescent="0.35">
      <c r="A1314" s="1429"/>
      <c r="B1314" s="1430"/>
    </row>
    <row r="1315" spans="1:2" x14ac:dyDescent="0.35">
      <c r="A1315" s="1429"/>
      <c r="B1315" s="1430"/>
    </row>
    <row r="1316" spans="1:2" x14ac:dyDescent="0.35">
      <c r="A1316" s="1429"/>
      <c r="B1316" s="1430"/>
    </row>
    <row r="1317" spans="1:2" x14ac:dyDescent="0.35">
      <c r="A1317" s="1429"/>
      <c r="B1317" s="1430"/>
    </row>
    <row r="1318" spans="1:2" x14ac:dyDescent="0.35">
      <c r="A1318" s="1429"/>
      <c r="B1318" s="1430"/>
    </row>
    <row r="1319" spans="1:2" x14ac:dyDescent="0.35">
      <c r="A1319" s="1429"/>
      <c r="B1319" s="1430"/>
    </row>
    <row r="1320" spans="1:2" x14ac:dyDescent="0.35">
      <c r="A1320" s="1429"/>
      <c r="B1320" s="1430"/>
    </row>
    <row r="1321" spans="1:2" x14ac:dyDescent="0.35">
      <c r="A1321" s="1429"/>
      <c r="B1321" s="1430"/>
    </row>
    <row r="1322" spans="1:2" x14ac:dyDescent="0.35">
      <c r="A1322" s="1429"/>
      <c r="B1322" s="1430"/>
    </row>
    <row r="1323" spans="1:2" x14ac:dyDescent="0.35">
      <c r="A1323" s="1429"/>
      <c r="B1323" s="1430"/>
    </row>
    <row r="1324" spans="1:2" x14ac:dyDescent="0.35">
      <c r="A1324" s="1429"/>
      <c r="B1324" s="1430"/>
    </row>
    <row r="1325" spans="1:2" x14ac:dyDescent="0.35">
      <c r="A1325" s="1429"/>
      <c r="B1325" s="1430"/>
    </row>
    <row r="1326" spans="1:2" x14ac:dyDescent="0.35">
      <c r="A1326" s="1429"/>
      <c r="B1326" s="1430"/>
    </row>
    <row r="1327" spans="1:2" x14ac:dyDescent="0.35">
      <c r="A1327" s="1429"/>
      <c r="B1327" s="1430"/>
    </row>
    <row r="1328" spans="1:2" x14ac:dyDescent="0.35">
      <c r="A1328" s="1429"/>
      <c r="B1328" s="1430"/>
    </row>
    <row r="1329" spans="1:2" x14ac:dyDescent="0.35">
      <c r="A1329" s="1429"/>
      <c r="B1329" s="1430"/>
    </row>
    <row r="1330" spans="1:2" x14ac:dyDescent="0.35">
      <c r="A1330" s="1429"/>
      <c r="B1330" s="1430"/>
    </row>
    <row r="1331" spans="1:2" x14ac:dyDescent="0.35">
      <c r="A1331" s="1429"/>
      <c r="B1331" s="1430"/>
    </row>
    <row r="1332" spans="1:2" x14ac:dyDescent="0.35">
      <c r="A1332" s="1429"/>
      <c r="B1332" s="1430"/>
    </row>
    <row r="1333" spans="1:2" x14ac:dyDescent="0.35">
      <c r="A1333" s="1429"/>
      <c r="B1333" s="1430"/>
    </row>
    <row r="1334" spans="1:2" x14ac:dyDescent="0.35">
      <c r="A1334" s="1429"/>
      <c r="B1334" s="1430"/>
    </row>
    <row r="1335" spans="1:2" x14ac:dyDescent="0.35">
      <c r="A1335" s="1429"/>
      <c r="B1335" s="1430"/>
    </row>
    <row r="1336" spans="1:2" x14ac:dyDescent="0.35">
      <c r="A1336" s="1429"/>
      <c r="B1336" s="1430"/>
    </row>
    <row r="1337" spans="1:2" x14ac:dyDescent="0.35">
      <c r="A1337" s="1429"/>
      <c r="B1337" s="1430"/>
    </row>
    <row r="1338" spans="1:2" x14ac:dyDescent="0.35">
      <c r="A1338" s="1429"/>
      <c r="B1338" s="1430"/>
    </row>
    <row r="1339" spans="1:2" x14ac:dyDescent="0.35">
      <c r="A1339" s="1429"/>
      <c r="B1339" s="1430"/>
    </row>
    <row r="1340" spans="1:2" x14ac:dyDescent="0.35">
      <c r="A1340" s="1429"/>
      <c r="B1340" s="1430"/>
    </row>
    <row r="1341" spans="1:2" x14ac:dyDescent="0.35">
      <c r="A1341" s="1429"/>
      <c r="B1341" s="1430"/>
    </row>
    <row r="1342" spans="1:2" x14ac:dyDescent="0.35">
      <c r="A1342" s="1429"/>
      <c r="B1342" s="1430"/>
    </row>
    <row r="1343" spans="1:2" x14ac:dyDescent="0.35">
      <c r="A1343" s="1429"/>
      <c r="B1343" s="1430"/>
    </row>
    <row r="1344" spans="1:2" x14ac:dyDescent="0.35">
      <c r="A1344" s="1429"/>
      <c r="B1344" s="1430"/>
    </row>
    <row r="1345" spans="1:2" x14ac:dyDescent="0.35">
      <c r="A1345" s="1429"/>
      <c r="B1345" s="1430"/>
    </row>
    <row r="1346" spans="1:2" x14ac:dyDescent="0.35">
      <c r="A1346" s="1429"/>
      <c r="B1346" s="1430"/>
    </row>
    <row r="1347" spans="1:2" x14ac:dyDescent="0.35">
      <c r="A1347" s="1429"/>
      <c r="B1347" s="1430"/>
    </row>
    <row r="1348" spans="1:2" x14ac:dyDescent="0.35">
      <c r="A1348" s="1429"/>
      <c r="B1348" s="1430"/>
    </row>
    <row r="1349" spans="1:2" x14ac:dyDescent="0.35">
      <c r="A1349" s="1429"/>
      <c r="B1349" s="1430"/>
    </row>
    <row r="1350" spans="1:2" x14ac:dyDescent="0.35">
      <c r="A1350" s="1429"/>
      <c r="B1350" s="1430"/>
    </row>
    <row r="1351" spans="1:2" x14ac:dyDescent="0.35">
      <c r="A1351" s="1429"/>
      <c r="B1351" s="1430"/>
    </row>
    <row r="1352" spans="1:2" x14ac:dyDescent="0.35">
      <c r="A1352" s="1429"/>
      <c r="B1352" s="1430"/>
    </row>
    <row r="1353" spans="1:2" x14ac:dyDescent="0.35">
      <c r="A1353" s="1429"/>
      <c r="B1353" s="1430"/>
    </row>
    <row r="1354" spans="1:2" x14ac:dyDescent="0.35">
      <c r="A1354" s="1429"/>
      <c r="B1354" s="1430"/>
    </row>
    <row r="1355" spans="1:2" x14ac:dyDescent="0.35">
      <c r="A1355" s="1429"/>
      <c r="B1355" s="1430"/>
    </row>
    <row r="1356" spans="1:2" x14ac:dyDescent="0.35">
      <c r="A1356" s="1429"/>
      <c r="B1356" s="1430"/>
    </row>
    <row r="1357" spans="1:2" x14ac:dyDescent="0.35">
      <c r="A1357" s="1429"/>
      <c r="B1357" s="1430"/>
    </row>
    <row r="1358" spans="1:2" x14ac:dyDescent="0.35">
      <c r="A1358" s="1429"/>
      <c r="B1358" s="1430"/>
    </row>
    <row r="1359" spans="1:2" x14ac:dyDescent="0.35">
      <c r="A1359" s="1429"/>
      <c r="B1359" s="1430"/>
    </row>
    <row r="1360" spans="1:2" x14ac:dyDescent="0.35">
      <c r="A1360" s="1429"/>
      <c r="B1360" s="1430"/>
    </row>
    <row r="1361" spans="1:2" x14ac:dyDescent="0.35">
      <c r="A1361" s="1429"/>
      <c r="B1361" s="1430"/>
    </row>
    <row r="1362" spans="1:2" x14ac:dyDescent="0.35">
      <c r="A1362" s="1429"/>
      <c r="B1362" s="1430"/>
    </row>
    <row r="1363" spans="1:2" x14ac:dyDescent="0.35">
      <c r="A1363" s="1429"/>
      <c r="B1363" s="1430"/>
    </row>
    <row r="1364" spans="1:2" x14ac:dyDescent="0.35">
      <c r="A1364" s="1429"/>
      <c r="B1364" s="1430"/>
    </row>
    <row r="1365" spans="1:2" x14ac:dyDescent="0.35">
      <c r="A1365" s="1429"/>
      <c r="B1365" s="1430"/>
    </row>
    <row r="1366" spans="1:2" x14ac:dyDescent="0.35">
      <c r="A1366" s="1429"/>
      <c r="B1366" s="1430"/>
    </row>
    <row r="1367" spans="1:2" x14ac:dyDescent="0.35">
      <c r="A1367" s="1429"/>
      <c r="B1367" s="1430"/>
    </row>
    <row r="1368" spans="1:2" x14ac:dyDescent="0.35">
      <c r="A1368" s="1429"/>
      <c r="B1368" s="1430"/>
    </row>
    <row r="1369" spans="1:2" x14ac:dyDescent="0.35">
      <c r="A1369" s="1429"/>
      <c r="B1369" s="1430"/>
    </row>
    <row r="1370" spans="1:2" x14ac:dyDescent="0.35">
      <c r="A1370" s="1429"/>
      <c r="B1370" s="1430"/>
    </row>
    <row r="1371" spans="1:2" x14ac:dyDescent="0.35">
      <c r="A1371" s="1429"/>
      <c r="B1371" s="1430"/>
    </row>
    <row r="1372" spans="1:2" x14ac:dyDescent="0.35">
      <c r="A1372" s="1429"/>
      <c r="B1372" s="1430"/>
    </row>
    <row r="1373" spans="1:2" x14ac:dyDescent="0.35">
      <c r="A1373" s="1429"/>
      <c r="B1373" s="1430"/>
    </row>
    <row r="1374" spans="1:2" x14ac:dyDescent="0.35">
      <c r="A1374" s="1429"/>
      <c r="B1374" s="1430"/>
    </row>
    <row r="1375" spans="1:2" x14ac:dyDescent="0.35">
      <c r="A1375" s="1429"/>
      <c r="B1375" s="1430"/>
    </row>
    <row r="1376" spans="1:2" x14ac:dyDescent="0.35">
      <c r="A1376" s="1429"/>
      <c r="B1376" s="1430"/>
    </row>
    <row r="1377" spans="1:2" x14ac:dyDescent="0.35">
      <c r="A1377" s="1429"/>
      <c r="B1377" s="1430"/>
    </row>
    <row r="1378" spans="1:2" x14ac:dyDescent="0.35">
      <c r="A1378" s="1429"/>
      <c r="B1378" s="1430"/>
    </row>
    <row r="1379" spans="1:2" x14ac:dyDescent="0.35">
      <c r="A1379" s="1429"/>
      <c r="B1379" s="1430"/>
    </row>
    <row r="1380" spans="1:2" x14ac:dyDescent="0.35">
      <c r="A1380" s="1429"/>
      <c r="B1380" s="1430"/>
    </row>
    <row r="1381" spans="1:2" x14ac:dyDescent="0.35">
      <c r="A1381" s="1429"/>
      <c r="B1381" s="1430"/>
    </row>
    <row r="1382" spans="1:2" x14ac:dyDescent="0.35">
      <c r="A1382" s="1429"/>
      <c r="B1382" s="1430"/>
    </row>
    <row r="1383" spans="1:2" x14ac:dyDescent="0.35">
      <c r="A1383" s="1429"/>
      <c r="B1383" s="1430"/>
    </row>
    <row r="1384" spans="1:2" x14ac:dyDescent="0.35">
      <c r="A1384" s="1429"/>
      <c r="B1384" s="1430"/>
    </row>
    <row r="1385" spans="1:2" x14ac:dyDescent="0.35">
      <c r="A1385" s="1429"/>
      <c r="B1385" s="1430"/>
    </row>
    <row r="1386" spans="1:2" x14ac:dyDescent="0.35">
      <c r="A1386" s="1429"/>
      <c r="B1386" s="1430"/>
    </row>
    <row r="1387" spans="1:2" x14ac:dyDescent="0.35">
      <c r="A1387" s="1429"/>
      <c r="B1387" s="1430"/>
    </row>
    <row r="1388" spans="1:2" x14ac:dyDescent="0.35">
      <c r="A1388" s="1429"/>
      <c r="B1388" s="1430"/>
    </row>
    <row r="1389" spans="1:2" x14ac:dyDescent="0.35">
      <c r="A1389" s="1429"/>
      <c r="B1389" s="1430"/>
    </row>
    <row r="1390" spans="1:2" x14ac:dyDescent="0.35">
      <c r="A1390" s="1429"/>
      <c r="B1390" s="1430"/>
    </row>
    <row r="1391" spans="1:2" x14ac:dyDescent="0.35">
      <c r="A1391" s="1429"/>
      <c r="B1391" s="1430"/>
    </row>
    <row r="1392" spans="1:2" x14ac:dyDescent="0.35">
      <c r="A1392" s="1429"/>
      <c r="B1392" s="1430"/>
    </row>
    <row r="1393" spans="1:2" x14ac:dyDescent="0.35">
      <c r="A1393" s="1429"/>
      <c r="B1393" s="1430"/>
    </row>
    <row r="1394" spans="1:2" x14ac:dyDescent="0.35">
      <c r="A1394" s="1429"/>
      <c r="B1394" s="1430"/>
    </row>
    <row r="1395" spans="1:2" x14ac:dyDescent="0.35">
      <c r="A1395" s="1429"/>
      <c r="B1395" s="1430"/>
    </row>
    <row r="1396" spans="1:2" x14ac:dyDescent="0.35">
      <c r="A1396" s="1429"/>
      <c r="B1396" s="1430"/>
    </row>
    <row r="1397" spans="1:2" x14ac:dyDescent="0.35">
      <c r="A1397" s="1429"/>
      <c r="B1397" s="1430"/>
    </row>
    <row r="1398" spans="1:2" x14ac:dyDescent="0.35">
      <c r="A1398" s="1429"/>
      <c r="B1398" s="1430"/>
    </row>
    <row r="1399" spans="1:2" x14ac:dyDescent="0.35">
      <c r="A1399" s="1429"/>
      <c r="B1399" s="1430"/>
    </row>
    <row r="1400" spans="1:2" x14ac:dyDescent="0.35">
      <c r="A1400" s="1429"/>
      <c r="B1400" s="1430"/>
    </row>
    <row r="1401" spans="1:2" x14ac:dyDescent="0.35">
      <c r="A1401" s="1429"/>
      <c r="B1401" s="1430"/>
    </row>
    <row r="1402" spans="1:2" x14ac:dyDescent="0.35">
      <c r="A1402" s="1429"/>
      <c r="B1402" s="1430"/>
    </row>
    <row r="1403" spans="1:2" x14ac:dyDescent="0.35">
      <c r="A1403" s="1429"/>
      <c r="B1403" s="1430"/>
    </row>
    <row r="1404" spans="1:2" x14ac:dyDescent="0.35">
      <c r="A1404" s="1429"/>
      <c r="B1404" s="1430"/>
    </row>
    <row r="1405" spans="1:2" x14ac:dyDescent="0.35">
      <c r="A1405" s="1429"/>
      <c r="B1405" s="1430"/>
    </row>
    <row r="1406" spans="1:2" x14ac:dyDescent="0.35">
      <c r="A1406" s="1429"/>
      <c r="B1406" s="1430"/>
    </row>
    <row r="1407" spans="1:2" x14ac:dyDescent="0.35">
      <c r="A1407" s="1429"/>
      <c r="B1407" s="1430"/>
    </row>
    <row r="1408" spans="1:2" x14ac:dyDescent="0.35">
      <c r="A1408" s="1429"/>
      <c r="B1408" s="1430"/>
    </row>
    <row r="1409" spans="1:2" x14ac:dyDescent="0.35">
      <c r="A1409" s="1429"/>
      <c r="B1409" s="1430"/>
    </row>
    <row r="1410" spans="1:2" x14ac:dyDescent="0.35">
      <c r="A1410" s="1429"/>
      <c r="B1410" s="1430"/>
    </row>
    <row r="1411" spans="1:2" x14ac:dyDescent="0.35">
      <c r="A1411" s="1429"/>
      <c r="B1411" s="1430"/>
    </row>
    <row r="1412" spans="1:2" x14ac:dyDescent="0.35">
      <c r="A1412" s="1429"/>
      <c r="B1412" s="1430"/>
    </row>
    <row r="1413" spans="1:2" x14ac:dyDescent="0.35">
      <c r="A1413" s="1429"/>
      <c r="B1413" s="1430"/>
    </row>
    <row r="1414" spans="1:2" x14ac:dyDescent="0.35">
      <c r="A1414" s="1429"/>
      <c r="B1414" s="1430"/>
    </row>
    <row r="1415" spans="1:2" x14ac:dyDescent="0.35">
      <c r="A1415" s="1429"/>
      <c r="B1415" s="1430"/>
    </row>
    <row r="1416" spans="1:2" x14ac:dyDescent="0.35">
      <c r="A1416" s="1429"/>
      <c r="B1416" s="1430"/>
    </row>
    <row r="1417" spans="1:2" x14ac:dyDescent="0.35">
      <c r="A1417" s="1429"/>
      <c r="B1417" s="1430"/>
    </row>
    <row r="1418" spans="1:2" x14ac:dyDescent="0.35">
      <c r="A1418" s="1429"/>
      <c r="B1418" s="1430"/>
    </row>
    <row r="1419" spans="1:2" x14ac:dyDescent="0.35">
      <c r="A1419" s="1429"/>
      <c r="B1419" s="1430"/>
    </row>
    <row r="1420" spans="1:2" x14ac:dyDescent="0.35">
      <c r="A1420" s="1429"/>
      <c r="B1420" s="1430"/>
    </row>
    <row r="1421" spans="1:2" x14ac:dyDescent="0.35">
      <c r="A1421" s="1429"/>
      <c r="B1421" s="1430"/>
    </row>
    <row r="1422" spans="1:2" x14ac:dyDescent="0.35">
      <c r="A1422" s="1429"/>
      <c r="B1422" s="1430"/>
    </row>
    <row r="1423" spans="1:2" x14ac:dyDescent="0.35">
      <c r="A1423" s="1429"/>
      <c r="B1423" s="1430"/>
    </row>
    <row r="1424" spans="1:2" x14ac:dyDescent="0.35">
      <c r="A1424" s="1429"/>
      <c r="B1424" s="1430"/>
    </row>
    <row r="1425" spans="1:2" x14ac:dyDescent="0.35">
      <c r="A1425" s="1429"/>
      <c r="B1425" s="1430"/>
    </row>
    <row r="1426" spans="1:2" x14ac:dyDescent="0.35">
      <c r="A1426" s="1429"/>
      <c r="B1426" s="1430"/>
    </row>
    <row r="1427" spans="1:2" x14ac:dyDescent="0.35">
      <c r="A1427" s="1429"/>
      <c r="B1427" s="1430"/>
    </row>
    <row r="1428" spans="1:2" x14ac:dyDescent="0.35">
      <c r="A1428" s="1429"/>
      <c r="B1428" s="1430"/>
    </row>
    <row r="1429" spans="1:2" x14ac:dyDescent="0.35">
      <c r="A1429" s="1429"/>
      <c r="B1429" s="1430"/>
    </row>
    <row r="1430" spans="1:2" x14ac:dyDescent="0.35">
      <c r="A1430" s="1429"/>
      <c r="B1430" s="1430"/>
    </row>
    <row r="1431" spans="1:2" x14ac:dyDescent="0.35">
      <c r="A1431" s="1429"/>
      <c r="B1431" s="1430"/>
    </row>
    <row r="1432" spans="1:2" x14ac:dyDescent="0.35">
      <c r="A1432" s="1429"/>
      <c r="B1432" s="1430"/>
    </row>
    <row r="1433" spans="1:2" x14ac:dyDescent="0.35">
      <c r="A1433" s="1429"/>
      <c r="B1433" s="1430"/>
    </row>
    <row r="1434" spans="1:2" x14ac:dyDescent="0.35">
      <c r="A1434" s="1429"/>
      <c r="B1434" s="1430"/>
    </row>
    <row r="1435" spans="1:2" x14ac:dyDescent="0.35">
      <c r="A1435" s="1429"/>
      <c r="B1435" s="1430"/>
    </row>
    <row r="1436" spans="1:2" x14ac:dyDescent="0.35">
      <c r="A1436" s="1429"/>
      <c r="B1436" s="1430"/>
    </row>
    <row r="1437" spans="1:2" x14ac:dyDescent="0.35">
      <c r="A1437" s="1429"/>
      <c r="B1437" s="1430"/>
    </row>
    <row r="1438" spans="1:2" x14ac:dyDescent="0.35">
      <c r="A1438" s="1429"/>
      <c r="B1438" s="1430"/>
    </row>
    <row r="1439" spans="1:2" x14ac:dyDescent="0.35">
      <c r="A1439" s="1429"/>
      <c r="B1439" s="1430"/>
    </row>
    <row r="1440" spans="1:2" x14ac:dyDescent="0.35">
      <c r="A1440" s="1429"/>
      <c r="B1440" s="1430"/>
    </row>
    <row r="1441" spans="1:2" x14ac:dyDescent="0.35">
      <c r="A1441" s="1429"/>
      <c r="B1441" s="1430"/>
    </row>
    <row r="1442" spans="1:2" x14ac:dyDescent="0.35">
      <c r="A1442" s="1429"/>
      <c r="B1442" s="1430"/>
    </row>
    <row r="1443" spans="1:2" x14ac:dyDescent="0.35">
      <c r="A1443" s="1429"/>
      <c r="B1443" s="1430"/>
    </row>
    <row r="1444" spans="1:2" x14ac:dyDescent="0.35">
      <c r="A1444" s="1429"/>
      <c r="B1444" s="1430"/>
    </row>
    <row r="1445" spans="1:2" x14ac:dyDescent="0.35">
      <c r="A1445" s="1429"/>
      <c r="B1445" s="1430"/>
    </row>
    <row r="1446" spans="1:2" x14ac:dyDescent="0.35">
      <c r="A1446" s="1429"/>
      <c r="B1446" s="1430"/>
    </row>
    <row r="1447" spans="1:2" x14ac:dyDescent="0.35">
      <c r="A1447" s="1429"/>
      <c r="B1447" s="1430"/>
    </row>
    <row r="1448" spans="1:2" x14ac:dyDescent="0.35">
      <c r="A1448" s="1429"/>
      <c r="B1448" s="1430"/>
    </row>
    <row r="1449" spans="1:2" x14ac:dyDescent="0.35">
      <c r="A1449" s="1429"/>
      <c r="B1449" s="1430"/>
    </row>
    <row r="1450" spans="1:2" x14ac:dyDescent="0.35">
      <c r="A1450" s="1429"/>
      <c r="B1450" s="1430"/>
    </row>
    <row r="1451" spans="1:2" x14ac:dyDescent="0.35">
      <c r="A1451" s="1429"/>
      <c r="B1451" s="1430"/>
    </row>
    <row r="1452" spans="1:2" x14ac:dyDescent="0.35">
      <c r="A1452" s="1429"/>
      <c r="B1452" s="1430"/>
    </row>
    <row r="1453" spans="1:2" x14ac:dyDescent="0.35">
      <c r="A1453" s="1429"/>
      <c r="B1453" s="1430"/>
    </row>
    <row r="1454" spans="1:2" x14ac:dyDescent="0.35">
      <c r="A1454" s="1429"/>
      <c r="B1454" s="1430"/>
    </row>
    <row r="1455" spans="1:2" x14ac:dyDescent="0.35">
      <c r="A1455" s="1429"/>
      <c r="B1455" s="1430"/>
    </row>
    <row r="1456" spans="1:2" x14ac:dyDescent="0.35">
      <c r="A1456" s="1429"/>
      <c r="B1456" s="1430"/>
    </row>
    <row r="1457" spans="1:2" x14ac:dyDescent="0.35">
      <c r="A1457" s="1429"/>
      <c r="B1457" s="1430"/>
    </row>
    <row r="1458" spans="1:2" x14ac:dyDescent="0.35">
      <c r="A1458" s="1429"/>
      <c r="B1458" s="1430"/>
    </row>
    <row r="1459" spans="1:2" x14ac:dyDescent="0.35">
      <c r="A1459" s="1429"/>
      <c r="B1459" s="1430"/>
    </row>
    <row r="1460" spans="1:2" x14ac:dyDescent="0.35">
      <c r="A1460" s="1429"/>
      <c r="B1460" s="1430"/>
    </row>
    <row r="1461" spans="1:2" x14ac:dyDescent="0.35">
      <c r="A1461" s="1429"/>
      <c r="B1461" s="1430"/>
    </row>
    <row r="1462" spans="1:2" x14ac:dyDescent="0.35">
      <c r="A1462" s="1429"/>
      <c r="B1462" s="1430"/>
    </row>
    <row r="1463" spans="1:2" x14ac:dyDescent="0.35">
      <c r="A1463" s="1429"/>
      <c r="B1463" s="1430"/>
    </row>
    <row r="1464" spans="1:2" x14ac:dyDescent="0.35">
      <c r="A1464" s="1429"/>
      <c r="B1464" s="1430"/>
    </row>
    <row r="1465" spans="1:2" x14ac:dyDescent="0.35">
      <c r="A1465" s="1429"/>
      <c r="B1465" s="1430"/>
    </row>
    <row r="1466" spans="1:2" x14ac:dyDescent="0.35">
      <c r="A1466" s="1429"/>
      <c r="B1466" s="1430"/>
    </row>
    <row r="1467" spans="1:2" x14ac:dyDescent="0.35">
      <c r="A1467" s="1429"/>
      <c r="B1467" s="1430"/>
    </row>
    <row r="1468" spans="1:2" x14ac:dyDescent="0.35">
      <c r="A1468" s="1429"/>
      <c r="B1468" s="1430"/>
    </row>
    <row r="1469" spans="1:2" x14ac:dyDescent="0.35">
      <c r="A1469" s="1429"/>
      <c r="B1469" s="1430"/>
    </row>
    <row r="1470" spans="1:2" x14ac:dyDescent="0.35">
      <c r="A1470" s="1429"/>
      <c r="B1470" s="1430"/>
    </row>
    <row r="1471" spans="1:2" x14ac:dyDescent="0.35">
      <c r="A1471" s="1429"/>
      <c r="B1471" s="1430"/>
    </row>
    <row r="1472" spans="1:2" x14ac:dyDescent="0.35">
      <c r="A1472" s="1429"/>
      <c r="B1472" s="1430"/>
    </row>
    <row r="1473" spans="1:2" x14ac:dyDescent="0.35">
      <c r="A1473" s="1429"/>
      <c r="B1473" s="1430"/>
    </row>
    <row r="1474" spans="1:2" x14ac:dyDescent="0.35">
      <c r="A1474" s="1429"/>
      <c r="B1474" s="1430"/>
    </row>
    <row r="1475" spans="1:2" x14ac:dyDescent="0.35">
      <c r="A1475" s="1429"/>
      <c r="B1475" s="1430"/>
    </row>
    <row r="1476" spans="1:2" x14ac:dyDescent="0.35">
      <c r="A1476" s="1429"/>
      <c r="B1476" s="1430"/>
    </row>
    <row r="1477" spans="1:2" x14ac:dyDescent="0.35">
      <c r="A1477" s="1429"/>
      <c r="B1477" s="1430"/>
    </row>
    <row r="1478" spans="1:2" x14ac:dyDescent="0.35">
      <c r="A1478" s="1429"/>
      <c r="B1478" s="1430"/>
    </row>
    <row r="1479" spans="1:2" x14ac:dyDescent="0.35">
      <c r="A1479" s="1429"/>
      <c r="B1479" s="1430"/>
    </row>
    <row r="1480" spans="1:2" x14ac:dyDescent="0.35">
      <c r="A1480" s="1429"/>
      <c r="B1480" s="1430"/>
    </row>
    <row r="1481" spans="1:2" x14ac:dyDescent="0.35">
      <c r="A1481" s="1429"/>
      <c r="B1481" s="1430"/>
    </row>
    <row r="1482" spans="1:2" x14ac:dyDescent="0.35">
      <c r="A1482" s="1429"/>
      <c r="B1482" s="1430"/>
    </row>
    <row r="1483" spans="1:2" x14ac:dyDescent="0.35">
      <c r="A1483" s="1429"/>
      <c r="B1483" s="1430"/>
    </row>
    <row r="1484" spans="1:2" x14ac:dyDescent="0.35">
      <c r="A1484" s="1429"/>
      <c r="B1484" s="1430"/>
    </row>
    <row r="1485" spans="1:2" x14ac:dyDescent="0.35">
      <c r="A1485" s="1429"/>
      <c r="B1485" s="1430"/>
    </row>
    <row r="1486" spans="1:2" x14ac:dyDescent="0.35">
      <c r="A1486" s="1429"/>
      <c r="B1486" s="1430"/>
    </row>
    <row r="1487" spans="1:2" x14ac:dyDescent="0.35">
      <c r="A1487" s="1429"/>
      <c r="B1487" s="1430"/>
    </row>
    <row r="1488" spans="1:2" x14ac:dyDescent="0.35">
      <c r="A1488" s="1429"/>
      <c r="B1488" s="1430"/>
    </row>
    <row r="1489" spans="1:2" x14ac:dyDescent="0.35">
      <c r="A1489" s="1429"/>
      <c r="B1489" s="1430"/>
    </row>
    <row r="1490" spans="1:2" x14ac:dyDescent="0.35">
      <c r="A1490" s="1429"/>
      <c r="B1490" s="1430"/>
    </row>
    <row r="1491" spans="1:2" x14ac:dyDescent="0.35">
      <c r="A1491" s="1429"/>
      <c r="B1491" s="1430"/>
    </row>
    <row r="1492" spans="1:2" x14ac:dyDescent="0.35">
      <c r="A1492" s="1429"/>
      <c r="B1492" s="1430"/>
    </row>
    <row r="1493" spans="1:2" x14ac:dyDescent="0.35">
      <c r="A1493" s="1429"/>
      <c r="B1493" s="1430"/>
    </row>
    <row r="1494" spans="1:2" x14ac:dyDescent="0.35">
      <c r="A1494" s="1429"/>
      <c r="B1494" s="1430"/>
    </row>
    <row r="1495" spans="1:2" x14ac:dyDescent="0.35">
      <c r="A1495" s="1429"/>
      <c r="B1495" s="1430"/>
    </row>
    <row r="1496" spans="1:2" x14ac:dyDescent="0.35">
      <c r="A1496" s="1429"/>
      <c r="B1496" s="1430"/>
    </row>
    <row r="1497" spans="1:2" x14ac:dyDescent="0.35">
      <c r="A1497" s="1429"/>
      <c r="B1497" s="1430"/>
    </row>
    <row r="1498" spans="1:2" x14ac:dyDescent="0.35">
      <c r="A1498" s="1429"/>
      <c r="B1498" s="1430"/>
    </row>
    <row r="1499" spans="1:2" x14ac:dyDescent="0.35">
      <c r="A1499" s="1429"/>
      <c r="B1499" s="1430"/>
    </row>
    <row r="1500" spans="1:2" x14ac:dyDescent="0.35">
      <c r="A1500" s="1429"/>
      <c r="B1500" s="1430"/>
    </row>
    <row r="1501" spans="1:2" x14ac:dyDescent="0.35">
      <c r="A1501" s="1429"/>
      <c r="B1501" s="1430"/>
    </row>
    <row r="1502" spans="1:2" x14ac:dyDescent="0.35">
      <c r="A1502" s="1429"/>
      <c r="B1502" s="1430"/>
    </row>
    <row r="1503" spans="1:2" x14ac:dyDescent="0.35">
      <c r="A1503" s="1429"/>
      <c r="B1503" s="1430"/>
    </row>
    <row r="1504" spans="1:2" x14ac:dyDescent="0.35">
      <c r="A1504" s="1429"/>
      <c r="B1504" s="1430"/>
    </row>
    <row r="1505" spans="1:2" x14ac:dyDescent="0.35">
      <c r="A1505" s="1429"/>
      <c r="B1505" s="1430"/>
    </row>
    <row r="1506" spans="1:2" x14ac:dyDescent="0.35">
      <c r="A1506" s="1429"/>
      <c r="B1506" s="1430"/>
    </row>
    <row r="1507" spans="1:2" x14ac:dyDescent="0.35">
      <c r="A1507" s="1429"/>
      <c r="B1507" s="1430"/>
    </row>
    <row r="1508" spans="1:2" x14ac:dyDescent="0.35">
      <c r="A1508" s="1429"/>
      <c r="B1508" s="1430"/>
    </row>
    <row r="1509" spans="1:2" x14ac:dyDescent="0.35">
      <c r="A1509" s="1429"/>
      <c r="B1509" s="1430"/>
    </row>
    <row r="1510" spans="1:2" x14ac:dyDescent="0.35">
      <c r="A1510" s="1429"/>
      <c r="B1510" s="1430"/>
    </row>
    <row r="1511" spans="1:2" x14ac:dyDescent="0.35">
      <c r="A1511" s="1429"/>
      <c r="B1511" s="1430"/>
    </row>
    <row r="1512" spans="1:2" x14ac:dyDescent="0.35">
      <c r="A1512" s="1429"/>
      <c r="B1512" s="1430"/>
    </row>
    <row r="1513" spans="1:2" x14ac:dyDescent="0.35">
      <c r="A1513" s="1429"/>
      <c r="B1513" s="1430"/>
    </row>
    <row r="1514" spans="1:2" x14ac:dyDescent="0.35">
      <c r="A1514" s="1429"/>
      <c r="B1514" s="1430"/>
    </row>
    <row r="1515" spans="1:2" x14ac:dyDescent="0.35">
      <c r="A1515" s="1429"/>
      <c r="B1515" s="1430"/>
    </row>
    <row r="1516" spans="1:2" x14ac:dyDescent="0.35">
      <c r="A1516" s="1429"/>
      <c r="B1516" s="1430"/>
    </row>
    <row r="1517" spans="1:2" x14ac:dyDescent="0.35">
      <c r="A1517" s="1429"/>
      <c r="B1517" s="1430"/>
    </row>
    <row r="1518" spans="1:2" x14ac:dyDescent="0.35">
      <c r="A1518" s="1429"/>
      <c r="B1518" s="1430"/>
    </row>
    <row r="1519" spans="1:2" x14ac:dyDescent="0.35">
      <c r="A1519" s="1429"/>
      <c r="B1519" s="1430"/>
    </row>
    <row r="1520" spans="1:2" x14ac:dyDescent="0.35">
      <c r="A1520" s="1429"/>
      <c r="B1520" s="1430"/>
    </row>
    <row r="1521" spans="1:2" x14ac:dyDescent="0.35">
      <c r="A1521" s="1429"/>
      <c r="B1521" s="1430"/>
    </row>
    <row r="1522" spans="1:2" x14ac:dyDescent="0.35">
      <c r="A1522" s="1429"/>
      <c r="B1522" s="1430"/>
    </row>
    <row r="1523" spans="1:2" x14ac:dyDescent="0.35">
      <c r="A1523" s="1429"/>
      <c r="B1523" s="1430"/>
    </row>
    <row r="1524" spans="1:2" x14ac:dyDescent="0.35">
      <c r="A1524" s="1429"/>
      <c r="B1524" s="1430"/>
    </row>
    <row r="1525" spans="1:2" x14ac:dyDescent="0.35">
      <c r="A1525" s="1429"/>
      <c r="B1525" s="1430"/>
    </row>
    <row r="1526" spans="1:2" x14ac:dyDescent="0.35">
      <c r="A1526" s="1429"/>
      <c r="B1526" s="1430"/>
    </row>
    <row r="1527" spans="1:2" x14ac:dyDescent="0.35">
      <c r="A1527" s="1429"/>
      <c r="B1527" s="1430"/>
    </row>
    <row r="1528" spans="1:2" x14ac:dyDescent="0.35">
      <c r="A1528" s="1429"/>
      <c r="B1528" s="1430"/>
    </row>
    <row r="1529" spans="1:2" x14ac:dyDescent="0.35">
      <c r="A1529" s="1429"/>
      <c r="B1529" s="1430"/>
    </row>
    <row r="1530" spans="1:2" x14ac:dyDescent="0.35">
      <c r="A1530" s="1429"/>
      <c r="B1530" s="1430"/>
    </row>
    <row r="1531" spans="1:2" x14ac:dyDescent="0.35">
      <c r="A1531" s="1429"/>
      <c r="B1531" s="1430"/>
    </row>
    <row r="1532" spans="1:2" x14ac:dyDescent="0.35">
      <c r="A1532" s="1429"/>
      <c r="B1532" s="1430"/>
    </row>
    <row r="1533" spans="1:2" x14ac:dyDescent="0.35">
      <c r="A1533" s="1429"/>
      <c r="B1533" s="1430"/>
    </row>
    <row r="1534" spans="1:2" x14ac:dyDescent="0.35">
      <c r="A1534" s="1429"/>
      <c r="B1534" s="1430"/>
    </row>
    <row r="1535" spans="1:2" x14ac:dyDescent="0.35">
      <c r="A1535" s="1429"/>
      <c r="B1535" s="1430"/>
    </row>
    <row r="1536" spans="1:2" x14ac:dyDescent="0.35">
      <c r="A1536" s="1429"/>
      <c r="B1536" s="1430"/>
    </row>
    <row r="1537" spans="1:2" x14ac:dyDescent="0.35">
      <c r="A1537" s="1429"/>
      <c r="B1537" s="1430"/>
    </row>
    <row r="1538" spans="1:2" x14ac:dyDescent="0.35">
      <c r="A1538" s="1429"/>
      <c r="B1538" s="1430"/>
    </row>
    <row r="1539" spans="1:2" x14ac:dyDescent="0.35">
      <c r="A1539" s="1429"/>
      <c r="B1539" s="1430"/>
    </row>
    <row r="1540" spans="1:2" x14ac:dyDescent="0.35">
      <c r="A1540" s="1429"/>
      <c r="B1540" s="1430"/>
    </row>
    <row r="1541" spans="1:2" x14ac:dyDescent="0.35">
      <c r="A1541" s="1429"/>
      <c r="B1541" s="1430"/>
    </row>
    <row r="1542" spans="1:2" x14ac:dyDescent="0.35">
      <c r="A1542" s="1429"/>
      <c r="B1542" s="1430"/>
    </row>
    <row r="1543" spans="1:2" x14ac:dyDescent="0.35">
      <c r="A1543" s="1429"/>
      <c r="B1543" s="1430"/>
    </row>
    <row r="1544" spans="1:2" x14ac:dyDescent="0.35">
      <c r="A1544" s="1429"/>
      <c r="B1544" s="1430"/>
    </row>
    <row r="1545" spans="1:2" x14ac:dyDescent="0.35">
      <c r="A1545" s="1429"/>
      <c r="B1545" s="1430"/>
    </row>
    <row r="1546" spans="1:2" x14ac:dyDescent="0.35">
      <c r="A1546" s="1429"/>
      <c r="B1546" s="1430"/>
    </row>
    <row r="1547" spans="1:2" x14ac:dyDescent="0.35">
      <c r="A1547" s="1429"/>
      <c r="B1547" s="1430"/>
    </row>
    <row r="1548" spans="1:2" x14ac:dyDescent="0.35">
      <c r="A1548" s="1429"/>
      <c r="B1548" s="1430"/>
    </row>
    <row r="1549" spans="1:2" x14ac:dyDescent="0.35">
      <c r="A1549" s="1429"/>
      <c r="B1549" s="1430"/>
    </row>
    <row r="1550" spans="1:2" x14ac:dyDescent="0.35">
      <c r="A1550" s="1429"/>
      <c r="B1550" s="1430"/>
    </row>
    <row r="1551" spans="1:2" x14ac:dyDescent="0.35">
      <c r="A1551" s="1429"/>
      <c r="B1551" s="1430"/>
    </row>
    <row r="1552" spans="1:2" x14ac:dyDescent="0.35">
      <c r="A1552" s="1429"/>
      <c r="B1552" s="1430"/>
    </row>
    <row r="1553" spans="1:2" x14ac:dyDescent="0.35">
      <c r="A1553" s="1429"/>
      <c r="B1553" s="1430"/>
    </row>
    <row r="1554" spans="1:2" x14ac:dyDescent="0.35">
      <c r="A1554" s="1429"/>
      <c r="B1554" s="1430"/>
    </row>
    <row r="1555" spans="1:2" x14ac:dyDescent="0.35">
      <c r="A1555" s="1429"/>
      <c r="B1555" s="1430"/>
    </row>
    <row r="1556" spans="1:2" x14ac:dyDescent="0.35">
      <c r="A1556" s="1429"/>
      <c r="B1556" s="1430"/>
    </row>
    <row r="1557" spans="1:2" x14ac:dyDescent="0.35">
      <c r="A1557" s="1429"/>
      <c r="B1557" s="1430"/>
    </row>
    <row r="1558" spans="1:2" x14ac:dyDescent="0.35">
      <c r="A1558" s="1429"/>
      <c r="B1558" s="1430"/>
    </row>
    <row r="1559" spans="1:2" x14ac:dyDescent="0.35">
      <c r="A1559" s="1429"/>
      <c r="B1559" s="1430"/>
    </row>
    <row r="1560" spans="1:2" x14ac:dyDescent="0.35">
      <c r="A1560" s="1429"/>
      <c r="B1560" s="1430"/>
    </row>
    <row r="1561" spans="1:2" x14ac:dyDescent="0.35">
      <c r="A1561" s="1429"/>
      <c r="B1561" s="1430"/>
    </row>
    <row r="1562" spans="1:2" x14ac:dyDescent="0.35">
      <c r="A1562" s="1429"/>
      <c r="B1562" s="1430"/>
    </row>
    <row r="1563" spans="1:2" x14ac:dyDescent="0.35">
      <c r="A1563" s="1429"/>
      <c r="B1563" s="1430"/>
    </row>
    <row r="1564" spans="1:2" x14ac:dyDescent="0.35">
      <c r="A1564" s="1429"/>
      <c r="B1564" s="1430"/>
    </row>
    <row r="1565" spans="1:2" x14ac:dyDescent="0.35">
      <c r="A1565" s="1429"/>
      <c r="B1565" s="1430"/>
    </row>
    <row r="1566" spans="1:2" x14ac:dyDescent="0.35">
      <c r="A1566" s="1429"/>
      <c r="B1566" s="1430"/>
    </row>
    <row r="1567" spans="1:2" x14ac:dyDescent="0.35">
      <c r="A1567" s="1429"/>
      <c r="B1567" s="1430"/>
    </row>
    <row r="1568" spans="1:2" x14ac:dyDescent="0.35">
      <c r="A1568" s="1429"/>
      <c r="B1568" s="1430"/>
    </row>
    <row r="1569" spans="1:2" x14ac:dyDescent="0.35">
      <c r="A1569" s="1429"/>
      <c r="B1569" s="1430"/>
    </row>
    <row r="1570" spans="1:2" x14ac:dyDescent="0.35">
      <c r="A1570" s="1429"/>
      <c r="B1570" s="1430"/>
    </row>
    <row r="1571" spans="1:2" x14ac:dyDescent="0.35">
      <c r="A1571" s="1429"/>
      <c r="B1571" s="1430"/>
    </row>
    <row r="1572" spans="1:2" x14ac:dyDescent="0.35">
      <c r="A1572" s="1429"/>
      <c r="B1572" s="1430"/>
    </row>
    <row r="1573" spans="1:2" x14ac:dyDescent="0.35">
      <c r="A1573" s="1429"/>
      <c r="B1573" s="1430"/>
    </row>
    <row r="1574" spans="1:2" x14ac:dyDescent="0.35">
      <c r="A1574" s="1429"/>
      <c r="B1574" s="1430"/>
    </row>
    <row r="1575" spans="1:2" x14ac:dyDescent="0.35">
      <c r="A1575" s="1429"/>
      <c r="B1575" s="1430"/>
    </row>
    <row r="1576" spans="1:2" x14ac:dyDescent="0.35">
      <c r="A1576" s="1429"/>
      <c r="B1576" s="1430"/>
    </row>
    <row r="1577" spans="1:2" x14ac:dyDescent="0.35">
      <c r="A1577" s="1429"/>
      <c r="B1577" s="1430"/>
    </row>
    <row r="1578" spans="1:2" x14ac:dyDescent="0.35">
      <c r="A1578" s="1429"/>
      <c r="B1578" s="1430"/>
    </row>
    <row r="1579" spans="1:2" x14ac:dyDescent="0.35">
      <c r="A1579" s="1429"/>
      <c r="B1579" s="1430"/>
    </row>
    <row r="1580" spans="1:2" x14ac:dyDescent="0.35">
      <c r="A1580" s="1429"/>
      <c r="B1580" s="1430"/>
    </row>
    <row r="1581" spans="1:2" x14ac:dyDescent="0.35">
      <c r="A1581" s="1429"/>
      <c r="B1581" s="1430"/>
    </row>
    <row r="1582" spans="1:2" x14ac:dyDescent="0.35">
      <c r="A1582" s="1429"/>
      <c r="B1582" s="1430"/>
    </row>
    <row r="1583" spans="1:2" x14ac:dyDescent="0.35">
      <c r="A1583" s="1429"/>
      <c r="B1583" s="1430"/>
    </row>
    <row r="1584" spans="1:2" x14ac:dyDescent="0.35">
      <c r="A1584" s="1429"/>
      <c r="B1584" s="1430"/>
    </row>
    <row r="1585" spans="1:2" x14ac:dyDescent="0.35">
      <c r="A1585" s="1429"/>
      <c r="B1585" s="1430"/>
    </row>
    <row r="1586" spans="1:2" x14ac:dyDescent="0.35">
      <c r="A1586" s="1429"/>
      <c r="B1586" s="1430"/>
    </row>
    <row r="1587" spans="1:2" x14ac:dyDescent="0.35">
      <c r="A1587" s="1429"/>
      <c r="B1587" s="1430"/>
    </row>
    <row r="1588" spans="1:2" x14ac:dyDescent="0.35">
      <c r="A1588" s="1429"/>
      <c r="B1588" s="1430"/>
    </row>
    <row r="1589" spans="1:2" x14ac:dyDescent="0.35">
      <c r="A1589" s="1429"/>
      <c r="B1589" s="1430"/>
    </row>
    <row r="1590" spans="1:2" x14ac:dyDescent="0.35">
      <c r="A1590" s="1429"/>
      <c r="B1590" s="1430"/>
    </row>
    <row r="1591" spans="1:2" x14ac:dyDescent="0.35">
      <c r="A1591" s="1429"/>
      <c r="B1591" s="1430"/>
    </row>
    <row r="1592" spans="1:2" x14ac:dyDescent="0.35">
      <c r="A1592" s="1429"/>
      <c r="B1592" s="1430"/>
    </row>
    <row r="1593" spans="1:2" x14ac:dyDescent="0.35">
      <c r="A1593" s="1429"/>
      <c r="B1593" s="1430"/>
    </row>
    <row r="1594" spans="1:2" x14ac:dyDescent="0.35">
      <c r="A1594" s="1429"/>
      <c r="B1594" s="1430"/>
    </row>
    <row r="1595" spans="1:2" x14ac:dyDescent="0.35">
      <c r="A1595" s="1429"/>
      <c r="B1595" s="1430"/>
    </row>
    <row r="1596" spans="1:2" x14ac:dyDescent="0.35">
      <c r="A1596" s="1429"/>
      <c r="B1596" s="1430"/>
    </row>
    <row r="1597" spans="1:2" x14ac:dyDescent="0.35">
      <c r="A1597" s="1429"/>
      <c r="B1597" s="1430"/>
    </row>
    <row r="1598" spans="1:2" x14ac:dyDescent="0.35">
      <c r="A1598" s="1429"/>
      <c r="B1598" s="1430"/>
    </row>
    <row r="1599" spans="1:2" x14ac:dyDescent="0.35">
      <c r="A1599" s="1429"/>
      <c r="B1599" s="1430"/>
    </row>
    <row r="1600" spans="1:2" x14ac:dyDescent="0.35">
      <c r="A1600" s="1429"/>
      <c r="B1600" s="1430"/>
    </row>
    <row r="1601" spans="1:2" x14ac:dyDescent="0.35">
      <c r="A1601" s="1429"/>
      <c r="B1601" s="1430"/>
    </row>
    <row r="1602" spans="1:2" x14ac:dyDescent="0.35">
      <c r="A1602" s="1429"/>
      <c r="B1602" s="1430"/>
    </row>
    <row r="1603" spans="1:2" x14ac:dyDescent="0.35">
      <c r="A1603" s="1429"/>
      <c r="B1603" s="1430"/>
    </row>
    <row r="1604" spans="1:2" x14ac:dyDescent="0.35">
      <c r="A1604" s="1429"/>
      <c r="B1604" s="1430"/>
    </row>
    <row r="1605" spans="1:2" x14ac:dyDescent="0.35">
      <c r="A1605" s="1429"/>
      <c r="B1605" s="1430"/>
    </row>
    <row r="1606" spans="1:2" x14ac:dyDescent="0.35">
      <c r="A1606" s="1429"/>
      <c r="B1606" s="1430"/>
    </row>
    <row r="1607" spans="1:2" x14ac:dyDescent="0.35">
      <c r="A1607" s="1429"/>
      <c r="B1607" s="1430"/>
    </row>
    <row r="1608" spans="1:2" x14ac:dyDescent="0.35">
      <c r="A1608" s="1429"/>
      <c r="B1608" s="1430"/>
    </row>
    <row r="1609" spans="1:2" x14ac:dyDescent="0.35">
      <c r="A1609" s="1429"/>
      <c r="B1609" s="1430"/>
    </row>
    <row r="1610" spans="1:2" x14ac:dyDescent="0.35">
      <c r="A1610" s="1429"/>
      <c r="B1610" s="1430"/>
    </row>
    <row r="1611" spans="1:2" x14ac:dyDescent="0.35">
      <c r="A1611" s="1429"/>
      <c r="B1611" s="1430"/>
    </row>
    <row r="1612" spans="1:2" x14ac:dyDescent="0.35">
      <c r="A1612" s="1429"/>
      <c r="B1612" s="1430"/>
    </row>
    <row r="1613" spans="1:2" x14ac:dyDescent="0.35">
      <c r="A1613" s="1429"/>
      <c r="B1613" s="1430"/>
    </row>
    <row r="1614" spans="1:2" x14ac:dyDescent="0.35">
      <c r="A1614" s="1429"/>
      <c r="B1614" s="1430"/>
    </row>
    <row r="1615" spans="1:2" x14ac:dyDescent="0.35">
      <c r="A1615" s="1429"/>
      <c r="B1615" s="1430"/>
    </row>
    <row r="1616" spans="1:2" x14ac:dyDescent="0.35">
      <c r="A1616" s="1429"/>
      <c r="B1616" s="1430"/>
    </row>
    <row r="1617" spans="1:2" x14ac:dyDescent="0.35">
      <c r="A1617" s="1429"/>
      <c r="B1617" s="1430"/>
    </row>
    <row r="1618" spans="1:2" x14ac:dyDescent="0.35">
      <c r="A1618" s="1429"/>
      <c r="B1618" s="1430"/>
    </row>
    <row r="1619" spans="1:2" x14ac:dyDescent="0.35">
      <c r="A1619" s="1429"/>
      <c r="B1619" s="1430"/>
    </row>
    <row r="1620" spans="1:2" x14ac:dyDescent="0.35">
      <c r="A1620" s="1429"/>
      <c r="B1620" s="1430"/>
    </row>
    <row r="1621" spans="1:2" x14ac:dyDescent="0.35">
      <c r="A1621" s="1429"/>
      <c r="B1621" s="1430"/>
    </row>
    <row r="1622" spans="1:2" x14ac:dyDescent="0.35">
      <c r="A1622" s="1429"/>
      <c r="B1622" s="1430"/>
    </row>
    <row r="1623" spans="1:2" x14ac:dyDescent="0.35">
      <c r="A1623" s="1429"/>
      <c r="B1623" s="1430"/>
    </row>
    <row r="1624" spans="1:2" x14ac:dyDescent="0.35">
      <c r="A1624" s="1429"/>
      <c r="B1624" s="1430"/>
    </row>
    <row r="1625" spans="1:2" x14ac:dyDescent="0.35">
      <c r="A1625" s="1429"/>
      <c r="B1625" s="1430"/>
    </row>
    <row r="1626" spans="1:2" x14ac:dyDescent="0.35">
      <c r="A1626" s="1429"/>
      <c r="B1626" s="1430"/>
    </row>
    <row r="1627" spans="1:2" x14ac:dyDescent="0.35">
      <c r="A1627" s="1429"/>
      <c r="B1627" s="1430"/>
    </row>
    <row r="1628" spans="1:2" x14ac:dyDescent="0.35">
      <c r="A1628" s="1429"/>
      <c r="B1628" s="1430"/>
    </row>
    <row r="1629" spans="1:2" x14ac:dyDescent="0.35">
      <c r="A1629" s="1429"/>
      <c r="B1629" s="1430"/>
    </row>
    <row r="1630" spans="1:2" x14ac:dyDescent="0.35">
      <c r="A1630" s="1429"/>
      <c r="B1630" s="1430"/>
    </row>
    <row r="1631" spans="1:2" x14ac:dyDescent="0.35">
      <c r="A1631" s="1429"/>
      <c r="B1631" s="1430"/>
    </row>
    <row r="1632" spans="1:2" x14ac:dyDescent="0.35">
      <c r="A1632" s="1429"/>
      <c r="B1632" s="1430"/>
    </row>
    <row r="1633" spans="1:2" x14ac:dyDescent="0.35">
      <c r="A1633" s="1429"/>
      <c r="B1633" s="1430"/>
    </row>
    <row r="1634" spans="1:2" x14ac:dyDescent="0.35">
      <c r="A1634" s="1429"/>
      <c r="B1634" s="1430"/>
    </row>
    <row r="1635" spans="1:2" x14ac:dyDescent="0.35">
      <c r="A1635" s="1429"/>
      <c r="B1635" s="1430"/>
    </row>
    <row r="1636" spans="1:2" x14ac:dyDescent="0.35">
      <c r="A1636" s="1429"/>
      <c r="B1636" s="1430"/>
    </row>
    <row r="1637" spans="1:2" x14ac:dyDescent="0.35">
      <c r="A1637" s="1429"/>
      <c r="B1637" s="1430"/>
    </row>
    <row r="1638" spans="1:2" x14ac:dyDescent="0.35">
      <c r="A1638" s="1429"/>
      <c r="B1638" s="1430"/>
    </row>
    <row r="1639" spans="1:2" x14ac:dyDescent="0.35">
      <c r="A1639" s="1429"/>
      <c r="B1639" s="1430"/>
    </row>
    <row r="1640" spans="1:2" x14ac:dyDescent="0.35">
      <c r="A1640" s="1429"/>
      <c r="B1640" s="1430"/>
    </row>
    <row r="1641" spans="1:2" x14ac:dyDescent="0.35">
      <c r="A1641" s="1429"/>
      <c r="B1641" s="1430"/>
    </row>
    <row r="1642" spans="1:2" x14ac:dyDescent="0.35">
      <c r="A1642" s="1429"/>
      <c r="B1642" s="1430"/>
    </row>
    <row r="1643" spans="1:2" x14ac:dyDescent="0.35">
      <c r="A1643" s="1429"/>
      <c r="B1643" s="1430"/>
    </row>
    <row r="1644" spans="1:2" x14ac:dyDescent="0.35">
      <c r="A1644" s="1429"/>
      <c r="B1644" s="1430"/>
    </row>
    <row r="1645" spans="1:2" x14ac:dyDescent="0.35">
      <c r="A1645" s="1429"/>
      <c r="B1645" s="1430"/>
    </row>
    <row r="1646" spans="1:2" x14ac:dyDescent="0.35">
      <c r="A1646" s="1429"/>
      <c r="B1646" s="1430"/>
    </row>
    <row r="1647" spans="1:2" x14ac:dyDescent="0.35">
      <c r="A1647" s="1429"/>
      <c r="B1647" s="1430"/>
    </row>
    <row r="1648" spans="1:2" x14ac:dyDescent="0.35">
      <c r="A1648" s="1429"/>
      <c r="B1648" s="1430"/>
    </row>
    <row r="1649" spans="1:2" x14ac:dyDescent="0.35">
      <c r="A1649" s="1429"/>
      <c r="B1649" s="1430"/>
    </row>
    <row r="1650" spans="1:2" x14ac:dyDescent="0.35">
      <c r="A1650" s="1429"/>
      <c r="B1650" s="1430"/>
    </row>
    <row r="1651" spans="1:2" x14ac:dyDescent="0.35">
      <c r="A1651" s="1429"/>
      <c r="B1651" s="1430"/>
    </row>
    <row r="1652" spans="1:2" x14ac:dyDescent="0.35">
      <c r="A1652" s="1429"/>
      <c r="B1652" s="1430"/>
    </row>
    <row r="1653" spans="1:2" x14ac:dyDescent="0.35">
      <c r="A1653" s="1429"/>
      <c r="B1653" s="1430"/>
    </row>
    <row r="1654" spans="1:2" x14ac:dyDescent="0.35">
      <c r="A1654" s="1429"/>
      <c r="B1654" s="1430"/>
    </row>
    <row r="1655" spans="1:2" x14ac:dyDescent="0.35">
      <c r="A1655" s="1429"/>
      <c r="B1655" s="1430"/>
    </row>
    <row r="1656" spans="1:2" x14ac:dyDescent="0.35">
      <c r="A1656" s="1429"/>
      <c r="B1656" s="1430"/>
    </row>
    <row r="1657" spans="1:2" x14ac:dyDescent="0.35">
      <c r="A1657" s="1429"/>
      <c r="B1657" s="1430"/>
    </row>
    <row r="1658" spans="1:2" x14ac:dyDescent="0.35">
      <c r="A1658" s="1429"/>
      <c r="B1658" s="1430"/>
    </row>
    <row r="1659" spans="1:2" x14ac:dyDescent="0.35">
      <c r="A1659" s="1429"/>
      <c r="B1659" s="1430"/>
    </row>
    <row r="1660" spans="1:2" x14ac:dyDescent="0.35">
      <c r="A1660" s="1429"/>
      <c r="B1660" s="1430"/>
    </row>
    <row r="1661" spans="1:2" x14ac:dyDescent="0.35">
      <c r="A1661" s="1429"/>
      <c r="B1661" s="1430"/>
    </row>
    <row r="1662" spans="1:2" x14ac:dyDescent="0.35">
      <c r="A1662" s="1429"/>
      <c r="B1662" s="1430"/>
    </row>
    <row r="1663" spans="1:2" x14ac:dyDescent="0.35">
      <c r="A1663" s="1429"/>
      <c r="B1663" s="1430"/>
    </row>
    <row r="1664" spans="1:2" x14ac:dyDescent="0.35">
      <c r="A1664" s="1429"/>
      <c r="B1664" s="1430"/>
    </row>
    <row r="1665" spans="1:2" x14ac:dyDescent="0.35">
      <c r="A1665" s="1429"/>
      <c r="B1665" s="1430"/>
    </row>
    <row r="1666" spans="1:2" x14ac:dyDescent="0.35">
      <c r="A1666" s="1429"/>
      <c r="B1666" s="1430"/>
    </row>
    <row r="1667" spans="1:2" x14ac:dyDescent="0.35">
      <c r="A1667" s="1429"/>
      <c r="B1667" s="1430"/>
    </row>
    <row r="1668" spans="1:2" x14ac:dyDescent="0.35">
      <c r="A1668" s="1429"/>
      <c r="B1668" s="1430"/>
    </row>
    <row r="1669" spans="1:2" x14ac:dyDescent="0.35">
      <c r="A1669" s="1429"/>
      <c r="B1669" s="1430"/>
    </row>
    <row r="1670" spans="1:2" x14ac:dyDescent="0.35">
      <c r="A1670" s="1429"/>
      <c r="B1670" s="1430"/>
    </row>
    <row r="1671" spans="1:2" x14ac:dyDescent="0.35">
      <c r="A1671" s="1429"/>
      <c r="B1671" s="1430"/>
    </row>
    <row r="1672" spans="1:2" x14ac:dyDescent="0.35">
      <c r="A1672" s="1429"/>
      <c r="B1672" s="1430"/>
    </row>
    <row r="1673" spans="1:2" x14ac:dyDescent="0.35">
      <c r="A1673" s="1429"/>
      <c r="B1673" s="1430"/>
    </row>
    <row r="1674" spans="1:2" x14ac:dyDescent="0.35">
      <c r="A1674" s="1429"/>
      <c r="B1674" s="1430"/>
    </row>
    <row r="1675" spans="1:2" x14ac:dyDescent="0.35">
      <c r="A1675" s="1429"/>
      <c r="B1675" s="1430"/>
    </row>
    <row r="1676" spans="1:2" x14ac:dyDescent="0.35">
      <c r="A1676" s="1429"/>
      <c r="B1676" s="1430"/>
    </row>
    <row r="1677" spans="1:2" x14ac:dyDescent="0.35">
      <c r="A1677" s="1429"/>
      <c r="B1677" s="1430"/>
    </row>
    <row r="1678" spans="1:2" x14ac:dyDescent="0.35">
      <c r="A1678" s="1429"/>
      <c r="B1678" s="1430"/>
    </row>
    <row r="1679" spans="1:2" x14ac:dyDescent="0.35">
      <c r="A1679" s="1429"/>
      <c r="B1679" s="1430"/>
    </row>
    <row r="1680" spans="1:2" x14ac:dyDescent="0.35">
      <c r="A1680" s="1429"/>
      <c r="B1680" s="1430"/>
    </row>
    <row r="1681" spans="1:2" x14ac:dyDescent="0.35">
      <c r="A1681" s="1429"/>
      <c r="B1681" s="1430"/>
    </row>
    <row r="1682" spans="1:2" x14ac:dyDescent="0.35">
      <c r="A1682" s="1429"/>
      <c r="B1682" s="1430"/>
    </row>
    <row r="1683" spans="1:2" x14ac:dyDescent="0.35">
      <c r="A1683" s="1429"/>
      <c r="B1683" s="1430"/>
    </row>
    <row r="1684" spans="1:2" x14ac:dyDescent="0.35">
      <c r="A1684" s="1429"/>
      <c r="B1684" s="1430"/>
    </row>
    <row r="1685" spans="1:2" x14ac:dyDescent="0.35">
      <c r="A1685" s="1429"/>
      <c r="B1685" s="1430"/>
    </row>
    <row r="1686" spans="1:2" x14ac:dyDescent="0.35">
      <c r="A1686" s="1429"/>
      <c r="B1686" s="1430"/>
    </row>
    <row r="1687" spans="1:2" x14ac:dyDescent="0.35">
      <c r="A1687" s="1429"/>
      <c r="B1687" s="1430"/>
    </row>
    <row r="1688" spans="1:2" x14ac:dyDescent="0.35">
      <c r="A1688" s="1429"/>
      <c r="B1688" s="1430"/>
    </row>
    <row r="1689" spans="1:2" x14ac:dyDescent="0.35">
      <c r="A1689" s="1429"/>
      <c r="B1689" s="1430"/>
    </row>
    <row r="1690" spans="1:2" x14ac:dyDescent="0.35">
      <c r="A1690" s="1429"/>
      <c r="B1690" s="1430"/>
    </row>
    <row r="1691" spans="1:2" x14ac:dyDescent="0.35">
      <c r="A1691" s="1429"/>
      <c r="B1691" s="1430"/>
    </row>
    <row r="1692" spans="1:2" x14ac:dyDescent="0.35">
      <c r="A1692" s="1429"/>
      <c r="B1692" s="1430"/>
    </row>
    <row r="1693" spans="1:2" x14ac:dyDescent="0.35">
      <c r="A1693" s="1429"/>
      <c r="B1693" s="1430"/>
    </row>
    <row r="1694" spans="1:2" x14ac:dyDescent="0.35">
      <c r="A1694" s="1429"/>
      <c r="B1694" s="1430"/>
    </row>
    <row r="1695" spans="1:2" x14ac:dyDescent="0.35">
      <c r="A1695" s="1429"/>
      <c r="B1695" s="1430"/>
    </row>
    <row r="1696" spans="1:2" x14ac:dyDescent="0.35">
      <c r="A1696" s="1429"/>
      <c r="B1696" s="1430"/>
    </row>
    <row r="1697" spans="1:2" x14ac:dyDescent="0.35">
      <c r="A1697" s="1429"/>
      <c r="B1697" s="1430"/>
    </row>
    <row r="1698" spans="1:2" x14ac:dyDescent="0.35">
      <c r="A1698" s="1429"/>
      <c r="B1698" s="1430"/>
    </row>
    <row r="1699" spans="1:2" x14ac:dyDescent="0.35">
      <c r="A1699" s="1429"/>
      <c r="B1699" s="1430"/>
    </row>
    <row r="1700" spans="1:2" x14ac:dyDescent="0.35">
      <c r="A1700" s="1429"/>
      <c r="B1700" s="1430"/>
    </row>
    <row r="1701" spans="1:2" x14ac:dyDescent="0.35">
      <c r="A1701" s="1429"/>
      <c r="B1701" s="1430"/>
    </row>
    <row r="1702" spans="1:2" x14ac:dyDescent="0.35">
      <c r="A1702" s="1429"/>
      <c r="B1702" s="1430"/>
    </row>
    <row r="1703" spans="1:2" x14ac:dyDescent="0.35">
      <c r="A1703" s="1429"/>
      <c r="B1703" s="1430"/>
    </row>
    <row r="1704" spans="1:2" x14ac:dyDescent="0.35">
      <c r="A1704" s="1429"/>
      <c r="B1704" s="1430"/>
    </row>
    <row r="1705" spans="1:2" x14ac:dyDescent="0.35">
      <c r="A1705" s="1429"/>
      <c r="B1705" s="1430"/>
    </row>
    <row r="1706" spans="1:2" x14ac:dyDescent="0.35">
      <c r="A1706" s="1429"/>
      <c r="B1706" s="1430"/>
    </row>
    <row r="1707" spans="1:2" x14ac:dyDescent="0.35">
      <c r="A1707" s="1429"/>
      <c r="B1707" s="1430"/>
    </row>
    <row r="1708" spans="1:2" x14ac:dyDescent="0.35">
      <c r="A1708" s="1429"/>
      <c r="B1708" s="1430"/>
    </row>
    <row r="1709" spans="1:2" x14ac:dyDescent="0.35">
      <c r="A1709" s="1429"/>
      <c r="B1709" s="1430"/>
    </row>
    <row r="1710" spans="1:2" x14ac:dyDescent="0.35">
      <c r="A1710" s="1429"/>
      <c r="B1710" s="1430"/>
    </row>
    <row r="1711" spans="1:2" x14ac:dyDescent="0.35">
      <c r="A1711" s="1429"/>
      <c r="B1711" s="1430"/>
    </row>
    <row r="1712" spans="1:2" x14ac:dyDescent="0.35">
      <c r="A1712" s="1429"/>
      <c r="B1712" s="1430"/>
    </row>
    <row r="1713" spans="1:2" x14ac:dyDescent="0.35">
      <c r="A1713" s="1429"/>
      <c r="B1713" s="1430"/>
    </row>
    <row r="1714" spans="1:2" x14ac:dyDescent="0.35">
      <c r="A1714" s="1429"/>
      <c r="B1714" s="1430"/>
    </row>
    <row r="1715" spans="1:2" x14ac:dyDescent="0.35">
      <c r="A1715" s="1429"/>
      <c r="B1715" s="1430"/>
    </row>
    <row r="1716" spans="1:2" x14ac:dyDescent="0.35">
      <c r="A1716" s="1429"/>
      <c r="B1716" s="1430"/>
    </row>
    <row r="1717" spans="1:2" x14ac:dyDescent="0.35">
      <c r="A1717" s="1429"/>
      <c r="B1717" s="1430"/>
    </row>
    <row r="1718" spans="1:2" x14ac:dyDescent="0.35">
      <c r="A1718" s="1429"/>
      <c r="B1718" s="1430"/>
    </row>
    <row r="1719" spans="1:2" x14ac:dyDescent="0.35">
      <c r="A1719" s="1429"/>
      <c r="B1719" s="1430"/>
    </row>
    <row r="1720" spans="1:2" x14ac:dyDescent="0.35">
      <c r="A1720" s="1429"/>
      <c r="B1720" s="1430"/>
    </row>
    <row r="1721" spans="1:2" x14ac:dyDescent="0.35">
      <c r="A1721" s="1429"/>
      <c r="B1721" s="1430"/>
    </row>
    <row r="1722" spans="1:2" x14ac:dyDescent="0.35">
      <c r="A1722" s="1429"/>
      <c r="B1722" s="1430"/>
    </row>
    <row r="1723" spans="1:2" x14ac:dyDescent="0.35">
      <c r="A1723" s="1429"/>
      <c r="B1723" s="1430"/>
    </row>
    <row r="1724" spans="1:2" x14ac:dyDescent="0.35">
      <c r="A1724" s="1429"/>
      <c r="B1724" s="1430"/>
    </row>
    <row r="1725" spans="1:2" x14ac:dyDescent="0.35">
      <c r="A1725" s="1429"/>
      <c r="B1725" s="1430"/>
    </row>
    <row r="1726" spans="1:2" x14ac:dyDescent="0.35">
      <c r="A1726" s="1429"/>
      <c r="B1726" s="1430"/>
    </row>
    <row r="1727" spans="1:2" x14ac:dyDescent="0.35">
      <c r="A1727" s="1429"/>
      <c r="B1727" s="1430"/>
    </row>
    <row r="1728" spans="1:2" x14ac:dyDescent="0.35">
      <c r="A1728" s="1429"/>
      <c r="B1728" s="1430"/>
    </row>
    <row r="1729" spans="1:2" x14ac:dyDescent="0.35">
      <c r="A1729" s="1429"/>
      <c r="B1729" s="1430"/>
    </row>
    <row r="1730" spans="1:2" x14ac:dyDescent="0.35">
      <c r="A1730" s="1429"/>
      <c r="B1730" s="1430"/>
    </row>
    <row r="1731" spans="1:2" x14ac:dyDescent="0.35">
      <c r="A1731" s="1429"/>
      <c r="B1731" s="1430"/>
    </row>
    <row r="1732" spans="1:2" x14ac:dyDescent="0.35">
      <c r="A1732" s="1429"/>
      <c r="B1732" s="1430"/>
    </row>
    <row r="1733" spans="1:2" x14ac:dyDescent="0.35">
      <c r="A1733" s="1429"/>
      <c r="B1733" s="1430"/>
    </row>
    <row r="1734" spans="1:2" x14ac:dyDescent="0.35">
      <c r="A1734" s="1429"/>
      <c r="B1734" s="1430"/>
    </row>
    <row r="1735" spans="1:2" x14ac:dyDescent="0.35">
      <c r="A1735" s="1429"/>
      <c r="B1735" s="1430"/>
    </row>
    <row r="1736" spans="1:2" x14ac:dyDescent="0.35">
      <c r="A1736" s="1429"/>
      <c r="B1736" s="1430"/>
    </row>
    <row r="1737" spans="1:2" x14ac:dyDescent="0.35">
      <c r="A1737" s="1429"/>
      <c r="B1737" s="1430"/>
    </row>
    <row r="1738" spans="1:2" x14ac:dyDescent="0.35">
      <c r="A1738" s="1429"/>
      <c r="B1738" s="1430"/>
    </row>
    <row r="1739" spans="1:2" x14ac:dyDescent="0.35">
      <c r="A1739" s="1429"/>
      <c r="B1739" s="1430"/>
    </row>
    <row r="1740" spans="1:2" x14ac:dyDescent="0.35">
      <c r="A1740" s="1429"/>
      <c r="B1740" s="1430"/>
    </row>
    <row r="1741" spans="1:2" x14ac:dyDescent="0.35">
      <c r="A1741" s="1429"/>
      <c r="B1741" s="1430"/>
    </row>
    <row r="1742" spans="1:2" x14ac:dyDescent="0.35">
      <c r="A1742" s="1429"/>
      <c r="B1742" s="1430"/>
    </row>
    <row r="1743" spans="1:2" x14ac:dyDescent="0.35">
      <c r="A1743" s="1429"/>
      <c r="B1743" s="1430"/>
    </row>
    <row r="1744" spans="1:2" x14ac:dyDescent="0.35">
      <c r="A1744" s="1429"/>
      <c r="B1744" s="1430"/>
    </row>
    <row r="1745" spans="1:2" x14ac:dyDescent="0.35">
      <c r="A1745" s="1429"/>
      <c r="B1745" s="1430"/>
    </row>
    <row r="1746" spans="1:2" x14ac:dyDescent="0.35">
      <c r="A1746" s="1429"/>
      <c r="B1746" s="1430"/>
    </row>
    <row r="1747" spans="1:2" x14ac:dyDescent="0.35">
      <c r="A1747" s="1429"/>
      <c r="B1747" s="1430"/>
    </row>
    <row r="1748" spans="1:2" x14ac:dyDescent="0.35">
      <c r="A1748" s="1429"/>
      <c r="B1748" s="1430"/>
    </row>
    <row r="1749" spans="1:2" x14ac:dyDescent="0.35">
      <c r="A1749" s="1429"/>
      <c r="B1749" s="1430"/>
    </row>
    <row r="1750" spans="1:2" x14ac:dyDescent="0.35">
      <c r="A1750" s="1429"/>
      <c r="B1750" s="1430"/>
    </row>
    <row r="1751" spans="1:2" x14ac:dyDescent="0.35">
      <c r="A1751" s="1429"/>
      <c r="B1751" s="1430"/>
    </row>
    <row r="1752" spans="1:2" x14ac:dyDescent="0.35">
      <c r="A1752" s="1429"/>
      <c r="B1752" s="1430"/>
    </row>
    <row r="1753" spans="1:2" x14ac:dyDescent="0.35">
      <c r="A1753" s="1429"/>
      <c r="B1753" s="1430"/>
    </row>
    <row r="1754" spans="1:2" x14ac:dyDescent="0.35">
      <c r="A1754" s="1429"/>
      <c r="B1754" s="1430"/>
    </row>
    <row r="1755" spans="1:2" x14ac:dyDescent="0.35">
      <c r="A1755" s="1429"/>
      <c r="B1755" s="1430"/>
    </row>
    <row r="1756" spans="1:2" x14ac:dyDescent="0.35">
      <c r="A1756" s="1429"/>
      <c r="B1756" s="1430"/>
    </row>
    <row r="1757" spans="1:2" x14ac:dyDescent="0.35">
      <c r="A1757" s="1429"/>
      <c r="B1757" s="1430"/>
    </row>
    <row r="1758" spans="1:2" x14ac:dyDescent="0.35">
      <c r="A1758" s="1429"/>
      <c r="B1758" s="1430"/>
    </row>
    <row r="1759" spans="1:2" x14ac:dyDescent="0.35">
      <c r="A1759" s="1429"/>
      <c r="B1759" s="1430"/>
    </row>
    <row r="1760" spans="1:2" x14ac:dyDescent="0.35">
      <c r="A1760" s="1429"/>
      <c r="B1760" s="1430"/>
    </row>
    <row r="1761" spans="1:2" x14ac:dyDescent="0.35">
      <c r="A1761" s="1429"/>
      <c r="B1761" s="1430"/>
    </row>
    <row r="1762" spans="1:2" x14ac:dyDescent="0.35">
      <c r="A1762" s="1429"/>
      <c r="B1762" s="1430"/>
    </row>
    <row r="1763" spans="1:2" x14ac:dyDescent="0.35">
      <c r="A1763" s="1429"/>
      <c r="B1763" s="1430"/>
    </row>
    <row r="1764" spans="1:2" x14ac:dyDescent="0.35">
      <c r="A1764" s="1429"/>
      <c r="B1764" s="1430"/>
    </row>
    <row r="1765" spans="1:2" x14ac:dyDescent="0.35">
      <c r="A1765" s="1429"/>
      <c r="B1765" s="1430"/>
    </row>
    <row r="1766" spans="1:2" x14ac:dyDescent="0.35">
      <c r="A1766" s="1429"/>
      <c r="B1766" s="1430"/>
    </row>
    <row r="1767" spans="1:2" x14ac:dyDescent="0.35">
      <c r="A1767" s="1429"/>
      <c r="B1767" s="1430"/>
    </row>
    <row r="1768" spans="1:2" x14ac:dyDescent="0.35">
      <c r="A1768" s="1429"/>
      <c r="B1768" s="1430"/>
    </row>
    <row r="1769" spans="1:2" x14ac:dyDescent="0.35">
      <c r="A1769" s="1429"/>
      <c r="B1769" s="1430"/>
    </row>
    <row r="1770" spans="1:2" x14ac:dyDescent="0.35">
      <c r="A1770" s="1429"/>
      <c r="B1770" s="1430"/>
    </row>
    <row r="1771" spans="1:2" x14ac:dyDescent="0.35">
      <c r="A1771" s="1429"/>
      <c r="B1771" s="1430"/>
    </row>
    <row r="1772" spans="1:2" x14ac:dyDescent="0.35">
      <c r="A1772" s="1429"/>
      <c r="B1772" s="1430"/>
    </row>
    <row r="1773" spans="1:2" x14ac:dyDescent="0.35">
      <c r="A1773" s="1429"/>
      <c r="B1773" s="1430"/>
    </row>
    <row r="1774" spans="1:2" x14ac:dyDescent="0.35">
      <c r="A1774" s="1429"/>
      <c r="B1774" s="1430"/>
    </row>
    <row r="1775" spans="1:2" x14ac:dyDescent="0.35">
      <c r="A1775" s="1429"/>
      <c r="B1775" s="1430"/>
    </row>
    <row r="1776" spans="1:2" x14ac:dyDescent="0.35">
      <c r="A1776" s="1429"/>
      <c r="B1776" s="1430"/>
    </row>
    <row r="1777" spans="1:2" x14ac:dyDescent="0.35">
      <c r="A1777" s="1429"/>
      <c r="B1777" s="1430"/>
    </row>
    <row r="1778" spans="1:2" x14ac:dyDescent="0.35">
      <c r="A1778" s="1429"/>
      <c r="B1778" s="1430"/>
    </row>
    <row r="1779" spans="1:2" x14ac:dyDescent="0.35">
      <c r="A1779" s="1429"/>
      <c r="B1779" s="1430"/>
    </row>
    <row r="1780" spans="1:2" x14ac:dyDescent="0.35">
      <c r="A1780" s="1429"/>
      <c r="B1780" s="1430"/>
    </row>
    <row r="1781" spans="1:2" x14ac:dyDescent="0.35">
      <c r="A1781" s="1429"/>
      <c r="B1781" s="1430"/>
    </row>
    <row r="1782" spans="1:2" x14ac:dyDescent="0.35">
      <c r="A1782" s="1429"/>
      <c r="B1782" s="1430"/>
    </row>
    <row r="1783" spans="1:2" x14ac:dyDescent="0.35">
      <c r="A1783" s="1429"/>
      <c r="B1783" s="1430"/>
    </row>
    <row r="1784" spans="1:2" x14ac:dyDescent="0.35">
      <c r="A1784" s="1429"/>
      <c r="B1784" s="1430"/>
    </row>
    <row r="1785" spans="1:2" x14ac:dyDescent="0.35">
      <c r="A1785" s="1429"/>
      <c r="B1785" s="1430"/>
    </row>
    <row r="1786" spans="1:2" x14ac:dyDescent="0.35">
      <c r="A1786" s="1429"/>
      <c r="B1786" s="1430"/>
    </row>
    <row r="1787" spans="1:2" x14ac:dyDescent="0.35">
      <c r="A1787" s="1429"/>
      <c r="B1787" s="1430"/>
    </row>
    <row r="1788" spans="1:2" x14ac:dyDescent="0.35">
      <c r="A1788" s="1429"/>
      <c r="B1788" s="1430"/>
    </row>
    <row r="1789" spans="1:2" x14ac:dyDescent="0.35">
      <c r="A1789" s="1429"/>
      <c r="B1789" s="1430"/>
    </row>
    <row r="1790" spans="1:2" x14ac:dyDescent="0.35">
      <c r="A1790" s="1429"/>
      <c r="B1790" s="1430"/>
    </row>
    <row r="1791" spans="1:2" x14ac:dyDescent="0.35">
      <c r="A1791" s="1429"/>
      <c r="B1791" s="1430"/>
    </row>
    <row r="1792" spans="1:2" x14ac:dyDescent="0.35">
      <c r="A1792" s="1429"/>
      <c r="B1792" s="1430"/>
    </row>
    <row r="1793" spans="1:2" x14ac:dyDescent="0.35">
      <c r="A1793" s="1429"/>
      <c r="B1793" s="1430"/>
    </row>
    <row r="1794" spans="1:2" x14ac:dyDescent="0.35">
      <c r="A1794" s="1429"/>
      <c r="B1794" s="1430"/>
    </row>
    <row r="1795" spans="1:2" x14ac:dyDescent="0.35">
      <c r="A1795" s="1429"/>
      <c r="B1795" s="1430"/>
    </row>
    <row r="1796" spans="1:2" x14ac:dyDescent="0.35">
      <c r="A1796" s="1429"/>
      <c r="B1796" s="1430"/>
    </row>
    <row r="1797" spans="1:2" x14ac:dyDescent="0.35">
      <c r="A1797" s="1429"/>
      <c r="B1797" s="1430"/>
    </row>
    <row r="1798" spans="1:2" x14ac:dyDescent="0.35">
      <c r="A1798" s="1429"/>
      <c r="B1798" s="1430"/>
    </row>
    <row r="1799" spans="1:2" x14ac:dyDescent="0.35">
      <c r="A1799" s="1429"/>
      <c r="B1799" s="1430"/>
    </row>
    <row r="1800" spans="1:2" x14ac:dyDescent="0.35">
      <c r="A1800" s="1429"/>
      <c r="B1800" s="1430"/>
    </row>
    <row r="1801" spans="1:2" x14ac:dyDescent="0.35">
      <c r="A1801" s="1429"/>
      <c r="B1801" s="1430"/>
    </row>
    <row r="1802" spans="1:2" x14ac:dyDescent="0.35">
      <c r="A1802" s="1429"/>
      <c r="B1802" s="1430"/>
    </row>
    <row r="1803" spans="1:2" x14ac:dyDescent="0.35">
      <c r="A1803" s="1429"/>
      <c r="B1803" s="1430"/>
    </row>
    <row r="1804" spans="1:2" x14ac:dyDescent="0.35">
      <c r="A1804" s="1429"/>
      <c r="B1804" s="1430"/>
    </row>
    <row r="1805" spans="1:2" x14ac:dyDescent="0.35">
      <c r="A1805" s="1429"/>
      <c r="B1805" s="1430"/>
    </row>
    <row r="1806" spans="1:2" x14ac:dyDescent="0.35">
      <c r="A1806" s="1429"/>
      <c r="B1806" s="1430"/>
    </row>
    <row r="1807" spans="1:2" x14ac:dyDescent="0.35">
      <c r="A1807" s="1429"/>
      <c r="B1807" s="1430"/>
    </row>
    <row r="1808" spans="1:2" x14ac:dyDescent="0.35">
      <c r="A1808" s="1429"/>
      <c r="B1808" s="1430"/>
    </row>
    <row r="1809" spans="1:2" x14ac:dyDescent="0.35">
      <c r="A1809" s="1429"/>
      <c r="B1809" s="1430"/>
    </row>
    <row r="1810" spans="1:2" x14ac:dyDescent="0.35">
      <c r="A1810" s="1429"/>
      <c r="B1810" s="1430"/>
    </row>
    <row r="1811" spans="1:2" x14ac:dyDescent="0.35">
      <c r="A1811" s="1429"/>
      <c r="B1811" s="1430"/>
    </row>
    <row r="1812" spans="1:2" x14ac:dyDescent="0.35">
      <c r="A1812" s="1429"/>
      <c r="B1812" s="1430"/>
    </row>
    <row r="1813" spans="1:2" x14ac:dyDescent="0.35">
      <c r="A1813" s="1429"/>
      <c r="B1813" s="1430"/>
    </row>
    <row r="1814" spans="1:2" x14ac:dyDescent="0.35">
      <c r="A1814" s="1429"/>
      <c r="B1814" s="1430"/>
    </row>
    <row r="1815" spans="1:2" x14ac:dyDescent="0.35">
      <c r="A1815" s="1429"/>
      <c r="B1815" s="1430"/>
    </row>
    <row r="1816" spans="1:2" x14ac:dyDescent="0.35">
      <c r="A1816" s="1429"/>
      <c r="B1816" s="1430"/>
    </row>
    <row r="1817" spans="1:2" x14ac:dyDescent="0.35">
      <c r="A1817" s="1429"/>
      <c r="B1817" s="1430"/>
    </row>
    <row r="1818" spans="1:2" x14ac:dyDescent="0.35">
      <c r="A1818" s="1429"/>
      <c r="B1818" s="1430"/>
    </row>
    <row r="1819" spans="1:2" x14ac:dyDescent="0.35">
      <c r="A1819" s="1429"/>
      <c r="B1819" s="1430"/>
    </row>
    <row r="1820" spans="1:2" x14ac:dyDescent="0.35">
      <c r="A1820" s="1429"/>
      <c r="B1820" s="1430"/>
    </row>
    <row r="1821" spans="1:2" x14ac:dyDescent="0.35">
      <c r="A1821" s="1429"/>
      <c r="B1821" s="1430"/>
    </row>
    <row r="1822" spans="1:2" x14ac:dyDescent="0.35">
      <c r="A1822" s="1429"/>
      <c r="B1822" s="1430"/>
    </row>
    <row r="1823" spans="1:2" x14ac:dyDescent="0.35">
      <c r="A1823" s="1429"/>
      <c r="B1823" s="1430"/>
    </row>
    <row r="1824" spans="1:2" x14ac:dyDescent="0.35">
      <c r="A1824" s="1429"/>
      <c r="B1824" s="1430"/>
    </row>
    <row r="1825" spans="1:2" x14ac:dyDescent="0.35">
      <c r="A1825" s="1429"/>
      <c r="B1825" s="1430"/>
    </row>
    <row r="1826" spans="1:2" x14ac:dyDescent="0.35">
      <c r="A1826" s="1429"/>
      <c r="B1826" s="1430"/>
    </row>
    <row r="1827" spans="1:2" x14ac:dyDescent="0.35">
      <c r="A1827" s="1429"/>
      <c r="B1827" s="1430"/>
    </row>
    <row r="1828" spans="1:2" x14ac:dyDescent="0.35">
      <c r="A1828" s="1429"/>
      <c r="B1828" s="1430"/>
    </row>
    <row r="1829" spans="1:2" x14ac:dyDescent="0.35">
      <c r="A1829" s="1429"/>
      <c r="B1829" s="1430"/>
    </row>
    <row r="1830" spans="1:2" x14ac:dyDescent="0.35">
      <c r="A1830" s="1429"/>
      <c r="B1830" s="1430"/>
    </row>
    <row r="1831" spans="1:2" x14ac:dyDescent="0.35">
      <c r="A1831" s="1429"/>
      <c r="B1831" s="1430"/>
    </row>
    <row r="1832" spans="1:2" x14ac:dyDescent="0.35">
      <c r="A1832" s="1429"/>
      <c r="B1832" s="1430"/>
    </row>
    <row r="1833" spans="1:2" x14ac:dyDescent="0.35">
      <c r="A1833" s="1429"/>
      <c r="B1833" s="1430"/>
    </row>
    <row r="1834" spans="1:2" x14ac:dyDescent="0.35">
      <c r="A1834" s="1429"/>
      <c r="B1834" s="1430"/>
    </row>
    <row r="1835" spans="1:2" x14ac:dyDescent="0.35">
      <c r="A1835" s="1429"/>
      <c r="B1835" s="1430"/>
    </row>
    <row r="1836" spans="1:2" x14ac:dyDescent="0.35">
      <c r="A1836" s="1429"/>
      <c r="B1836" s="1430"/>
    </row>
    <row r="1837" spans="1:2" x14ac:dyDescent="0.35">
      <c r="A1837" s="1429"/>
      <c r="B1837" s="1430"/>
    </row>
    <row r="1838" spans="1:2" x14ac:dyDescent="0.35">
      <c r="A1838" s="1429"/>
      <c r="B1838" s="1430"/>
    </row>
    <row r="1839" spans="1:2" x14ac:dyDescent="0.35">
      <c r="A1839" s="1429"/>
      <c r="B1839" s="1430"/>
    </row>
    <row r="1840" spans="1:2" x14ac:dyDescent="0.35">
      <c r="A1840" s="1429"/>
      <c r="B1840" s="1430"/>
    </row>
    <row r="1841" spans="1:2" x14ac:dyDescent="0.35">
      <c r="A1841" s="1429"/>
      <c r="B1841" s="1430"/>
    </row>
    <row r="1842" spans="1:2" x14ac:dyDescent="0.35">
      <c r="A1842" s="1429"/>
      <c r="B1842" s="1430"/>
    </row>
    <row r="1843" spans="1:2" x14ac:dyDescent="0.35">
      <c r="A1843" s="1429"/>
      <c r="B1843" s="1430"/>
    </row>
    <row r="1844" spans="1:2" x14ac:dyDescent="0.35">
      <c r="A1844" s="1429"/>
      <c r="B1844" s="1430"/>
    </row>
    <row r="1845" spans="1:2" x14ac:dyDescent="0.35">
      <c r="A1845" s="1429"/>
      <c r="B1845" s="1430"/>
    </row>
    <row r="1846" spans="1:2" x14ac:dyDescent="0.35">
      <c r="A1846" s="1429"/>
      <c r="B1846" s="1430"/>
    </row>
    <row r="1847" spans="1:2" x14ac:dyDescent="0.35">
      <c r="A1847" s="1429"/>
      <c r="B1847" s="1430"/>
    </row>
    <row r="1848" spans="1:2" x14ac:dyDescent="0.35">
      <c r="A1848" s="1429"/>
      <c r="B1848" s="1430"/>
    </row>
    <row r="1849" spans="1:2" x14ac:dyDescent="0.35">
      <c r="A1849" s="1429"/>
      <c r="B1849" s="1430"/>
    </row>
    <row r="1850" spans="1:2" x14ac:dyDescent="0.35">
      <c r="A1850" s="1429"/>
      <c r="B1850" s="1430"/>
    </row>
    <row r="1851" spans="1:2" x14ac:dyDescent="0.35">
      <c r="A1851" s="1429"/>
      <c r="B1851" s="1430"/>
    </row>
    <row r="1852" spans="1:2" x14ac:dyDescent="0.35">
      <c r="A1852" s="1429"/>
      <c r="B1852" s="1430"/>
    </row>
    <row r="1853" spans="1:2" x14ac:dyDescent="0.35">
      <c r="A1853" s="1429"/>
      <c r="B1853" s="1430"/>
    </row>
    <row r="1854" spans="1:2" x14ac:dyDescent="0.35">
      <c r="A1854" s="1429"/>
      <c r="B1854" s="1430"/>
    </row>
    <row r="1855" spans="1:2" x14ac:dyDescent="0.35">
      <c r="A1855" s="1429"/>
      <c r="B1855" s="1430"/>
    </row>
    <row r="1856" spans="1:2" x14ac:dyDescent="0.35">
      <c r="A1856" s="1429"/>
      <c r="B1856" s="1430"/>
    </row>
    <row r="1857" spans="1:2" x14ac:dyDescent="0.35">
      <c r="A1857" s="1429"/>
      <c r="B1857" s="1430"/>
    </row>
    <row r="1858" spans="1:2" x14ac:dyDescent="0.35">
      <c r="A1858" s="1429"/>
      <c r="B1858" s="1430"/>
    </row>
    <row r="1859" spans="1:2" x14ac:dyDescent="0.35">
      <c r="A1859" s="1429"/>
      <c r="B1859" s="1430"/>
    </row>
    <row r="1860" spans="1:2" x14ac:dyDescent="0.35">
      <c r="A1860" s="1429"/>
      <c r="B1860" s="1430"/>
    </row>
    <row r="1861" spans="1:2" x14ac:dyDescent="0.35">
      <c r="A1861" s="1429"/>
      <c r="B1861" s="1430"/>
    </row>
    <row r="1862" spans="1:2" x14ac:dyDescent="0.35">
      <c r="A1862" s="1429"/>
      <c r="B1862" s="1430"/>
    </row>
    <row r="1863" spans="1:2" x14ac:dyDescent="0.35">
      <c r="A1863" s="1429"/>
      <c r="B1863" s="1430"/>
    </row>
    <row r="1864" spans="1:2" x14ac:dyDescent="0.35">
      <c r="A1864" s="1429"/>
      <c r="B1864" s="1430"/>
    </row>
    <row r="1865" spans="1:2" x14ac:dyDescent="0.35">
      <c r="A1865" s="1429"/>
      <c r="B1865" s="1430"/>
    </row>
    <row r="1866" spans="1:2" x14ac:dyDescent="0.35">
      <c r="A1866" s="1429"/>
      <c r="B1866" s="1430"/>
    </row>
    <row r="1867" spans="1:2" x14ac:dyDescent="0.35">
      <c r="A1867" s="1429"/>
      <c r="B1867" s="1430"/>
    </row>
    <row r="1868" spans="1:2" x14ac:dyDescent="0.35">
      <c r="A1868" s="1429"/>
      <c r="B1868" s="1430"/>
    </row>
    <row r="1869" spans="1:2" x14ac:dyDescent="0.35">
      <c r="A1869" s="1429"/>
      <c r="B1869" s="1430"/>
    </row>
    <row r="1870" spans="1:2" x14ac:dyDescent="0.35">
      <c r="A1870" s="1429"/>
      <c r="B1870" s="1430"/>
    </row>
    <row r="1871" spans="1:2" x14ac:dyDescent="0.35">
      <c r="A1871" s="1429"/>
      <c r="B1871" s="1430"/>
    </row>
    <row r="1872" spans="1:2" x14ac:dyDescent="0.35">
      <c r="A1872" s="1429"/>
      <c r="B1872" s="1430"/>
    </row>
    <row r="1873" spans="1:2" x14ac:dyDescent="0.35">
      <c r="A1873" s="1429"/>
      <c r="B1873" s="1430"/>
    </row>
    <row r="1874" spans="1:2" x14ac:dyDescent="0.35">
      <c r="A1874" s="1429"/>
      <c r="B1874" s="1430"/>
    </row>
    <row r="1875" spans="1:2" x14ac:dyDescent="0.35">
      <c r="A1875" s="1429"/>
      <c r="B1875" s="1430"/>
    </row>
    <row r="1876" spans="1:2" x14ac:dyDescent="0.35">
      <c r="A1876" s="1429"/>
      <c r="B1876" s="1430"/>
    </row>
    <row r="1877" spans="1:2" x14ac:dyDescent="0.35">
      <c r="A1877" s="1429"/>
      <c r="B1877" s="1430"/>
    </row>
    <row r="1878" spans="1:2" x14ac:dyDescent="0.35">
      <c r="A1878" s="1429"/>
      <c r="B1878" s="1430"/>
    </row>
    <row r="1879" spans="1:2" x14ac:dyDescent="0.35">
      <c r="A1879" s="1429"/>
      <c r="B1879" s="1430"/>
    </row>
    <row r="1880" spans="1:2" x14ac:dyDescent="0.35">
      <c r="A1880" s="1429"/>
      <c r="B1880" s="1430"/>
    </row>
    <row r="1881" spans="1:2" x14ac:dyDescent="0.35">
      <c r="A1881" s="1429"/>
      <c r="B1881" s="1430"/>
    </row>
    <row r="1882" spans="1:2" x14ac:dyDescent="0.35">
      <c r="A1882" s="1429"/>
      <c r="B1882" s="1430"/>
    </row>
    <row r="1883" spans="1:2" x14ac:dyDescent="0.35">
      <c r="A1883" s="1429"/>
      <c r="B1883" s="1430"/>
    </row>
    <row r="1884" spans="1:2" x14ac:dyDescent="0.35">
      <c r="A1884" s="1429"/>
      <c r="B1884" s="1430"/>
    </row>
    <row r="1885" spans="1:2" x14ac:dyDescent="0.35">
      <c r="A1885" s="1429"/>
      <c r="B1885" s="1430"/>
    </row>
    <row r="1886" spans="1:2" x14ac:dyDescent="0.35">
      <c r="A1886" s="1429"/>
      <c r="B1886" s="1430"/>
    </row>
    <row r="1887" spans="1:2" x14ac:dyDescent="0.35">
      <c r="A1887" s="1429"/>
      <c r="B1887" s="1430"/>
    </row>
    <row r="1888" spans="1:2" x14ac:dyDescent="0.35">
      <c r="A1888" s="1429"/>
      <c r="B1888" s="1430"/>
    </row>
    <row r="1889" spans="1:2" x14ac:dyDescent="0.35">
      <c r="A1889" s="1429"/>
      <c r="B1889" s="1430"/>
    </row>
    <row r="1890" spans="1:2" x14ac:dyDescent="0.35">
      <c r="A1890" s="1429"/>
      <c r="B1890" s="1430"/>
    </row>
    <row r="1891" spans="1:2" x14ac:dyDescent="0.35">
      <c r="A1891" s="1429"/>
      <c r="B1891" s="1430"/>
    </row>
    <row r="1892" spans="1:2" x14ac:dyDescent="0.35">
      <c r="A1892" s="1429"/>
      <c r="B1892" s="1430"/>
    </row>
    <row r="1893" spans="1:2" x14ac:dyDescent="0.35">
      <c r="A1893" s="1429"/>
      <c r="B1893" s="1430"/>
    </row>
    <row r="1894" spans="1:2" x14ac:dyDescent="0.35">
      <c r="A1894" s="1429"/>
      <c r="B1894" s="1430"/>
    </row>
    <row r="1895" spans="1:2" x14ac:dyDescent="0.35">
      <c r="A1895" s="1429"/>
      <c r="B1895" s="1430"/>
    </row>
    <row r="1896" spans="1:2" x14ac:dyDescent="0.35">
      <c r="A1896" s="1429"/>
      <c r="B1896" s="1430"/>
    </row>
    <row r="1897" spans="1:2" x14ac:dyDescent="0.35">
      <c r="A1897" s="1429"/>
      <c r="B1897" s="1430"/>
    </row>
    <row r="1898" spans="1:2" x14ac:dyDescent="0.35">
      <c r="A1898" s="1429"/>
      <c r="B1898" s="1430"/>
    </row>
    <row r="1899" spans="1:2" x14ac:dyDescent="0.35">
      <c r="A1899" s="1429"/>
      <c r="B1899" s="1430"/>
    </row>
    <row r="1900" spans="1:2" x14ac:dyDescent="0.35">
      <c r="A1900" s="1429"/>
      <c r="B1900" s="1430"/>
    </row>
    <row r="1901" spans="1:2" x14ac:dyDescent="0.35">
      <c r="A1901" s="1429"/>
      <c r="B1901" s="1430"/>
    </row>
    <row r="1902" spans="1:2" x14ac:dyDescent="0.35">
      <c r="A1902" s="1429"/>
      <c r="B1902" s="1430"/>
    </row>
    <row r="1903" spans="1:2" x14ac:dyDescent="0.35">
      <c r="A1903" s="1429"/>
      <c r="B1903" s="1430"/>
    </row>
    <row r="1904" spans="1:2" x14ac:dyDescent="0.35">
      <c r="A1904" s="1429"/>
      <c r="B1904" s="1430"/>
    </row>
    <row r="1905" spans="1:2" x14ac:dyDescent="0.35">
      <c r="A1905" s="1429"/>
      <c r="B1905" s="1430"/>
    </row>
    <row r="1906" spans="1:2" x14ac:dyDescent="0.35">
      <c r="A1906" s="1429"/>
      <c r="B1906" s="1430"/>
    </row>
    <row r="1907" spans="1:2" x14ac:dyDescent="0.35">
      <c r="A1907" s="1429"/>
      <c r="B1907" s="1430"/>
    </row>
    <row r="1908" spans="1:2" x14ac:dyDescent="0.35">
      <c r="A1908" s="1429"/>
      <c r="B1908" s="1430"/>
    </row>
    <row r="1909" spans="1:2" x14ac:dyDescent="0.35">
      <c r="A1909" s="1429"/>
      <c r="B1909" s="1430"/>
    </row>
    <row r="1910" spans="1:2" x14ac:dyDescent="0.35">
      <c r="A1910" s="1429"/>
      <c r="B1910" s="1430"/>
    </row>
    <row r="1911" spans="1:2" x14ac:dyDescent="0.35">
      <c r="A1911" s="1429"/>
      <c r="B1911" s="1430"/>
    </row>
    <row r="1912" spans="1:2" x14ac:dyDescent="0.35">
      <c r="A1912" s="1429"/>
      <c r="B1912" s="1430"/>
    </row>
    <row r="1913" spans="1:2" x14ac:dyDescent="0.35">
      <c r="A1913" s="1429"/>
      <c r="B1913" s="1430"/>
    </row>
    <row r="1914" spans="1:2" x14ac:dyDescent="0.35">
      <c r="A1914" s="1429"/>
      <c r="B1914" s="1430"/>
    </row>
    <row r="1915" spans="1:2" x14ac:dyDescent="0.35">
      <c r="A1915" s="1429"/>
      <c r="B1915" s="1430"/>
    </row>
    <row r="1916" spans="1:2" x14ac:dyDescent="0.35">
      <c r="A1916" s="1429"/>
      <c r="B1916" s="1430"/>
    </row>
    <row r="1917" spans="1:2" x14ac:dyDescent="0.35">
      <c r="A1917" s="1429"/>
      <c r="B1917" s="1430"/>
    </row>
    <row r="1918" spans="1:2" x14ac:dyDescent="0.35">
      <c r="A1918" s="1429"/>
      <c r="B1918" s="1430"/>
    </row>
    <row r="1919" spans="1:2" x14ac:dyDescent="0.35">
      <c r="A1919" s="1429"/>
      <c r="B1919" s="1430"/>
    </row>
    <row r="1920" spans="1:2" x14ac:dyDescent="0.35">
      <c r="A1920" s="1429"/>
      <c r="B1920" s="1430"/>
    </row>
    <row r="1921" spans="1:2" x14ac:dyDescent="0.35">
      <c r="A1921" s="1429"/>
      <c r="B1921" s="1430"/>
    </row>
    <row r="1922" spans="1:2" x14ac:dyDescent="0.35">
      <c r="A1922" s="1429"/>
      <c r="B1922" s="1430"/>
    </row>
    <row r="1923" spans="1:2" x14ac:dyDescent="0.35">
      <c r="A1923" s="1429"/>
      <c r="B1923" s="1430"/>
    </row>
    <row r="1924" spans="1:2" x14ac:dyDescent="0.35">
      <c r="A1924" s="1429"/>
      <c r="B1924" s="1430"/>
    </row>
    <row r="1925" spans="1:2" x14ac:dyDescent="0.35">
      <c r="A1925" s="1429"/>
      <c r="B1925" s="1430"/>
    </row>
    <row r="1926" spans="1:2" x14ac:dyDescent="0.35">
      <c r="A1926" s="1429"/>
      <c r="B1926" s="1430"/>
    </row>
    <row r="1927" spans="1:2" x14ac:dyDescent="0.35">
      <c r="A1927" s="1429"/>
      <c r="B1927" s="1430"/>
    </row>
    <row r="1928" spans="1:2" x14ac:dyDescent="0.35">
      <c r="A1928" s="1429"/>
      <c r="B1928" s="1430"/>
    </row>
    <row r="1929" spans="1:2" x14ac:dyDescent="0.35">
      <c r="A1929" s="1429"/>
      <c r="B1929" s="1430"/>
    </row>
    <row r="1930" spans="1:2" x14ac:dyDescent="0.35">
      <c r="A1930" s="1429"/>
      <c r="B1930" s="1430"/>
    </row>
    <row r="1931" spans="1:2" x14ac:dyDescent="0.35">
      <c r="A1931" s="1429"/>
      <c r="B1931" s="1430"/>
    </row>
    <row r="1932" spans="1:2" x14ac:dyDescent="0.35">
      <c r="A1932" s="1429"/>
      <c r="B1932" s="1430"/>
    </row>
    <row r="1933" spans="1:2" x14ac:dyDescent="0.35">
      <c r="A1933" s="1429"/>
      <c r="B1933" s="1430"/>
    </row>
    <row r="1934" spans="1:2" x14ac:dyDescent="0.35">
      <c r="A1934" s="1429"/>
      <c r="B1934" s="1430"/>
    </row>
    <row r="1935" spans="1:2" x14ac:dyDescent="0.35">
      <c r="A1935" s="1429"/>
      <c r="B1935" s="1430"/>
    </row>
    <row r="1936" spans="1:2" x14ac:dyDescent="0.35">
      <c r="A1936" s="1429"/>
      <c r="B1936" s="1430"/>
    </row>
    <row r="1937" spans="1:2" x14ac:dyDescent="0.35">
      <c r="A1937" s="1429"/>
      <c r="B1937" s="1430"/>
    </row>
    <row r="1938" spans="1:2" x14ac:dyDescent="0.35">
      <c r="A1938" s="1429"/>
      <c r="B1938" s="1430"/>
    </row>
    <row r="1939" spans="1:2" x14ac:dyDescent="0.35">
      <c r="A1939" s="1429"/>
      <c r="B1939" s="1430"/>
    </row>
    <row r="1940" spans="1:2" x14ac:dyDescent="0.35">
      <c r="A1940" s="1429"/>
      <c r="B1940" s="1430"/>
    </row>
    <row r="1941" spans="1:2" x14ac:dyDescent="0.35">
      <c r="A1941" s="1429"/>
      <c r="B1941" s="1430"/>
    </row>
    <row r="1942" spans="1:2" x14ac:dyDescent="0.35">
      <c r="A1942" s="1429"/>
      <c r="B1942" s="1430"/>
    </row>
    <row r="1943" spans="1:2" x14ac:dyDescent="0.35">
      <c r="A1943" s="1429"/>
      <c r="B1943" s="1430"/>
    </row>
    <row r="1944" spans="1:2" x14ac:dyDescent="0.35">
      <c r="A1944" s="1429"/>
      <c r="B1944" s="1430"/>
    </row>
    <row r="1945" spans="1:2" x14ac:dyDescent="0.35">
      <c r="A1945" s="1429"/>
      <c r="B1945" s="1430"/>
    </row>
    <row r="1946" spans="1:2" x14ac:dyDescent="0.35">
      <c r="A1946" s="1429"/>
      <c r="B1946" s="1430"/>
    </row>
    <row r="1947" spans="1:2" x14ac:dyDescent="0.35">
      <c r="A1947" s="1429"/>
      <c r="B1947" s="1430"/>
    </row>
    <row r="1948" spans="1:2" x14ac:dyDescent="0.35">
      <c r="A1948" s="1429"/>
      <c r="B1948" s="1430"/>
    </row>
    <row r="1949" spans="1:2" x14ac:dyDescent="0.35">
      <c r="A1949" s="1429"/>
      <c r="B1949" s="1430"/>
    </row>
    <row r="1950" spans="1:2" x14ac:dyDescent="0.35">
      <c r="A1950" s="1429"/>
      <c r="B1950" s="1430"/>
    </row>
    <row r="1951" spans="1:2" x14ac:dyDescent="0.35">
      <c r="A1951" s="1429"/>
      <c r="B1951" s="1430"/>
    </row>
    <row r="1952" spans="1:2" x14ac:dyDescent="0.35">
      <c r="A1952" s="1429"/>
      <c r="B1952" s="1430"/>
    </row>
    <row r="1953" spans="1:2" x14ac:dyDescent="0.35">
      <c r="A1953" s="1429"/>
      <c r="B1953" s="1430"/>
    </row>
    <row r="1954" spans="1:2" x14ac:dyDescent="0.35">
      <c r="A1954" s="1429"/>
      <c r="B1954" s="1430"/>
    </row>
    <row r="1955" spans="1:2" x14ac:dyDescent="0.35">
      <c r="A1955" s="1429"/>
      <c r="B1955" s="1430"/>
    </row>
    <row r="1956" spans="1:2" x14ac:dyDescent="0.35">
      <c r="A1956" s="1429"/>
      <c r="B1956" s="1430"/>
    </row>
    <row r="1957" spans="1:2" x14ac:dyDescent="0.35">
      <c r="A1957" s="1429"/>
      <c r="B1957" s="1430"/>
    </row>
    <row r="1958" spans="1:2" x14ac:dyDescent="0.35">
      <c r="A1958" s="1429"/>
      <c r="B1958" s="1430"/>
    </row>
    <row r="1959" spans="1:2" x14ac:dyDescent="0.35">
      <c r="A1959" s="1429"/>
      <c r="B1959" s="1430"/>
    </row>
    <row r="1960" spans="1:2" x14ac:dyDescent="0.35">
      <c r="A1960" s="1429"/>
      <c r="B1960" s="1430"/>
    </row>
    <row r="1961" spans="1:2" x14ac:dyDescent="0.35">
      <c r="A1961" s="1429"/>
      <c r="B1961" s="1430"/>
    </row>
    <row r="1962" spans="1:2" x14ac:dyDescent="0.35">
      <c r="A1962" s="1429"/>
      <c r="B1962" s="1430"/>
    </row>
    <row r="1963" spans="1:2" x14ac:dyDescent="0.35">
      <c r="A1963" s="1429"/>
      <c r="B1963" s="1430"/>
    </row>
    <row r="1964" spans="1:2" x14ac:dyDescent="0.35">
      <c r="A1964" s="1429"/>
      <c r="B1964" s="1430"/>
    </row>
    <row r="1965" spans="1:2" x14ac:dyDescent="0.35">
      <c r="A1965" s="1429"/>
      <c r="B1965" s="1430"/>
    </row>
    <row r="1966" spans="1:2" x14ac:dyDescent="0.35">
      <c r="A1966" s="1429"/>
      <c r="B1966" s="1430"/>
    </row>
    <row r="1967" spans="1:2" x14ac:dyDescent="0.35">
      <c r="A1967" s="1429"/>
      <c r="B1967" s="1430"/>
    </row>
    <row r="1968" spans="1:2" x14ac:dyDescent="0.35">
      <c r="A1968" s="1429"/>
      <c r="B1968" s="1430"/>
    </row>
    <row r="1969" spans="1:2" x14ac:dyDescent="0.35">
      <c r="A1969" s="1429"/>
      <c r="B1969" s="1430"/>
    </row>
    <row r="1970" spans="1:2" x14ac:dyDescent="0.35">
      <c r="A1970" s="1429"/>
      <c r="B1970" s="1430"/>
    </row>
    <row r="1971" spans="1:2" x14ac:dyDescent="0.35">
      <c r="A1971" s="1429"/>
      <c r="B1971" s="1430"/>
    </row>
    <row r="1972" spans="1:2" x14ac:dyDescent="0.35">
      <c r="A1972" s="1429"/>
      <c r="B1972" s="1430"/>
    </row>
    <row r="1973" spans="1:2" x14ac:dyDescent="0.35">
      <c r="A1973" s="1429"/>
      <c r="B1973" s="1430"/>
    </row>
    <row r="1974" spans="1:2" x14ac:dyDescent="0.35">
      <c r="A1974" s="1429"/>
      <c r="B1974" s="1430"/>
    </row>
    <row r="1975" spans="1:2" x14ac:dyDescent="0.35">
      <c r="A1975" s="1429"/>
      <c r="B1975" s="1430"/>
    </row>
    <row r="1976" spans="1:2" x14ac:dyDescent="0.35">
      <c r="A1976" s="1429"/>
      <c r="B1976" s="1430"/>
    </row>
    <row r="1977" spans="1:2" x14ac:dyDescent="0.35">
      <c r="A1977" s="1429"/>
      <c r="B1977" s="1430"/>
    </row>
    <row r="1978" spans="1:2" x14ac:dyDescent="0.35">
      <c r="A1978" s="1429"/>
      <c r="B1978" s="1430"/>
    </row>
    <row r="1979" spans="1:2" x14ac:dyDescent="0.35">
      <c r="A1979" s="1429"/>
      <c r="B1979" s="1430"/>
    </row>
    <row r="1980" spans="1:2" x14ac:dyDescent="0.35">
      <c r="A1980" s="1429"/>
      <c r="B1980" s="1430"/>
    </row>
    <row r="1981" spans="1:2" x14ac:dyDescent="0.35">
      <c r="A1981" s="1429"/>
      <c r="B1981" s="1430"/>
    </row>
    <row r="1982" spans="1:2" x14ac:dyDescent="0.35">
      <c r="A1982" s="1429"/>
      <c r="B1982" s="1430"/>
    </row>
    <row r="1983" spans="1:2" x14ac:dyDescent="0.35">
      <c r="A1983" s="1429"/>
      <c r="B1983" s="1430"/>
    </row>
    <row r="1984" spans="1:2" x14ac:dyDescent="0.35">
      <c r="A1984" s="1429"/>
      <c r="B1984" s="1430"/>
    </row>
    <row r="1985" spans="1:2" x14ac:dyDescent="0.35">
      <c r="A1985" s="1429"/>
      <c r="B1985" s="1430"/>
    </row>
    <row r="1986" spans="1:2" x14ac:dyDescent="0.35">
      <c r="A1986" s="1429"/>
      <c r="B1986" s="1430"/>
    </row>
    <row r="1987" spans="1:2" x14ac:dyDescent="0.35">
      <c r="A1987" s="1429"/>
      <c r="B1987" s="1430"/>
    </row>
    <row r="1988" spans="1:2" x14ac:dyDescent="0.35">
      <c r="A1988" s="1429"/>
      <c r="B1988" s="1430"/>
    </row>
    <row r="1989" spans="1:2" x14ac:dyDescent="0.35">
      <c r="A1989" s="1429"/>
      <c r="B1989" s="1430"/>
    </row>
    <row r="1990" spans="1:2" x14ac:dyDescent="0.35">
      <c r="A1990" s="1429"/>
      <c r="B1990" s="1430"/>
    </row>
    <row r="1991" spans="1:2" x14ac:dyDescent="0.35">
      <c r="A1991" s="1429"/>
      <c r="B1991" s="1430"/>
    </row>
    <row r="1992" spans="1:2" x14ac:dyDescent="0.35">
      <c r="A1992" s="1429"/>
      <c r="B1992" s="1430"/>
    </row>
    <row r="1993" spans="1:2" x14ac:dyDescent="0.35">
      <c r="A1993" s="1429"/>
      <c r="B1993" s="1430"/>
    </row>
    <row r="1994" spans="1:2" x14ac:dyDescent="0.35">
      <c r="A1994" s="1429"/>
      <c r="B1994" s="1430"/>
    </row>
    <row r="1995" spans="1:2" x14ac:dyDescent="0.35">
      <c r="A1995" s="1429"/>
      <c r="B1995" s="1430"/>
    </row>
    <row r="1996" spans="1:2" x14ac:dyDescent="0.35">
      <c r="A1996" s="1429"/>
      <c r="B1996" s="1430"/>
    </row>
    <row r="1997" spans="1:2" x14ac:dyDescent="0.35">
      <c r="A1997" s="1429"/>
      <c r="B1997" s="1430"/>
    </row>
    <row r="1998" spans="1:2" x14ac:dyDescent="0.35">
      <c r="A1998" s="1429"/>
      <c r="B1998" s="1430"/>
    </row>
    <row r="1999" spans="1:2" x14ac:dyDescent="0.35">
      <c r="A1999" s="1429"/>
      <c r="B1999" s="1430"/>
    </row>
    <row r="2000" spans="1:2" x14ac:dyDescent="0.35">
      <c r="A2000" s="1429"/>
      <c r="B2000" s="1430"/>
    </row>
    <row r="2001" spans="1:2" x14ac:dyDescent="0.35">
      <c r="A2001" s="1429"/>
      <c r="B2001" s="1430"/>
    </row>
    <row r="2002" spans="1:2" x14ac:dyDescent="0.35">
      <c r="A2002" s="1429"/>
      <c r="B2002" s="1430"/>
    </row>
    <row r="2003" spans="1:2" x14ac:dyDescent="0.35">
      <c r="A2003" s="1429"/>
      <c r="B2003" s="1430"/>
    </row>
    <row r="2004" spans="1:2" x14ac:dyDescent="0.35">
      <c r="A2004" s="1429"/>
      <c r="B2004" s="1430"/>
    </row>
    <row r="2005" spans="1:2" x14ac:dyDescent="0.35">
      <c r="A2005" s="1429"/>
      <c r="B2005" s="1430"/>
    </row>
    <row r="2006" spans="1:2" x14ac:dyDescent="0.35">
      <c r="A2006" s="1429"/>
      <c r="B2006" s="1430"/>
    </row>
    <row r="2007" spans="1:2" x14ac:dyDescent="0.35">
      <c r="A2007" s="1429"/>
      <c r="B2007" s="1430"/>
    </row>
    <row r="2008" spans="1:2" x14ac:dyDescent="0.35">
      <c r="A2008" s="1429"/>
      <c r="B2008" s="1430"/>
    </row>
    <row r="2009" spans="1:2" x14ac:dyDescent="0.35">
      <c r="A2009" s="1429"/>
      <c r="B2009" s="1430"/>
    </row>
    <row r="2010" spans="1:2" x14ac:dyDescent="0.35">
      <c r="A2010" s="1429"/>
      <c r="B2010" s="1430"/>
    </row>
    <row r="2011" spans="1:2" x14ac:dyDescent="0.35">
      <c r="A2011" s="1429"/>
      <c r="B2011" s="1430"/>
    </row>
    <row r="2012" spans="1:2" x14ac:dyDescent="0.35">
      <c r="A2012" s="1429"/>
      <c r="B2012" s="1430"/>
    </row>
    <row r="2013" spans="1:2" x14ac:dyDescent="0.35">
      <c r="A2013" s="1429"/>
      <c r="B2013" s="1430"/>
    </row>
    <row r="2014" spans="1:2" x14ac:dyDescent="0.35">
      <c r="A2014" s="1429"/>
      <c r="B2014" s="1430"/>
    </row>
    <row r="2015" spans="1:2" x14ac:dyDescent="0.35">
      <c r="A2015" s="1429"/>
      <c r="B2015" s="1430"/>
    </row>
    <row r="2016" spans="1:2" x14ac:dyDescent="0.35">
      <c r="A2016" s="1429"/>
      <c r="B2016" s="1430"/>
    </row>
    <row r="2017" spans="1:2" x14ac:dyDescent="0.35">
      <c r="A2017" s="1429"/>
      <c r="B2017" s="1430"/>
    </row>
    <row r="2018" spans="1:2" x14ac:dyDescent="0.35">
      <c r="A2018" s="1429"/>
      <c r="B2018" s="1430"/>
    </row>
    <row r="2019" spans="1:2" x14ac:dyDescent="0.35">
      <c r="A2019" s="1429"/>
      <c r="B2019" s="1430"/>
    </row>
    <row r="2020" spans="1:2" x14ac:dyDescent="0.35">
      <c r="A2020" s="1429"/>
      <c r="B2020" s="1430"/>
    </row>
    <row r="2021" spans="1:2" x14ac:dyDescent="0.35">
      <c r="A2021" s="1429"/>
      <c r="B2021" s="1430"/>
    </row>
    <row r="2022" spans="1:2" x14ac:dyDescent="0.35">
      <c r="A2022" s="1429"/>
      <c r="B2022" s="1430"/>
    </row>
    <row r="2023" spans="1:2" x14ac:dyDescent="0.35">
      <c r="A2023" s="1429"/>
      <c r="B2023" s="1430"/>
    </row>
    <row r="2024" spans="1:2" x14ac:dyDescent="0.35">
      <c r="A2024" s="1429"/>
      <c r="B2024" s="1430"/>
    </row>
    <row r="2025" spans="1:2" x14ac:dyDescent="0.35">
      <c r="A2025" s="1429"/>
      <c r="B2025" s="1430"/>
    </row>
    <row r="2026" spans="1:2" x14ac:dyDescent="0.35">
      <c r="A2026" s="1429"/>
      <c r="B2026" s="1430"/>
    </row>
    <row r="2027" spans="1:2" x14ac:dyDescent="0.35">
      <c r="A2027" s="1429"/>
      <c r="B2027" s="1430"/>
    </row>
    <row r="2028" spans="1:2" x14ac:dyDescent="0.35">
      <c r="A2028" s="1429"/>
      <c r="B2028" s="1430"/>
    </row>
    <row r="2029" spans="1:2" x14ac:dyDescent="0.35">
      <c r="A2029" s="1429"/>
      <c r="B2029" s="1430"/>
    </row>
    <row r="2030" spans="1:2" x14ac:dyDescent="0.35">
      <c r="A2030" s="1429"/>
      <c r="B2030" s="1430"/>
    </row>
    <row r="2031" spans="1:2" x14ac:dyDescent="0.35">
      <c r="A2031" s="1429"/>
      <c r="B2031" s="1430"/>
    </row>
    <row r="2032" spans="1:2" x14ac:dyDescent="0.35">
      <c r="A2032" s="1429"/>
      <c r="B2032" s="1430"/>
    </row>
    <row r="2033" spans="1:2" x14ac:dyDescent="0.35">
      <c r="A2033" s="1429"/>
      <c r="B2033" s="1430"/>
    </row>
    <row r="2034" spans="1:2" x14ac:dyDescent="0.35">
      <c r="A2034" s="1429"/>
      <c r="B2034" s="1430"/>
    </row>
    <row r="2035" spans="1:2" x14ac:dyDescent="0.35">
      <c r="A2035" s="1429"/>
      <c r="B2035" s="1430"/>
    </row>
    <row r="2036" spans="1:2" x14ac:dyDescent="0.35">
      <c r="A2036" s="1429"/>
      <c r="B2036" s="1430"/>
    </row>
    <row r="2037" spans="1:2" x14ac:dyDescent="0.35">
      <c r="A2037" s="1429"/>
      <c r="B2037" s="1430"/>
    </row>
    <row r="2038" spans="1:2" x14ac:dyDescent="0.35">
      <c r="A2038" s="1429"/>
      <c r="B2038" s="1430"/>
    </row>
    <row r="2039" spans="1:2" x14ac:dyDescent="0.35">
      <c r="A2039" s="1429"/>
      <c r="B2039" s="1430"/>
    </row>
    <row r="2040" spans="1:2" x14ac:dyDescent="0.35">
      <c r="A2040" s="1429"/>
      <c r="B2040" s="1430"/>
    </row>
    <row r="2041" spans="1:2" x14ac:dyDescent="0.35">
      <c r="A2041" s="1429"/>
      <c r="B2041" s="1430"/>
    </row>
    <row r="2042" spans="1:2" x14ac:dyDescent="0.35">
      <c r="A2042" s="1429"/>
      <c r="B2042" s="1430"/>
    </row>
    <row r="2043" spans="1:2" x14ac:dyDescent="0.35">
      <c r="A2043" s="1429"/>
      <c r="B2043" s="1430"/>
    </row>
    <row r="2044" spans="1:2" x14ac:dyDescent="0.35">
      <c r="A2044" s="1429"/>
      <c r="B2044" s="1430"/>
    </row>
    <row r="2045" spans="1:2" x14ac:dyDescent="0.35">
      <c r="A2045" s="1429"/>
      <c r="B2045" s="1430"/>
    </row>
    <row r="2046" spans="1:2" x14ac:dyDescent="0.35">
      <c r="A2046" s="1429"/>
      <c r="B2046" s="1430"/>
    </row>
    <row r="2047" spans="1:2" x14ac:dyDescent="0.35">
      <c r="A2047" s="1429"/>
      <c r="B2047" s="1430"/>
    </row>
    <row r="2048" spans="1:2" x14ac:dyDescent="0.35">
      <c r="A2048" s="1429"/>
      <c r="B2048" s="1430"/>
    </row>
    <row r="2049" spans="1:2" x14ac:dyDescent="0.35">
      <c r="A2049" s="1429"/>
      <c r="B2049" s="1430"/>
    </row>
    <row r="2050" spans="1:2" x14ac:dyDescent="0.35">
      <c r="A2050" s="1429"/>
      <c r="B2050" s="1430"/>
    </row>
    <row r="2051" spans="1:2" x14ac:dyDescent="0.35">
      <c r="A2051" s="1429"/>
      <c r="B2051" s="1430"/>
    </row>
    <row r="2052" spans="1:2" x14ac:dyDescent="0.35">
      <c r="A2052" s="1429"/>
      <c r="B2052" s="1430"/>
    </row>
    <row r="2053" spans="1:2" x14ac:dyDescent="0.35">
      <c r="A2053" s="1429"/>
      <c r="B2053" s="1430"/>
    </row>
    <row r="2054" spans="1:2" x14ac:dyDescent="0.35">
      <c r="A2054" s="1429"/>
      <c r="B2054" s="1430"/>
    </row>
    <row r="2055" spans="1:2" x14ac:dyDescent="0.35">
      <c r="A2055" s="1429"/>
      <c r="B2055" s="1430"/>
    </row>
    <row r="2056" spans="1:2" x14ac:dyDescent="0.35">
      <c r="A2056" s="1429"/>
      <c r="B2056" s="1430"/>
    </row>
    <row r="2057" spans="1:2" x14ac:dyDescent="0.35">
      <c r="A2057" s="1429"/>
      <c r="B2057" s="1430"/>
    </row>
    <row r="2058" spans="1:2" x14ac:dyDescent="0.35">
      <c r="A2058" s="1429"/>
      <c r="B2058" s="1430"/>
    </row>
    <row r="2059" spans="1:2" x14ac:dyDescent="0.35">
      <c r="A2059" s="1429"/>
      <c r="B2059" s="1430"/>
    </row>
    <row r="2060" spans="1:2" x14ac:dyDescent="0.35">
      <c r="A2060" s="1429"/>
      <c r="B2060" s="1430"/>
    </row>
    <row r="2061" spans="1:2" x14ac:dyDescent="0.35">
      <c r="A2061" s="1429"/>
      <c r="B2061" s="1430"/>
    </row>
    <row r="2062" spans="1:2" x14ac:dyDescent="0.35">
      <c r="A2062" s="1429"/>
      <c r="B2062" s="1430"/>
    </row>
    <row r="2063" spans="1:2" x14ac:dyDescent="0.35">
      <c r="A2063" s="1429"/>
      <c r="B2063" s="1430"/>
    </row>
    <row r="2064" spans="1:2" x14ac:dyDescent="0.35">
      <c r="A2064" s="1429"/>
      <c r="B2064" s="1430"/>
    </row>
    <row r="2065" spans="1:2" x14ac:dyDescent="0.35">
      <c r="A2065" s="1429"/>
      <c r="B2065" s="1430"/>
    </row>
    <row r="2066" spans="1:2" x14ac:dyDescent="0.35">
      <c r="A2066" s="1429"/>
      <c r="B2066" s="1430"/>
    </row>
    <row r="2067" spans="1:2" x14ac:dyDescent="0.35">
      <c r="A2067" s="1429"/>
      <c r="B2067" s="1430"/>
    </row>
    <row r="2068" spans="1:2" x14ac:dyDescent="0.35">
      <c r="A2068" s="1429"/>
      <c r="B2068" s="1430"/>
    </row>
    <row r="2069" spans="1:2" x14ac:dyDescent="0.35">
      <c r="A2069" s="1429"/>
      <c r="B2069" s="1430"/>
    </row>
    <row r="2070" spans="1:2" x14ac:dyDescent="0.35">
      <c r="A2070" s="1429"/>
      <c r="B2070" s="1430"/>
    </row>
    <row r="2071" spans="1:2" x14ac:dyDescent="0.35">
      <c r="A2071" s="1429"/>
      <c r="B2071" s="1430"/>
    </row>
    <row r="2072" spans="1:2" x14ac:dyDescent="0.35">
      <c r="A2072" s="1429"/>
      <c r="B2072" s="1430"/>
    </row>
    <row r="2073" spans="1:2" x14ac:dyDescent="0.35">
      <c r="A2073" s="1429"/>
      <c r="B2073" s="1430"/>
    </row>
    <row r="2074" spans="1:2" x14ac:dyDescent="0.35">
      <c r="A2074" s="1429"/>
      <c r="B2074" s="1430"/>
    </row>
    <row r="2075" spans="1:2" x14ac:dyDescent="0.35">
      <c r="A2075" s="1429"/>
      <c r="B2075" s="1430"/>
    </row>
    <row r="2076" spans="1:2" x14ac:dyDescent="0.35">
      <c r="A2076" s="1429"/>
      <c r="B2076" s="1430"/>
    </row>
    <row r="2077" spans="1:2" x14ac:dyDescent="0.35">
      <c r="A2077" s="1429"/>
      <c r="B2077" s="1430"/>
    </row>
    <row r="2078" spans="1:2" x14ac:dyDescent="0.35">
      <c r="A2078" s="1429"/>
      <c r="B2078" s="1430"/>
    </row>
    <row r="2079" spans="1:2" x14ac:dyDescent="0.35">
      <c r="A2079" s="1429"/>
      <c r="B2079" s="1430"/>
    </row>
    <row r="2080" spans="1:2" x14ac:dyDescent="0.35">
      <c r="A2080" s="1429"/>
      <c r="B2080" s="1430"/>
    </row>
    <row r="2081" spans="1:2" x14ac:dyDescent="0.35">
      <c r="A2081" s="1429"/>
      <c r="B2081" s="1430"/>
    </row>
    <row r="2082" spans="1:2" x14ac:dyDescent="0.35">
      <c r="A2082" s="1429"/>
      <c r="B2082" s="1430"/>
    </row>
    <row r="2083" spans="1:2" x14ac:dyDescent="0.35">
      <c r="A2083" s="1429"/>
      <c r="B2083" s="1430"/>
    </row>
    <row r="2084" spans="1:2" x14ac:dyDescent="0.35">
      <c r="A2084" s="1429"/>
      <c r="B2084" s="1430"/>
    </row>
    <row r="2085" spans="1:2" x14ac:dyDescent="0.35">
      <c r="A2085" s="1429"/>
      <c r="B2085" s="1430"/>
    </row>
    <row r="2086" spans="1:2" x14ac:dyDescent="0.35">
      <c r="A2086" s="1429"/>
      <c r="B2086" s="1430"/>
    </row>
    <row r="2087" spans="1:2" x14ac:dyDescent="0.35">
      <c r="A2087" s="1429"/>
      <c r="B2087" s="1430"/>
    </row>
    <row r="2088" spans="1:2" x14ac:dyDescent="0.35">
      <c r="A2088" s="1429"/>
      <c r="B2088" s="1430"/>
    </row>
    <row r="2089" spans="1:2" x14ac:dyDescent="0.35">
      <c r="A2089" s="1429"/>
      <c r="B2089" s="1430"/>
    </row>
    <row r="2090" spans="1:2" x14ac:dyDescent="0.35">
      <c r="A2090" s="1429"/>
      <c r="B2090" s="1430"/>
    </row>
    <row r="2091" spans="1:2" x14ac:dyDescent="0.35">
      <c r="A2091" s="1429"/>
      <c r="B2091" s="1430"/>
    </row>
    <row r="2092" spans="1:2" x14ac:dyDescent="0.35">
      <c r="A2092" s="1429"/>
      <c r="B2092" s="1430"/>
    </row>
    <row r="2093" spans="1:2" x14ac:dyDescent="0.35">
      <c r="A2093" s="1429"/>
      <c r="B2093" s="1430"/>
    </row>
    <row r="2094" spans="1:2" x14ac:dyDescent="0.35">
      <c r="A2094" s="1429"/>
      <c r="B2094" s="1430"/>
    </row>
    <row r="2095" spans="1:2" x14ac:dyDescent="0.35">
      <c r="A2095" s="1429"/>
      <c r="B2095" s="1430"/>
    </row>
    <row r="2096" spans="1:2" x14ac:dyDescent="0.35">
      <c r="A2096" s="1429"/>
      <c r="B2096" s="1430"/>
    </row>
    <row r="2097" spans="1:2" x14ac:dyDescent="0.35">
      <c r="A2097" s="1429"/>
      <c r="B2097" s="1430"/>
    </row>
    <row r="2098" spans="1:2" x14ac:dyDescent="0.35">
      <c r="A2098" s="1429"/>
      <c r="B2098" s="1430"/>
    </row>
    <row r="2099" spans="1:2" x14ac:dyDescent="0.35">
      <c r="A2099" s="1429"/>
      <c r="B2099" s="1430"/>
    </row>
    <row r="2100" spans="1:2" x14ac:dyDescent="0.35">
      <c r="A2100" s="1429"/>
      <c r="B2100" s="1430"/>
    </row>
    <row r="2101" spans="1:2" x14ac:dyDescent="0.35">
      <c r="A2101" s="1429"/>
      <c r="B2101" s="1430"/>
    </row>
    <row r="2102" spans="1:2" x14ac:dyDescent="0.35">
      <c r="A2102" s="1429"/>
      <c r="B2102" s="1430"/>
    </row>
    <row r="2103" spans="1:2" x14ac:dyDescent="0.35">
      <c r="A2103" s="1429"/>
      <c r="B2103" s="1430"/>
    </row>
    <row r="2104" spans="1:2" x14ac:dyDescent="0.35">
      <c r="A2104" s="1429"/>
      <c r="B2104" s="1430"/>
    </row>
    <row r="2105" spans="1:2" x14ac:dyDescent="0.35">
      <c r="A2105" s="1429"/>
      <c r="B2105" s="1430"/>
    </row>
    <row r="2106" spans="1:2" x14ac:dyDescent="0.35">
      <c r="A2106" s="1429"/>
      <c r="B2106" s="1430"/>
    </row>
    <row r="2107" spans="1:2" x14ac:dyDescent="0.35">
      <c r="A2107" s="1429"/>
      <c r="B2107" s="1430"/>
    </row>
    <row r="2108" spans="1:2" x14ac:dyDescent="0.35">
      <c r="A2108" s="1429"/>
      <c r="B2108" s="1430"/>
    </row>
    <row r="2109" spans="1:2" x14ac:dyDescent="0.35">
      <c r="A2109" s="1429"/>
      <c r="B2109" s="1430"/>
    </row>
    <row r="2110" spans="1:2" x14ac:dyDescent="0.35">
      <c r="A2110" s="1429"/>
      <c r="B2110" s="1430"/>
    </row>
    <row r="2111" spans="1:2" x14ac:dyDescent="0.35">
      <c r="A2111" s="1429"/>
      <c r="B2111" s="1430"/>
    </row>
    <row r="2112" spans="1:2" x14ac:dyDescent="0.35">
      <c r="A2112" s="1429"/>
      <c r="B2112" s="1430"/>
    </row>
    <row r="2113" spans="1:2" x14ac:dyDescent="0.35">
      <c r="A2113" s="1429"/>
      <c r="B2113" s="1430"/>
    </row>
    <row r="2114" spans="1:2" x14ac:dyDescent="0.35">
      <c r="A2114" s="1429"/>
      <c r="B2114" s="1430"/>
    </row>
    <row r="2115" spans="1:2" x14ac:dyDescent="0.35">
      <c r="A2115" s="1429"/>
      <c r="B2115" s="1430"/>
    </row>
    <row r="2116" spans="1:2" x14ac:dyDescent="0.35">
      <c r="A2116" s="1429"/>
      <c r="B2116" s="1430"/>
    </row>
    <row r="2117" spans="1:2" x14ac:dyDescent="0.35">
      <c r="A2117" s="1429"/>
      <c r="B2117" s="1430"/>
    </row>
    <row r="2118" spans="1:2" x14ac:dyDescent="0.35">
      <c r="A2118" s="1429"/>
      <c r="B2118" s="1430"/>
    </row>
    <row r="2119" spans="1:2" x14ac:dyDescent="0.35">
      <c r="A2119" s="1429"/>
      <c r="B2119" s="1430"/>
    </row>
    <row r="2120" spans="1:2" x14ac:dyDescent="0.35">
      <c r="A2120" s="1429"/>
      <c r="B2120" s="1430"/>
    </row>
    <row r="2121" spans="1:2" x14ac:dyDescent="0.35">
      <c r="A2121" s="1429"/>
      <c r="B2121" s="1430"/>
    </row>
    <row r="2122" spans="1:2" x14ac:dyDescent="0.35">
      <c r="A2122" s="1429"/>
      <c r="B2122" s="1430"/>
    </row>
    <row r="2123" spans="1:2" x14ac:dyDescent="0.35">
      <c r="A2123" s="1429"/>
      <c r="B2123" s="1430"/>
    </row>
    <row r="2124" spans="1:2" x14ac:dyDescent="0.35">
      <c r="A2124" s="1429"/>
      <c r="B2124" s="1430"/>
    </row>
    <row r="2125" spans="1:2" x14ac:dyDescent="0.35">
      <c r="A2125" s="1429"/>
      <c r="B2125" s="1430"/>
    </row>
    <row r="2126" spans="1:2" x14ac:dyDescent="0.35">
      <c r="A2126" s="1429"/>
      <c r="B2126" s="1430"/>
    </row>
    <row r="2127" spans="1:2" x14ac:dyDescent="0.35">
      <c r="A2127" s="1429"/>
      <c r="B2127" s="1430"/>
    </row>
    <row r="2128" spans="1:2" x14ac:dyDescent="0.35">
      <c r="A2128" s="1429"/>
      <c r="B2128" s="1430"/>
    </row>
    <row r="2129" spans="1:2" x14ac:dyDescent="0.35">
      <c r="A2129" s="1429"/>
      <c r="B2129" s="1430"/>
    </row>
    <row r="2130" spans="1:2" x14ac:dyDescent="0.35">
      <c r="A2130" s="1429"/>
      <c r="B2130" s="1430"/>
    </row>
    <row r="2131" spans="1:2" x14ac:dyDescent="0.35">
      <c r="A2131" s="1429"/>
      <c r="B2131" s="1430"/>
    </row>
    <row r="2132" spans="1:2" x14ac:dyDescent="0.35">
      <c r="A2132" s="1429"/>
      <c r="B2132" s="1430"/>
    </row>
    <row r="2133" spans="1:2" x14ac:dyDescent="0.35">
      <c r="A2133" s="1429"/>
      <c r="B2133" s="1430"/>
    </row>
    <row r="2134" spans="1:2" x14ac:dyDescent="0.35">
      <c r="A2134" s="1429"/>
      <c r="B2134" s="1430"/>
    </row>
    <row r="2135" spans="1:2" x14ac:dyDescent="0.35">
      <c r="A2135" s="1429"/>
      <c r="B2135" s="1430"/>
    </row>
    <row r="2136" spans="1:2" x14ac:dyDescent="0.35">
      <c r="A2136" s="1429"/>
      <c r="B2136" s="1430"/>
    </row>
    <row r="2137" spans="1:2" x14ac:dyDescent="0.35">
      <c r="A2137" s="1429"/>
      <c r="B2137" s="1430"/>
    </row>
    <row r="2138" spans="1:2" x14ac:dyDescent="0.35">
      <c r="A2138" s="1429"/>
      <c r="B2138" s="1430"/>
    </row>
    <row r="2139" spans="1:2" x14ac:dyDescent="0.35">
      <c r="A2139" s="1429"/>
      <c r="B2139" s="1430"/>
    </row>
    <row r="2140" spans="1:2" x14ac:dyDescent="0.35">
      <c r="A2140" s="1429"/>
      <c r="B2140" s="1430"/>
    </row>
    <row r="2141" spans="1:2" x14ac:dyDescent="0.35">
      <c r="A2141" s="1429"/>
      <c r="B2141" s="1430"/>
    </row>
    <row r="2142" spans="1:2" x14ac:dyDescent="0.35">
      <c r="A2142" s="1429"/>
      <c r="B2142" s="1430"/>
    </row>
    <row r="2143" spans="1:2" x14ac:dyDescent="0.35">
      <c r="A2143" s="1429"/>
      <c r="B2143" s="1430"/>
    </row>
    <row r="2144" spans="1:2" x14ac:dyDescent="0.35">
      <c r="A2144" s="1429"/>
      <c r="B2144" s="1430"/>
    </row>
    <row r="2145" spans="1:2" x14ac:dyDescent="0.35">
      <c r="A2145" s="1429"/>
      <c r="B2145" s="1430"/>
    </row>
    <row r="2146" spans="1:2" x14ac:dyDescent="0.35">
      <c r="A2146" s="1429"/>
      <c r="B2146" s="1430"/>
    </row>
    <row r="2147" spans="1:2" x14ac:dyDescent="0.35">
      <c r="A2147" s="1429"/>
      <c r="B2147" s="1430"/>
    </row>
    <row r="2148" spans="1:2" x14ac:dyDescent="0.35">
      <c r="A2148" s="1429"/>
      <c r="B2148" s="1430"/>
    </row>
    <row r="2149" spans="1:2" x14ac:dyDescent="0.35">
      <c r="A2149" s="1429"/>
      <c r="B2149" s="1430"/>
    </row>
    <row r="2150" spans="1:2" x14ac:dyDescent="0.35">
      <c r="A2150" s="1429"/>
      <c r="B2150" s="1430"/>
    </row>
    <row r="2151" spans="1:2" x14ac:dyDescent="0.35">
      <c r="A2151" s="1429"/>
      <c r="B2151" s="1430"/>
    </row>
    <row r="2152" spans="1:2" x14ac:dyDescent="0.35">
      <c r="A2152" s="1429"/>
      <c r="B2152" s="1430"/>
    </row>
    <row r="2153" spans="1:2" x14ac:dyDescent="0.35">
      <c r="A2153" s="1429"/>
      <c r="B2153" s="1430"/>
    </row>
    <row r="2154" spans="1:2" x14ac:dyDescent="0.35">
      <c r="A2154" s="1429"/>
      <c r="B2154" s="1430"/>
    </row>
    <row r="2155" spans="1:2" x14ac:dyDescent="0.35">
      <c r="A2155" s="1429"/>
      <c r="B2155" s="1430"/>
    </row>
    <row r="2156" spans="1:2" x14ac:dyDescent="0.35">
      <c r="A2156" s="1429"/>
      <c r="B2156" s="1430"/>
    </row>
    <row r="2157" spans="1:2" x14ac:dyDescent="0.35">
      <c r="A2157" s="1429"/>
      <c r="B2157" s="1430"/>
    </row>
    <row r="2158" spans="1:2" x14ac:dyDescent="0.35">
      <c r="A2158" s="1429"/>
      <c r="B2158" s="1430"/>
    </row>
    <row r="2159" spans="1:2" x14ac:dyDescent="0.35">
      <c r="A2159" s="1429"/>
      <c r="B2159" s="1430"/>
    </row>
    <row r="2160" spans="1:2" x14ac:dyDescent="0.35">
      <c r="A2160" s="1429"/>
      <c r="B2160" s="1430"/>
    </row>
    <row r="2161" spans="1:2" x14ac:dyDescent="0.35">
      <c r="A2161" s="1429"/>
      <c r="B2161" s="1430"/>
    </row>
    <row r="2162" spans="1:2" x14ac:dyDescent="0.35">
      <c r="A2162" s="1429"/>
      <c r="B2162" s="1430"/>
    </row>
    <row r="2163" spans="1:2" x14ac:dyDescent="0.35">
      <c r="A2163" s="1429"/>
      <c r="B2163" s="1430"/>
    </row>
    <row r="2164" spans="1:2" x14ac:dyDescent="0.35">
      <c r="A2164" s="1429"/>
      <c r="B2164" s="1430"/>
    </row>
    <row r="2165" spans="1:2" x14ac:dyDescent="0.35">
      <c r="A2165" s="1429"/>
      <c r="B2165" s="1430"/>
    </row>
    <row r="2166" spans="1:2" x14ac:dyDescent="0.35">
      <c r="A2166" s="1429"/>
      <c r="B2166" s="1430"/>
    </row>
    <row r="2167" spans="1:2" x14ac:dyDescent="0.35">
      <c r="A2167" s="1429"/>
      <c r="B2167" s="1430"/>
    </row>
    <row r="2168" spans="1:2" x14ac:dyDescent="0.35">
      <c r="A2168" s="1429"/>
      <c r="B2168" s="1430"/>
    </row>
    <row r="2169" spans="1:2" x14ac:dyDescent="0.35">
      <c r="A2169" s="1429"/>
      <c r="B2169" s="1430"/>
    </row>
    <row r="2170" spans="1:2" x14ac:dyDescent="0.35">
      <c r="A2170" s="1429"/>
      <c r="B2170" s="1430"/>
    </row>
    <row r="2171" spans="1:2" x14ac:dyDescent="0.35">
      <c r="A2171" s="1429"/>
      <c r="B2171" s="1430"/>
    </row>
    <row r="2172" spans="1:2" x14ac:dyDescent="0.35">
      <c r="A2172" s="1429"/>
      <c r="B2172" s="1430"/>
    </row>
    <row r="2173" spans="1:2" x14ac:dyDescent="0.35">
      <c r="A2173" s="1429"/>
      <c r="B2173" s="1430"/>
    </row>
    <row r="2174" spans="1:2" x14ac:dyDescent="0.35">
      <c r="A2174" s="1429"/>
      <c r="B2174" s="1430"/>
    </row>
    <row r="2175" spans="1:2" x14ac:dyDescent="0.35">
      <c r="A2175" s="1429"/>
      <c r="B2175" s="1430"/>
    </row>
    <row r="2176" spans="1:2" x14ac:dyDescent="0.35">
      <c r="A2176" s="1429"/>
      <c r="B2176" s="1430"/>
    </row>
    <row r="2177" spans="1:2" x14ac:dyDescent="0.35">
      <c r="A2177" s="1429"/>
      <c r="B2177" s="1430"/>
    </row>
    <row r="2178" spans="1:2" x14ac:dyDescent="0.35">
      <c r="A2178" s="1429"/>
      <c r="B2178" s="1430"/>
    </row>
    <row r="2179" spans="1:2" x14ac:dyDescent="0.35">
      <c r="A2179" s="1429"/>
      <c r="B2179" s="1430"/>
    </row>
    <row r="2180" spans="1:2" x14ac:dyDescent="0.35">
      <c r="A2180" s="1429"/>
      <c r="B2180" s="1430"/>
    </row>
    <row r="2181" spans="1:2" x14ac:dyDescent="0.35">
      <c r="A2181" s="1429"/>
      <c r="B2181" s="1430"/>
    </row>
    <row r="2182" spans="1:2" x14ac:dyDescent="0.35">
      <c r="A2182" s="1429"/>
      <c r="B2182" s="1430"/>
    </row>
    <row r="2183" spans="1:2" x14ac:dyDescent="0.35">
      <c r="A2183" s="1429"/>
      <c r="B2183" s="1430"/>
    </row>
    <row r="2184" spans="1:2" x14ac:dyDescent="0.35">
      <c r="A2184" s="1429"/>
      <c r="B2184" s="1430"/>
    </row>
    <row r="2185" spans="1:2" x14ac:dyDescent="0.35">
      <c r="A2185" s="1429"/>
      <c r="B2185" s="1430"/>
    </row>
    <row r="2186" spans="1:2" x14ac:dyDescent="0.35">
      <c r="A2186" s="1429"/>
      <c r="B2186" s="1430"/>
    </row>
    <row r="2187" spans="1:2" x14ac:dyDescent="0.35">
      <c r="A2187" s="1429"/>
      <c r="B2187" s="1430"/>
    </row>
    <row r="2188" spans="1:2" x14ac:dyDescent="0.35">
      <c r="A2188" s="1429"/>
      <c r="B2188" s="1430"/>
    </row>
    <row r="2189" spans="1:2" x14ac:dyDescent="0.35">
      <c r="A2189" s="1429"/>
      <c r="B2189" s="1430"/>
    </row>
    <row r="2190" spans="1:2" x14ac:dyDescent="0.35">
      <c r="A2190" s="1429"/>
      <c r="B2190" s="1430"/>
    </row>
    <row r="2191" spans="1:2" x14ac:dyDescent="0.35">
      <c r="A2191" s="1429"/>
      <c r="B2191" s="1430"/>
    </row>
    <row r="2192" spans="1:2" x14ac:dyDescent="0.35">
      <c r="A2192" s="1429"/>
      <c r="B2192" s="1430"/>
    </row>
    <row r="2193" spans="1:2" x14ac:dyDescent="0.35">
      <c r="A2193" s="1429"/>
      <c r="B2193" s="1430"/>
    </row>
    <row r="2194" spans="1:2" x14ac:dyDescent="0.35">
      <c r="A2194" s="1429"/>
      <c r="B2194" s="1430"/>
    </row>
    <row r="2195" spans="1:2" x14ac:dyDescent="0.35">
      <c r="A2195" s="1429"/>
      <c r="B2195" s="1430"/>
    </row>
    <row r="2196" spans="1:2" x14ac:dyDescent="0.35">
      <c r="A2196" s="1429"/>
      <c r="B2196" s="1430"/>
    </row>
    <row r="2197" spans="1:2" x14ac:dyDescent="0.35">
      <c r="A2197" s="1429"/>
      <c r="B2197" s="1430"/>
    </row>
    <row r="2198" spans="1:2" x14ac:dyDescent="0.35">
      <c r="A2198" s="1429"/>
      <c r="B2198" s="1430"/>
    </row>
    <row r="2199" spans="1:2" x14ac:dyDescent="0.35">
      <c r="A2199" s="1429"/>
      <c r="B2199" s="1430"/>
    </row>
    <row r="2200" spans="1:2" x14ac:dyDescent="0.35">
      <c r="A2200" s="1429"/>
      <c r="B2200" s="1430"/>
    </row>
    <row r="2201" spans="1:2" x14ac:dyDescent="0.35">
      <c r="A2201" s="1429"/>
      <c r="B2201" s="1430"/>
    </row>
    <row r="2202" spans="1:2" x14ac:dyDescent="0.35">
      <c r="A2202" s="1429"/>
      <c r="B2202" s="1430"/>
    </row>
    <row r="2203" spans="1:2" x14ac:dyDescent="0.35">
      <c r="A2203" s="1429"/>
      <c r="B2203" s="1430"/>
    </row>
    <row r="2204" spans="1:2" x14ac:dyDescent="0.35">
      <c r="A2204" s="1429"/>
      <c r="B2204" s="1430"/>
    </row>
    <row r="2205" spans="1:2" x14ac:dyDescent="0.35">
      <c r="A2205" s="1429"/>
      <c r="B2205" s="1430"/>
    </row>
    <row r="2206" spans="1:2" x14ac:dyDescent="0.35">
      <c r="A2206" s="1429"/>
      <c r="B2206" s="1430"/>
    </row>
    <row r="2207" spans="1:2" x14ac:dyDescent="0.35">
      <c r="A2207" s="1429"/>
      <c r="B2207" s="1430"/>
    </row>
    <row r="2208" spans="1:2" x14ac:dyDescent="0.35">
      <c r="A2208" s="1429"/>
      <c r="B2208" s="1430"/>
    </row>
    <row r="2209" spans="1:2" x14ac:dyDescent="0.35">
      <c r="A2209" s="1429"/>
      <c r="B2209" s="1430"/>
    </row>
    <row r="2210" spans="1:2" x14ac:dyDescent="0.35">
      <c r="A2210" s="1429"/>
      <c r="B2210" s="1430"/>
    </row>
    <row r="2211" spans="1:2" x14ac:dyDescent="0.35">
      <c r="A2211" s="1429"/>
      <c r="B2211" s="1430"/>
    </row>
    <row r="2212" spans="1:2" x14ac:dyDescent="0.35">
      <c r="A2212" s="1429"/>
      <c r="B2212" s="1430"/>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C24"/>
  <sheetViews>
    <sheetView workbookViewId="0">
      <selection activeCell="F29" sqref="F29"/>
    </sheetView>
  </sheetViews>
  <sheetFormatPr defaultRowHeight="14.5" x14ac:dyDescent="0.35"/>
  <sheetData>
    <row r="3" spans="1:3" x14ac:dyDescent="0.35">
      <c r="A3" t="s">
        <v>566</v>
      </c>
    </row>
    <row r="4" spans="1:3" x14ac:dyDescent="0.35">
      <c r="A4" t="s">
        <v>567</v>
      </c>
    </row>
    <row r="6" spans="1:3" x14ac:dyDescent="0.35">
      <c r="A6" t="s">
        <v>568</v>
      </c>
    </row>
    <row r="7" spans="1:3" x14ac:dyDescent="0.35">
      <c r="A7" t="s">
        <v>569</v>
      </c>
    </row>
    <row r="9" spans="1:3" x14ac:dyDescent="0.35">
      <c r="A9" t="s">
        <v>570</v>
      </c>
    </row>
    <row r="10" spans="1:3" x14ac:dyDescent="0.35">
      <c r="A10" t="s">
        <v>571</v>
      </c>
    </row>
    <row r="12" spans="1:3" x14ac:dyDescent="0.35">
      <c r="A12" t="s">
        <v>572</v>
      </c>
    </row>
    <row r="14" spans="1:3" x14ac:dyDescent="0.35">
      <c r="A14" t="s">
        <v>573</v>
      </c>
    </row>
    <row r="16" spans="1:3" s="162" customFormat="1" x14ac:dyDescent="0.35">
      <c r="A16" s="162" t="s">
        <v>574</v>
      </c>
      <c r="B16" s="162" t="s">
        <v>575</v>
      </c>
      <c r="C16" s="162" t="s">
        <v>576</v>
      </c>
    </row>
    <row r="17" spans="1:3" x14ac:dyDescent="0.35">
      <c r="A17" t="s">
        <v>577</v>
      </c>
      <c r="B17" t="s">
        <v>578</v>
      </c>
    </row>
    <row r="18" spans="1:3" x14ac:dyDescent="0.35">
      <c r="A18" t="s">
        <v>579</v>
      </c>
      <c r="B18" t="s">
        <v>580</v>
      </c>
    </row>
    <row r="19" spans="1:3" x14ac:dyDescent="0.35">
      <c r="A19" t="s">
        <v>579</v>
      </c>
      <c r="B19" t="s">
        <v>581</v>
      </c>
    </row>
    <row r="20" spans="1:3" x14ac:dyDescent="0.35">
      <c r="A20" t="s">
        <v>579</v>
      </c>
      <c r="B20" t="s">
        <v>582</v>
      </c>
    </row>
    <row r="21" spans="1:3" x14ac:dyDescent="0.35">
      <c r="A21" t="s">
        <v>579</v>
      </c>
      <c r="B21" t="s">
        <v>583</v>
      </c>
    </row>
    <row r="22" spans="1:3" x14ac:dyDescent="0.35">
      <c r="A22" t="s">
        <v>584</v>
      </c>
      <c r="B22" t="s">
        <v>585</v>
      </c>
    </row>
    <row r="23" spans="1:3" x14ac:dyDescent="0.35">
      <c r="A23" t="s">
        <v>586</v>
      </c>
      <c r="B23" t="s">
        <v>587</v>
      </c>
      <c r="C23" t="s">
        <v>588</v>
      </c>
    </row>
    <row r="24" spans="1:3" x14ac:dyDescent="0.35">
      <c r="A24" t="s">
        <v>579</v>
      </c>
      <c r="B24" t="s">
        <v>589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P1"/>
  <sheetViews>
    <sheetView workbookViewId="0"/>
  </sheetViews>
  <sheetFormatPr defaultRowHeight="14.5" x14ac:dyDescent="0.35"/>
  <sheetData>
    <row r="1" spans="1:42" x14ac:dyDescent="0.35">
      <c r="A1">
        <v>42</v>
      </c>
      <c r="B1" t="s">
        <v>590</v>
      </c>
      <c r="C1" t="s">
        <v>591</v>
      </c>
      <c r="D1" t="s">
        <v>592</v>
      </c>
      <c r="E1" t="s">
        <v>593</v>
      </c>
      <c r="F1" t="s">
        <v>594</v>
      </c>
      <c r="G1" t="s">
        <v>595</v>
      </c>
      <c r="H1" t="s">
        <v>596</v>
      </c>
      <c r="I1" t="s">
        <v>597</v>
      </c>
      <c r="J1" t="s">
        <v>598</v>
      </c>
      <c r="K1" t="s">
        <v>599</v>
      </c>
      <c r="L1" t="s">
        <v>600</v>
      </c>
      <c r="M1" t="s">
        <v>601</v>
      </c>
      <c r="N1" t="s">
        <v>602</v>
      </c>
      <c r="O1" t="s">
        <v>603</v>
      </c>
      <c r="P1" t="s">
        <v>604</v>
      </c>
      <c r="Q1" t="s">
        <v>605</v>
      </c>
      <c r="R1" t="s">
        <v>606</v>
      </c>
      <c r="S1" t="s">
        <v>607</v>
      </c>
      <c r="T1" t="s">
        <v>608</v>
      </c>
      <c r="U1" t="s">
        <v>609</v>
      </c>
      <c r="V1" t="s">
        <v>610</v>
      </c>
      <c r="W1" t="s">
        <v>611</v>
      </c>
      <c r="X1" t="s">
        <v>612</v>
      </c>
      <c r="Y1" t="s">
        <v>613</v>
      </c>
      <c r="Z1" t="s">
        <v>614</v>
      </c>
      <c r="AA1" t="s">
        <v>615</v>
      </c>
      <c r="AB1" t="s">
        <v>616</v>
      </c>
      <c r="AC1" t="s">
        <v>617</v>
      </c>
      <c r="AD1" t="s">
        <v>618</v>
      </c>
      <c r="AE1" t="s">
        <v>619</v>
      </c>
      <c r="AF1" t="s">
        <v>620</v>
      </c>
      <c r="AG1" t="s">
        <v>621</v>
      </c>
      <c r="AH1" t="s">
        <v>622</v>
      </c>
      <c r="AI1" t="s">
        <v>623</v>
      </c>
      <c r="AJ1" t="s">
        <v>624</v>
      </c>
      <c r="AK1" t="s">
        <v>625</v>
      </c>
      <c r="AL1" t="s">
        <v>626</v>
      </c>
      <c r="AM1" t="s">
        <v>627</v>
      </c>
      <c r="AN1" t="s">
        <v>628</v>
      </c>
      <c r="AO1" t="s">
        <v>629</v>
      </c>
      <c r="AP1" t="s">
        <v>630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D1164-C16D-4A0D-A5FF-CF7D13B6B676}">
  <sheetPr>
    <pageSetUpPr fitToPage="1"/>
  </sheetPr>
  <dimension ref="A1:AS584"/>
  <sheetViews>
    <sheetView zoomScale="85" zoomScaleNormal="85" workbookViewId="0">
      <pane xSplit="2" ySplit="5" topLeftCell="C94" activePane="bottomRight" state="frozen"/>
      <selection pane="topRight" activeCell="C1" sqref="C1"/>
      <selection pane="bottomLeft" activeCell="A6" sqref="A6"/>
      <selection pane="bottomRight" activeCell="I102" sqref="I102"/>
    </sheetView>
  </sheetViews>
  <sheetFormatPr defaultColWidth="10.7265625" defaultRowHeight="14.5" outlineLevelRow="2" outlineLevelCol="1" x14ac:dyDescent="0.35"/>
  <cols>
    <col min="1" max="1" width="50.7265625" style="174" customWidth="1"/>
    <col min="2" max="2" width="11.7265625" style="174" customWidth="1"/>
    <col min="3" max="6" width="9.7265625" style="174" customWidth="1" outlineLevel="1"/>
    <col min="7" max="7" width="9.7265625" style="174" customWidth="1" outlineLevel="1" collapsed="1"/>
    <col min="8" max="12" width="9.7265625" style="174" customWidth="1" outlineLevel="1"/>
    <col min="13" max="15" width="9.7265625" style="174" customWidth="1"/>
    <col min="16" max="16" width="9.7265625" style="174" customWidth="1" collapsed="1"/>
    <col min="17" max="25" width="9.7265625" style="174" customWidth="1"/>
    <col min="26" max="26" width="9.7265625" style="174" customWidth="1" outlineLevel="1" collapsed="1"/>
    <col min="27" max="28" width="9.7265625" style="174" customWidth="1" outlineLevel="1"/>
    <col min="29" max="29" width="9.7265625" style="174" customWidth="1" outlineLevel="1" collapsed="1"/>
    <col min="30" max="31" width="9.7265625" style="174" customWidth="1" outlineLevel="1"/>
    <col min="32" max="32" width="9.7265625" style="174" customWidth="1" outlineLevel="1" collapsed="1"/>
    <col min="33" max="36" width="9.7265625" style="174" customWidth="1" outlineLevel="1"/>
    <col min="37" max="45" width="9.7265625" style="174" customWidth="1"/>
    <col min="46" max="16384" width="10.7265625" style="174"/>
  </cols>
  <sheetData>
    <row r="1" spans="1:45" s="167" customFormat="1" ht="33.5" x14ac:dyDescent="0.75">
      <c r="A1" s="163" t="s">
        <v>631</v>
      </c>
      <c r="B1" s="164"/>
      <c r="C1" s="164"/>
      <c r="D1" s="164"/>
      <c r="E1" s="164"/>
      <c r="F1" s="164"/>
      <c r="G1" s="164"/>
      <c r="H1" s="164"/>
      <c r="I1" s="164"/>
      <c r="J1" s="164"/>
      <c r="K1" s="164"/>
      <c r="L1" s="164"/>
      <c r="M1" s="164"/>
      <c r="N1" s="164"/>
      <c r="O1" s="165"/>
      <c r="P1" s="164"/>
      <c r="Q1" s="164"/>
      <c r="R1" s="164"/>
      <c r="S1" s="164"/>
      <c r="T1" s="164"/>
      <c r="U1" s="164"/>
      <c r="V1" s="164"/>
      <c r="W1" s="164"/>
      <c r="X1" s="164"/>
      <c r="Y1" s="164"/>
      <c r="Z1" s="164"/>
      <c r="AA1" s="164"/>
      <c r="AB1" s="164"/>
      <c r="AC1" s="164"/>
      <c r="AD1" s="164"/>
      <c r="AE1" s="164"/>
      <c r="AF1" s="164"/>
      <c r="AG1" s="164"/>
      <c r="AH1" s="164"/>
      <c r="AI1" s="164"/>
      <c r="AJ1" s="164"/>
      <c r="AK1" s="164"/>
      <c r="AL1" s="164"/>
      <c r="AM1" s="165"/>
      <c r="AN1" s="164"/>
      <c r="AO1" s="164"/>
      <c r="AP1" s="164"/>
      <c r="AQ1" s="164"/>
      <c r="AR1" s="164"/>
      <c r="AS1" s="166"/>
    </row>
    <row r="2" spans="1:45" x14ac:dyDescent="0.35">
      <c r="A2" s="168" t="e">
        <f>CHOOSE(MO.DataSourceIndex,MO.Ticker.Bloomberg,MO.Ticker.CapIQ,MO.Ticker.FactSet,MO.Ticker.Thomson)</f>
        <v>#REF!</v>
      </c>
      <c r="B2" s="169"/>
      <c r="C2" s="170"/>
      <c r="D2" s="170"/>
      <c r="E2" s="171" t="s">
        <v>632</v>
      </c>
      <c r="F2" s="171" t="s">
        <v>632</v>
      </c>
      <c r="G2" s="170"/>
      <c r="H2" s="170"/>
      <c r="I2" s="170"/>
      <c r="J2" s="170"/>
      <c r="K2" s="170"/>
      <c r="L2" s="170"/>
      <c r="M2" s="170"/>
      <c r="N2" s="170"/>
      <c r="O2" s="172"/>
      <c r="P2" s="170"/>
      <c r="Q2" s="170"/>
      <c r="R2" s="170"/>
      <c r="S2" s="170"/>
      <c r="T2" s="170"/>
      <c r="U2" s="170"/>
      <c r="V2" s="170"/>
      <c r="W2" s="170"/>
      <c r="X2" s="170"/>
      <c r="Y2" s="170"/>
      <c r="Z2" s="173">
        <f>EOMONTH(Z4,-12)</f>
        <v>39660</v>
      </c>
      <c r="AA2" s="170"/>
      <c r="AB2" s="170"/>
      <c r="AC2" s="170"/>
      <c r="AD2" s="170"/>
      <c r="AE2" s="170"/>
      <c r="AF2" s="170"/>
      <c r="AG2" s="170"/>
      <c r="AH2" s="170"/>
      <c r="AI2" s="171" t="s">
        <v>632</v>
      </c>
      <c r="AJ2" s="170"/>
      <c r="AK2" s="170"/>
      <c r="AL2" s="170"/>
      <c r="AM2" s="172"/>
      <c r="AN2" s="170"/>
      <c r="AO2" s="170"/>
      <c r="AP2" s="170"/>
      <c r="AQ2" s="170"/>
      <c r="AR2" s="170"/>
      <c r="AS2" s="171"/>
    </row>
    <row r="3" spans="1:45" s="184" customFormat="1" x14ac:dyDescent="0.35">
      <c r="A3" s="175" t="str">
        <f>HP.TradeCurrency</f>
        <v>GBX</v>
      </c>
      <c r="B3" s="176" t="e">
        <f>IF(MO.RealTime="OFF",MO.LastPriceHardcoded,MO.LastPriceFormula)</f>
        <v>#REF!</v>
      </c>
      <c r="C3" s="177">
        <f>C4-AG4</f>
        <v>184</v>
      </c>
      <c r="D3" s="177">
        <f>D4-C4</f>
        <v>181</v>
      </c>
      <c r="E3" s="177">
        <f>E4-AH4</f>
        <v>184</v>
      </c>
      <c r="F3" s="177">
        <f>F4-E4</f>
        <v>181</v>
      </c>
      <c r="G3" s="177">
        <f>G4-AI4</f>
        <v>184</v>
      </c>
      <c r="H3" s="177">
        <f>H4-G4</f>
        <v>181</v>
      </c>
      <c r="I3" s="177">
        <f>I4-AJ4</f>
        <v>184</v>
      </c>
      <c r="J3" s="177">
        <f>J4-I4</f>
        <v>182</v>
      </c>
      <c r="K3" s="177">
        <f>K4-AK4</f>
        <v>184</v>
      </c>
      <c r="L3" s="177">
        <f>L4-K4</f>
        <v>181</v>
      </c>
      <c r="M3" s="177">
        <f>M4-AL4</f>
        <v>184</v>
      </c>
      <c r="N3" s="177">
        <f>N4-M4</f>
        <v>181</v>
      </c>
      <c r="O3" s="178">
        <f>O4-AM4</f>
        <v>184</v>
      </c>
      <c r="P3" s="179">
        <f>P4-O4</f>
        <v>181</v>
      </c>
      <c r="Q3" s="179">
        <f>Q4-AN4</f>
        <v>184</v>
      </c>
      <c r="R3" s="179">
        <f>R4-Q4</f>
        <v>182</v>
      </c>
      <c r="S3" s="179"/>
      <c r="T3" s="179"/>
      <c r="U3" s="179"/>
      <c r="V3" s="179"/>
      <c r="W3" s="179"/>
      <c r="X3" s="179"/>
      <c r="Y3" s="179"/>
      <c r="Z3" s="180">
        <f>Z4-Z2</f>
        <v>365</v>
      </c>
      <c r="AA3" s="180">
        <f t="shared" ref="AA3:AR3" si="0">AA4-Z4</f>
        <v>365</v>
      </c>
      <c r="AB3" s="180">
        <f t="shared" si="0"/>
        <v>365</v>
      </c>
      <c r="AC3" s="180">
        <f t="shared" si="0"/>
        <v>366</v>
      </c>
      <c r="AD3" s="180">
        <f t="shared" si="0"/>
        <v>365</v>
      </c>
      <c r="AE3" s="180">
        <f t="shared" si="0"/>
        <v>365</v>
      </c>
      <c r="AF3" s="180">
        <f t="shared" si="0"/>
        <v>365</v>
      </c>
      <c r="AG3" s="180">
        <f t="shared" si="0"/>
        <v>366</v>
      </c>
      <c r="AH3" s="180">
        <f t="shared" si="0"/>
        <v>365</v>
      </c>
      <c r="AI3" s="180">
        <f t="shared" si="0"/>
        <v>365</v>
      </c>
      <c r="AJ3" s="180">
        <f t="shared" si="0"/>
        <v>365</v>
      </c>
      <c r="AK3" s="180">
        <f t="shared" si="0"/>
        <v>366</v>
      </c>
      <c r="AL3" s="180">
        <f t="shared" si="0"/>
        <v>365</v>
      </c>
      <c r="AM3" s="181">
        <f t="shared" si="0"/>
        <v>365</v>
      </c>
      <c r="AN3" s="180">
        <f t="shared" si="0"/>
        <v>365</v>
      </c>
      <c r="AO3" s="182">
        <f t="shared" si="0"/>
        <v>366</v>
      </c>
      <c r="AP3" s="182">
        <f t="shared" si="0"/>
        <v>365</v>
      </c>
      <c r="AQ3" s="182">
        <f t="shared" si="0"/>
        <v>365</v>
      </c>
      <c r="AR3" s="182">
        <f t="shared" si="0"/>
        <v>365</v>
      </c>
      <c r="AS3" s="183"/>
    </row>
    <row r="4" spans="1:45" x14ac:dyDescent="0.35">
      <c r="A4" s="185" t="e">
        <f>FP.DataSourceName</f>
        <v>#REF!</v>
      </c>
      <c r="B4" s="186" t="e">
        <f>IF(AND(MO.RealTimeStockPriceToggle,MO.LastPriceFormula&lt;&gt;"N/A"),"ON","OFF")</f>
        <v>#REF!</v>
      </c>
      <c r="C4" s="187">
        <f>EOMONTH(AG4,6)</f>
        <v>42766</v>
      </c>
      <c r="D4" s="187">
        <f>EOMONTH(C4,6)</f>
        <v>42947</v>
      </c>
      <c r="E4" s="187">
        <f>EOMONTH(AH4,6)</f>
        <v>43131</v>
      </c>
      <c r="F4" s="187">
        <f>EOMONTH(E4,6)</f>
        <v>43312</v>
      </c>
      <c r="G4" s="187">
        <f>EOMONTH(AI4,6)</f>
        <v>43496</v>
      </c>
      <c r="H4" s="187">
        <f>EOMONTH(G4,6)</f>
        <v>43677</v>
      </c>
      <c r="I4" s="187">
        <f>EOMONTH(AJ4,6)</f>
        <v>43861</v>
      </c>
      <c r="J4" s="187">
        <f>EOMONTH(I4,6)</f>
        <v>44043</v>
      </c>
      <c r="K4" s="188">
        <f>EOMONTH(AK4,6)</f>
        <v>44227</v>
      </c>
      <c r="L4" s="187">
        <f>EOMONTH(K4,6)</f>
        <v>44408</v>
      </c>
      <c r="M4" s="188">
        <f>EOMONTH(AL4,6)</f>
        <v>44592</v>
      </c>
      <c r="N4" s="187">
        <f>EOMONTH(M4,6)</f>
        <v>44773</v>
      </c>
      <c r="O4" s="189">
        <f>EOMONTH(AM4,6)</f>
        <v>44957</v>
      </c>
      <c r="P4" s="187">
        <f>EOMONTH(O4,6)</f>
        <v>45138</v>
      </c>
      <c r="Q4" s="187">
        <f>EOMONTH(AN4,6)</f>
        <v>45322</v>
      </c>
      <c r="R4" s="187">
        <f>EOMONTH(Q4,6)</f>
        <v>45504</v>
      </c>
      <c r="S4" s="187"/>
      <c r="T4" s="187"/>
      <c r="U4" s="187"/>
      <c r="V4" s="187"/>
      <c r="W4" s="187"/>
      <c r="X4" s="187"/>
      <c r="Y4" s="187"/>
      <c r="Z4" s="190">
        <v>40025</v>
      </c>
      <c r="AA4" s="191">
        <f t="shared" ref="AA4:AG4" si="1">EOMONTH(Z4,12)</f>
        <v>40390</v>
      </c>
      <c r="AB4" s="191">
        <f t="shared" si="1"/>
        <v>40755</v>
      </c>
      <c r="AC4" s="191">
        <f t="shared" si="1"/>
        <v>41121</v>
      </c>
      <c r="AD4" s="191">
        <f t="shared" si="1"/>
        <v>41486</v>
      </c>
      <c r="AE4" s="191">
        <f t="shared" si="1"/>
        <v>41851</v>
      </c>
      <c r="AF4" s="191">
        <f t="shared" si="1"/>
        <v>42216</v>
      </c>
      <c r="AG4" s="191">
        <f t="shared" si="1"/>
        <v>42582</v>
      </c>
      <c r="AH4" s="191">
        <f>D4</f>
        <v>42947</v>
      </c>
      <c r="AI4" s="191">
        <f>F4</f>
        <v>43312</v>
      </c>
      <c r="AJ4" s="191">
        <f>H4</f>
        <v>43677</v>
      </c>
      <c r="AK4" s="191">
        <f>J4</f>
        <v>44043</v>
      </c>
      <c r="AL4" s="191">
        <f>L4</f>
        <v>44408</v>
      </c>
      <c r="AM4" s="192">
        <f>N4</f>
        <v>44773</v>
      </c>
      <c r="AN4" s="193">
        <f>P4</f>
        <v>45138</v>
      </c>
      <c r="AO4" s="191">
        <f>R4</f>
        <v>45504</v>
      </c>
      <c r="AP4" s="191">
        <f>EOMONTH(AO4,12)</f>
        <v>45869</v>
      </c>
      <c r="AQ4" s="191">
        <f>EOMONTH(AP4,12)</f>
        <v>46234</v>
      </c>
      <c r="AR4" s="191">
        <f>EOMONTH(AQ4,12)</f>
        <v>46599</v>
      </c>
      <c r="AS4" s="171"/>
    </row>
    <row r="5" spans="1:45" x14ac:dyDescent="0.35">
      <c r="A5" s="194" t="str">
        <f>MO.ReportCurrency</f>
        <v>GBP</v>
      </c>
      <c r="B5" s="195"/>
      <c r="C5" s="196" t="str">
        <f>CONCATENATE("H1","-",RIGHT(AG5,4)+1)</f>
        <v>H1-2017</v>
      </c>
      <c r="D5" s="196" t="str">
        <f>CONCATENATE("H2","-",RIGHT(C5,4))</f>
        <v>H2-2017</v>
      </c>
      <c r="E5" s="196" t="str">
        <f>CONCATENATE("H1","-",RIGHT(AH5,4)+1)</f>
        <v>H1-2018</v>
      </c>
      <c r="F5" s="196" t="str">
        <f>CONCATENATE("H2","-",RIGHT(E5,4))</f>
        <v>H2-2018</v>
      </c>
      <c r="G5" s="196" t="str">
        <f>CONCATENATE("H1","-",RIGHT(AI5,4)+1)</f>
        <v>H1-2019</v>
      </c>
      <c r="H5" s="196" t="str">
        <f>CONCATENATE("H2","-",RIGHT(G5,4))</f>
        <v>H2-2019</v>
      </c>
      <c r="I5" s="196" t="str">
        <f>CONCATENATE("H1","-",RIGHT(AJ5,4)+1)</f>
        <v>H1-2020</v>
      </c>
      <c r="J5" s="196" t="str">
        <f>CONCATENATE("H2","-",RIGHT(I5,4))</f>
        <v>H2-2020</v>
      </c>
      <c r="K5" s="197" t="str">
        <f>CONCATENATE("H1","-",RIGHT(AK5,4)+1)</f>
        <v>H1-2021</v>
      </c>
      <c r="L5" s="196" t="str">
        <f>CONCATENATE("H2","-",RIGHT(K5,4))</f>
        <v>H2-2021</v>
      </c>
      <c r="M5" s="197" t="str">
        <f>CONCATENATE("H1","-",RIGHT(AL5,4)+1)</f>
        <v>H1-2022</v>
      </c>
      <c r="N5" s="196" t="str">
        <f>CONCATENATE("H2","-",RIGHT(M5,4))</f>
        <v>H2-2022</v>
      </c>
      <c r="O5" s="198" t="str">
        <f>CONCATENATE("H1","-",RIGHT(AM5,4)+1)</f>
        <v>H1-2023</v>
      </c>
      <c r="P5" s="196" t="str">
        <f>CONCATENATE("H2","-",RIGHT(O5,4))</f>
        <v>H2-2023</v>
      </c>
      <c r="Q5" s="196" t="str">
        <f>CONCATENATE("H1","-",RIGHT(AN5,4)+1)</f>
        <v>H1-2024</v>
      </c>
      <c r="R5" s="196" t="str">
        <f>CONCATENATE("H2","-",RIGHT(Q5,4))</f>
        <v>H2-2024</v>
      </c>
      <c r="S5" s="196"/>
      <c r="T5" s="196"/>
      <c r="U5" s="196"/>
      <c r="V5" s="196"/>
      <c r="W5" s="196"/>
      <c r="X5" s="196"/>
      <c r="Y5" s="196"/>
      <c r="Z5" s="199" t="s">
        <v>633</v>
      </c>
      <c r="AA5" s="200" t="str">
        <f t="shared" ref="AA5:AR5" si="2">CONCATENATE("FY",RIGHT(Z5,4)+1)</f>
        <v>FY2010</v>
      </c>
      <c r="AB5" s="200" t="str">
        <f t="shared" si="2"/>
        <v>FY2011</v>
      </c>
      <c r="AC5" s="200" t="str">
        <f t="shared" si="2"/>
        <v>FY2012</v>
      </c>
      <c r="AD5" s="200" t="str">
        <f t="shared" si="2"/>
        <v>FY2013</v>
      </c>
      <c r="AE5" s="200" t="str">
        <f t="shared" si="2"/>
        <v>FY2014</v>
      </c>
      <c r="AF5" s="200" t="str">
        <f t="shared" si="2"/>
        <v>FY2015</v>
      </c>
      <c r="AG5" s="200" t="str">
        <f t="shared" si="2"/>
        <v>FY2016</v>
      </c>
      <c r="AH5" s="200" t="str">
        <f t="shared" si="2"/>
        <v>FY2017</v>
      </c>
      <c r="AI5" s="200" t="str">
        <f t="shared" si="2"/>
        <v>FY2018</v>
      </c>
      <c r="AJ5" s="200" t="str">
        <f t="shared" si="2"/>
        <v>FY2019</v>
      </c>
      <c r="AK5" s="200" t="str">
        <f t="shared" si="2"/>
        <v>FY2020</v>
      </c>
      <c r="AL5" s="200" t="str">
        <f t="shared" si="2"/>
        <v>FY2021</v>
      </c>
      <c r="AM5" s="201" t="str">
        <f t="shared" si="2"/>
        <v>FY2022</v>
      </c>
      <c r="AN5" s="202" t="str">
        <f t="shared" si="2"/>
        <v>FY2023</v>
      </c>
      <c r="AO5" s="200" t="str">
        <f t="shared" si="2"/>
        <v>FY2024</v>
      </c>
      <c r="AP5" s="200" t="str">
        <f t="shared" si="2"/>
        <v>FY2025</v>
      </c>
      <c r="AQ5" s="200" t="str">
        <f t="shared" si="2"/>
        <v>FY2026</v>
      </c>
      <c r="AR5" s="200" t="str">
        <f t="shared" si="2"/>
        <v>FY2027</v>
      </c>
      <c r="AS5" s="171"/>
    </row>
    <row r="6" spans="1:45" s="207" customFormat="1" x14ac:dyDescent="0.35">
      <c r="A6" s="203" t="s">
        <v>634</v>
      </c>
      <c r="B6" s="204"/>
      <c r="C6" s="204"/>
      <c r="D6" s="204"/>
      <c r="E6" s="204"/>
      <c r="F6" s="204"/>
      <c r="G6" s="204"/>
      <c r="H6" s="204"/>
      <c r="I6" s="204"/>
      <c r="J6" s="204"/>
      <c r="K6" s="204"/>
      <c r="L6" s="204"/>
      <c r="M6" s="204"/>
      <c r="N6" s="204"/>
      <c r="O6" s="205"/>
      <c r="P6" s="204"/>
      <c r="Q6" s="204"/>
      <c r="R6" s="204"/>
      <c r="S6" s="204"/>
      <c r="T6" s="204"/>
      <c r="U6" s="204"/>
      <c r="V6" s="204"/>
      <c r="W6" s="204"/>
      <c r="X6" s="204"/>
      <c r="Y6" s="204"/>
      <c r="Z6" s="204"/>
      <c r="AA6" s="204"/>
      <c r="AB6" s="204"/>
      <c r="AC6" s="204"/>
      <c r="AD6" s="204"/>
      <c r="AE6" s="204"/>
      <c r="AF6" s="204"/>
      <c r="AG6" s="204"/>
      <c r="AH6" s="204"/>
      <c r="AI6" s="204"/>
      <c r="AJ6" s="204"/>
      <c r="AK6" s="204"/>
      <c r="AL6" s="204"/>
      <c r="AM6" s="205"/>
      <c r="AN6" s="204"/>
      <c r="AO6" s="204"/>
      <c r="AP6" s="204"/>
      <c r="AQ6" s="204"/>
      <c r="AR6" s="204"/>
      <c r="AS6" s="206"/>
    </row>
    <row r="7" spans="1:45" s="207" customFormat="1" x14ac:dyDescent="0.35">
      <c r="A7" s="208" t="s">
        <v>635</v>
      </c>
      <c r="B7" s="209"/>
      <c r="C7" s="210"/>
      <c r="D7" s="210"/>
      <c r="E7" s="210"/>
      <c r="F7" s="210"/>
      <c r="G7" s="211">
        <f t="shared" ref="G7:L10" si="3">G21/E21-1</f>
        <v>0.19353248311543303</v>
      </c>
      <c r="H7" s="211">
        <f t="shared" si="3"/>
        <v>0.3091722021077441</v>
      </c>
      <c r="I7" s="211">
        <f t="shared" si="3"/>
        <v>0.25878166525655688</v>
      </c>
      <c r="J7" s="211">
        <f t="shared" si="3"/>
        <v>-3.2439181072184464E-2</v>
      </c>
      <c r="K7" s="211">
        <f t="shared" si="3"/>
        <v>-5.0737959964732848E-2</v>
      </c>
      <c r="L7" s="211">
        <f t="shared" si="3"/>
        <v>-2.1114582903526968E-2</v>
      </c>
      <c r="M7" s="212">
        <v>8.1750000000000003E-2</v>
      </c>
      <c r="N7" s="210">
        <f t="shared" ref="N7:R10" si="4">N21/L21-1</f>
        <v>-0.68045017703591304</v>
      </c>
      <c r="O7" s="213">
        <f t="shared" si="4"/>
        <v>0.25600144124667845</v>
      </c>
      <c r="P7" s="210">
        <f t="shared" si="4"/>
        <v>0.5211828614598697</v>
      </c>
      <c r="Q7" s="210">
        <f t="shared" si="4"/>
        <v>0.17506443862731746</v>
      </c>
      <c r="R7" s="210">
        <f t="shared" si="4"/>
        <v>0.10000000000000009</v>
      </c>
      <c r="S7" s="210"/>
      <c r="T7" s="210"/>
      <c r="U7" s="210"/>
      <c r="V7" s="210"/>
      <c r="W7" s="210"/>
      <c r="X7" s="210"/>
      <c r="Y7" s="210"/>
      <c r="Z7" s="214"/>
      <c r="AA7" s="214"/>
      <c r="AB7" s="214"/>
      <c r="AC7" s="214"/>
      <c r="AD7" s="214"/>
      <c r="AE7" s="214"/>
      <c r="AF7" s="214"/>
      <c r="AG7" s="214"/>
      <c r="AH7" s="214"/>
      <c r="AI7" s="214"/>
      <c r="AJ7" s="215">
        <f t="shared" ref="AJ7:AR10" si="5">AJ21/AI21-1</f>
        <v>0.25778026509261887</v>
      </c>
      <c r="AK7" s="215">
        <f t="shared" si="5"/>
        <v>9.0372559349033654E-2</v>
      </c>
      <c r="AL7" s="215">
        <f t="shared" si="5"/>
        <v>-3.553664921465971E-2</v>
      </c>
      <c r="AM7" s="216">
        <f t="shared" si="5"/>
        <v>-0.70063345959948742</v>
      </c>
      <c r="AN7" s="215">
        <f t="shared" si="5"/>
        <v>0.40342640000000007</v>
      </c>
      <c r="AO7" s="214">
        <f t="shared" si="5"/>
        <v>0.12983158931597694</v>
      </c>
      <c r="AP7" s="214">
        <f t="shared" si="5"/>
        <v>0.14999999999999991</v>
      </c>
      <c r="AQ7" s="214">
        <f t="shared" si="5"/>
        <v>0.10000000000000031</v>
      </c>
      <c r="AR7" s="214">
        <f t="shared" si="5"/>
        <v>0.10000000000000031</v>
      </c>
      <c r="AS7" s="206"/>
    </row>
    <row r="8" spans="1:45" s="207" customFormat="1" x14ac:dyDescent="0.35">
      <c r="A8" s="208" t="s">
        <v>636</v>
      </c>
      <c r="B8" s="209"/>
      <c r="C8" s="210"/>
      <c r="D8" s="210"/>
      <c r="E8" s="210"/>
      <c r="F8" s="210"/>
      <c r="G8" s="211">
        <f t="shared" si="3"/>
        <v>0.24690623740910578</v>
      </c>
      <c r="H8" s="211">
        <f t="shared" si="3"/>
        <v>0.22415385253896103</v>
      </c>
      <c r="I8" s="211">
        <f t="shared" si="3"/>
        <v>0.12251115556239411</v>
      </c>
      <c r="J8" s="211">
        <f t="shared" si="3"/>
        <v>-5.2847268427677174E-2</v>
      </c>
      <c r="K8" s="211">
        <f t="shared" si="3"/>
        <v>0.32127974558613892</v>
      </c>
      <c r="L8" s="211">
        <f t="shared" si="3"/>
        <v>0.1960195621339369</v>
      </c>
      <c r="M8" s="212">
        <v>0.56138999999999994</v>
      </c>
      <c r="N8" s="210">
        <f t="shared" si="4"/>
        <v>0.29586385436697116</v>
      </c>
      <c r="O8" s="213">
        <f t="shared" si="4"/>
        <v>-0.26714579965006302</v>
      </c>
      <c r="P8" s="210">
        <f t="shared" si="4"/>
        <v>-0.23072563346776886</v>
      </c>
      <c r="Q8" s="210">
        <f t="shared" si="4"/>
        <v>5.6650377314583888E-2</v>
      </c>
      <c r="R8" s="210">
        <f t="shared" si="4"/>
        <v>9.9999999999999867E-2</v>
      </c>
      <c r="S8" s="210"/>
      <c r="T8" s="210"/>
      <c r="U8" s="210"/>
      <c r="V8" s="210"/>
      <c r="W8" s="210"/>
      <c r="X8" s="210"/>
      <c r="Y8" s="210"/>
      <c r="Z8" s="214"/>
      <c r="AA8" s="214"/>
      <c r="AB8" s="214"/>
      <c r="AC8" s="214"/>
      <c r="AD8" s="214"/>
      <c r="AE8" s="214"/>
      <c r="AF8" s="214"/>
      <c r="AG8" s="214"/>
      <c r="AH8" s="214"/>
      <c r="AI8" s="214"/>
      <c r="AJ8" s="215">
        <f t="shared" si="5"/>
        <v>0.2343441634514305</v>
      </c>
      <c r="AK8" s="215">
        <f t="shared" si="5"/>
        <v>2.6491357125121517E-2</v>
      </c>
      <c r="AL8" s="215">
        <f t="shared" si="5"/>
        <v>0.25799312307702738</v>
      </c>
      <c r="AM8" s="216">
        <f t="shared" si="5"/>
        <v>0.43384932215816807</v>
      </c>
      <c r="AN8" s="215">
        <f t="shared" si="5"/>
        <v>-0.25133489660946229</v>
      </c>
      <c r="AO8" s="214">
        <f t="shared" si="5"/>
        <v>7.5987584255220897E-2</v>
      </c>
      <c r="AP8" s="214">
        <f t="shared" si="5"/>
        <v>0.15000000000000013</v>
      </c>
      <c r="AQ8" s="214">
        <f t="shared" si="5"/>
        <v>0.10000000000000009</v>
      </c>
      <c r="AR8" s="214">
        <f t="shared" si="5"/>
        <v>0.10000000000000009</v>
      </c>
      <c r="AS8" s="206"/>
    </row>
    <row r="9" spans="1:45" s="207" customFormat="1" x14ac:dyDescent="0.35">
      <c r="A9" s="208" t="s">
        <v>637</v>
      </c>
      <c r="B9" s="209"/>
      <c r="C9" s="210"/>
      <c r="D9" s="210"/>
      <c r="E9" s="210"/>
      <c r="F9" s="210"/>
      <c r="G9" s="211">
        <f t="shared" si="3"/>
        <v>0.13330554894022395</v>
      </c>
      <c r="H9" s="211">
        <f t="shared" si="3"/>
        <v>0.29980944908367402</v>
      </c>
      <c r="I9" s="211">
        <f t="shared" si="3"/>
        <v>0.37549251379038617</v>
      </c>
      <c r="J9" s="211">
        <f t="shared" si="3"/>
        <v>0.35589091301067155</v>
      </c>
      <c r="K9" s="211">
        <f t="shared" si="3"/>
        <v>-8.8627900315096042E-2</v>
      </c>
      <c r="L9" s="211">
        <f t="shared" si="3"/>
        <v>-0.18253223729190837</v>
      </c>
      <c r="M9" s="212">
        <v>0.25096000000000002</v>
      </c>
      <c r="N9" s="210">
        <f t="shared" si="4"/>
        <v>0.36829206620893573</v>
      </c>
      <c r="O9" s="213">
        <f t="shared" si="4"/>
        <v>0.63905127217299529</v>
      </c>
      <c r="P9" s="210">
        <f t="shared" si="4"/>
        <v>0.54193253539546205</v>
      </c>
      <c r="Q9" s="210">
        <f t="shared" si="4"/>
        <v>-2.5276997128345413E-2</v>
      </c>
      <c r="R9" s="210">
        <f t="shared" si="4"/>
        <v>0.10000000000000009</v>
      </c>
      <c r="S9" s="210"/>
      <c r="T9" s="210"/>
      <c r="U9" s="210"/>
      <c r="V9" s="210"/>
      <c r="W9" s="210"/>
      <c r="X9" s="210"/>
      <c r="Y9" s="210"/>
      <c r="Z9" s="214"/>
      <c r="AA9" s="214"/>
      <c r="AB9" s="214"/>
      <c r="AC9" s="214"/>
      <c r="AD9" s="214"/>
      <c r="AE9" s="214"/>
      <c r="AF9" s="214"/>
      <c r="AG9" s="214"/>
      <c r="AH9" s="214"/>
      <c r="AI9" s="214"/>
      <c r="AJ9" s="215">
        <f t="shared" si="5"/>
        <v>0.21907387626663577</v>
      </c>
      <c r="AK9" s="215">
        <f t="shared" si="5"/>
        <v>0.36472677757385585</v>
      </c>
      <c r="AL9" s="215">
        <f t="shared" si="5"/>
        <v>-0.13986881604747603</v>
      </c>
      <c r="AM9" s="216">
        <f t="shared" si="5"/>
        <v>0.31181092831132684</v>
      </c>
      <c r="AN9" s="215">
        <f t="shared" si="5"/>
        <v>0.58651638997608568</v>
      </c>
      <c r="AO9" s="214">
        <f t="shared" si="5"/>
        <v>4.0585301229076443E-2</v>
      </c>
      <c r="AP9" s="214">
        <f t="shared" si="5"/>
        <v>0.14999999999999991</v>
      </c>
      <c r="AQ9" s="214">
        <f t="shared" si="5"/>
        <v>0.10000000000000009</v>
      </c>
      <c r="AR9" s="214">
        <f t="shared" si="5"/>
        <v>0.10000000000000031</v>
      </c>
      <c r="AS9" s="206"/>
    </row>
    <row r="10" spans="1:45" s="227" customFormat="1" x14ac:dyDescent="0.35">
      <c r="A10" s="217" t="s">
        <v>638</v>
      </c>
      <c r="B10" s="218"/>
      <c r="C10" s="219"/>
      <c r="D10" s="219"/>
      <c r="E10" s="219"/>
      <c r="F10" s="219"/>
      <c r="G10" s="220">
        <f t="shared" si="3"/>
        <v>0.21117821737965525</v>
      </c>
      <c r="H10" s="220">
        <f t="shared" si="3"/>
        <v>0.27107294533656567</v>
      </c>
      <c r="I10" s="220">
        <f t="shared" si="3"/>
        <v>0.20779777403968036</v>
      </c>
      <c r="J10" s="220">
        <f t="shared" si="3"/>
        <v>-8.7832666223321976E-3</v>
      </c>
      <c r="K10" s="220">
        <f t="shared" si="3"/>
        <v>0.10081122125811803</v>
      </c>
      <c r="L10" s="220">
        <f t="shared" si="3"/>
        <v>4.8283931216194453E-2</v>
      </c>
      <c r="M10" s="221">
        <v>0.33612999999999998</v>
      </c>
      <c r="N10" s="219">
        <f t="shared" si="4"/>
        <v>-0.13723629802011095</v>
      </c>
      <c r="O10" s="222">
        <f t="shared" si="4"/>
        <v>-0.11320999619258609</v>
      </c>
      <c r="P10" s="219">
        <f t="shared" si="4"/>
        <v>3.3301008145945055E-3</v>
      </c>
      <c r="Q10" s="219">
        <f t="shared" si="4"/>
        <v>6.0338474448922375E-2</v>
      </c>
      <c r="R10" s="219">
        <f t="shared" si="4"/>
        <v>0.10000000000000031</v>
      </c>
      <c r="S10" s="219"/>
      <c r="T10" s="219"/>
      <c r="U10" s="219"/>
      <c r="V10" s="219"/>
      <c r="W10" s="219"/>
      <c r="X10" s="219"/>
      <c r="Y10" s="219"/>
      <c r="Z10" s="223"/>
      <c r="AA10" s="223"/>
      <c r="AB10" s="223"/>
      <c r="AC10" s="223"/>
      <c r="AD10" s="223"/>
      <c r="AE10" s="223"/>
      <c r="AF10" s="223"/>
      <c r="AG10" s="223"/>
      <c r="AH10" s="223"/>
      <c r="AI10" s="223"/>
      <c r="AJ10" s="224">
        <f t="shared" si="5"/>
        <v>0.24415334517465959</v>
      </c>
      <c r="AK10" s="224">
        <f t="shared" si="5"/>
        <v>8.5978813307267421E-2</v>
      </c>
      <c r="AL10" s="224">
        <f t="shared" si="5"/>
        <v>7.3844588428291225E-2</v>
      </c>
      <c r="AM10" s="225">
        <f t="shared" si="5"/>
        <v>-6.8058481827526718E-2</v>
      </c>
      <c r="AN10" s="224">
        <f t="shared" si="5"/>
        <v>-5.9139817764526481E-2</v>
      </c>
      <c r="AO10" s="223">
        <f t="shared" si="5"/>
        <v>7.9961708997074554E-2</v>
      </c>
      <c r="AP10" s="223">
        <f t="shared" si="5"/>
        <v>0.15000000000000013</v>
      </c>
      <c r="AQ10" s="223">
        <f t="shared" si="5"/>
        <v>0.10000000000000009</v>
      </c>
      <c r="AR10" s="223">
        <f t="shared" si="5"/>
        <v>0.10000000000000031</v>
      </c>
      <c r="AS10" s="226"/>
    </row>
    <row r="11" spans="1:45" s="227" customFormat="1" x14ac:dyDescent="0.35">
      <c r="A11" s="228"/>
      <c r="B11" s="229"/>
      <c r="C11" s="230"/>
      <c r="D11" s="230"/>
      <c r="E11" s="230"/>
      <c r="F11" s="230"/>
      <c r="G11" s="230"/>
      <c r="H11" s="230"/>
      <c r="I11" s="230"/>
      <c r="J11" s="230"/>
      <c r="K11" s="230"/>
      <c r="L11" s="230"/>
      <c r="M11" s="230"/>
      <c r="N11" s="230"/>
      <c r="O11" s="231"/>
      <c r="P11" s="230"/>
      <c r="Q11" s="230"/>
      <c r="R11" s="230"/>
      <c r="S11" s="230"/>
      <c r="T11" s="230"/>
      <c r="U11" s="230"/>
      <c r="V11" s="230"/>
      <c r="W11" s="230"/>
      <c r="X11" s="230"/>
      <c r="Y11" s="230"/>
      <c r="Z11" s="232"/>
      <c r="AA11" s="232"/>
      <c r="AB11" s="232"/>
      <c r="AC11" s="232"/>
      <c r="AD11" s="232"/>
      <c r="AE11" s="232"/>
      <c r="AF11" s="232"/>
      <c r="AG11" s="232"/>
      <c r="AH11" s="232"/>
      <c r="AI11" s="232"/>
      <c r="AJ11" s="232"/>
      <c r="AK11" s="232"/>
      <c r="AL11" s="232"/>
      <c r="AM11" s="233"/>
      <c r="AN11" s="232"/>
      <c r="AO11" s="232"/>
      <c r="AP11" s="232"/>
      <c r="AQ11" s="232"/>
      <c r="AR11" s="232"/>
      <c r="AS11" s="226"/>
    </row>
    <row r="12" spans="1:45" s="207" customFormat="1" x14ac:dyDescent="0.35">
      <c r="A12" s="234" t="s">
        <v>639</v>
      </c>
      <c r="B12" s="209"/>
      <c r="C12" s="210"/>
      <c r="D12" s="210"/>
      <c r="E12" s="210">
        <f t="shared" ref="E12:O15" si="6">E36/C36-1</f>
        <v>0.24050403830442924</v>
      </c>
      <c r="F12" s="210">
        <f t="shared" si="6"/>
        <v>0.4626145639005701</v>
      </c>
      <c r="G12" s="210">
        <f t="shared" si="6"/>
        <v>0.3686533756267949</v>
      </c>
      <c r="H12" s="210">
        <f t="shared" si="6"/>
        <v>0.42233120649293721</v>
      </c>
      <c r="I12" s="210">
        <f t="shared" si="6"/>
        <v>0.24765878393811569</v>
      </c>
      <c r="J12" s="210">
        <f t="shared" si="6"/>
        <v>0.20422844090083991</v>
      </c>
      <c r="K12" s="210">
        <f t="shared" si="6"/>
        <v>0.12682736315371934</v>
      </c>
      <c r="L12" s="210">
        <f t="shared" si="6"/>
        <v>0.16761478890381443</v>
      </c>
      <c r="M12" s="210">
        <f t="shared" si="6"/>
        <v>0.19615148830347917</v>
      </c>
      <c r="N12" s="210">
        <f t="shared" si="6"/>
        <v>0.25571950306146873</v>
      </c>
      <c r="O12" s="235">
        <f t="shared" si="6"/>
        <v>0.24498943285106578</v>
      </c>
      <c r="P12" s="212">
        <v>0.2</v>
      </c>
      <c r="Q12" s="212">
        <v>0.1</v>
      </c>
      <c r="R12" s="212">
        <v>0.1</v>
      </c>
      <c r="S12" s="212"/>
      <c r="T12" s="212"/>
      <c r="U12" s="212"/>
      <c r="V12" s="212"/>
      <c r="W12" s="212"/>
      <c r="X12" s="212"/>
      <c r="Y12" s="236"/>
      <c r="Z12" s="214"/>
      <c r="AA12" s="214"/>
      <c r="AB12" s="214"/>
      <c r="AC12" s="214"/>
      <c r="AD12" s="214"/>
      <c r="AE12" s="214">
        <f t="shared" ref="AE12:AO15" si="7">AE36/AD36-1</f>
        <v>0.18623216660168151</v>
      </c>
      <c r="AF12" s="214">
        <f t="shared" si="7"/>
        <v>0.21141082422745794</v>
      </c>
      <c r="AG12" s="214">
        <f t="shared" si="7"/>
        <v>0.11308697633483966</v>
      </c>
      <c r="AH12" s="214">
        <f t="shared" si="7"/>
        <v>0.29627974423241588</v>
      </c>
      <c r="AI12" s="214">
        <f t="shared" si="7"/>
        <v>0.3590521263027957</v>
      </c>
      <c r="AJ12" s="214">
        <f t="shared" si="7"/>
        <v>0.39948625975458985</v>
      </c>
      <c r="AK12" s="214">
        <f t="shared" si="7"/>
        <v>0.2223048967997332</v>
      </c>
      <c r="AL12" s="214">
        <f t="shared" si="7"/>
        <v>0.15028622391836399</v>
      </c>
      <c r="AM12" s="237">
        <f t="shared" si="7"/>
        <v>0.23092811202328156</v>
      </c>
      <c r="AN12" s="214">
        <f t="shared" si="7"/>
        <v>0.21819498836556073</v>
      </c>
      <c r="AO12" s="214">
        <f t="shared" si="7"/>
        <v>0.10000000000000009</v>
      </c>
      <c r="AP12" s="238">
        <v>0.15</v>
      </c>
      <c r="AQ12" s="238">
        <v>0.10000000000000031</v>
      </c>
      <c r="AR12" s="238">
        <v>0.10000000000000031</v>
      </c>
      <c r="AS12" s="206"/>
    </row>
    <row r="13" spans="1:45" s="207" customFormat="1" x14ac:dyDescent="0.35">
      <c r="A13" s="234" t="s">
        <v>640</v>
      </c>
      <c r="B13" s="209"/>
      <c r="C13" s="210"/>
      <c r="D13" s="210"/>
      <c r="E13" s="210">
        <f t="shared" si="6"/>
        <v>0.30385869909430618</v>
      </c>
      <c r="F13" s="210">
        <f t="shared" si="6"/>
        <v>0.25492824867173169</v>
      </c>
      <c r="G13" s="210">
        <f t="shared" si="6"/>
        <v>0.22481829828833022</v>
      </c>
      <c r="H13" s="210">
        <f t="shared" si="6"/>
        <v>0.24268982708819697</v>
      </c>
      <c r="I13" s="210">
        <f t="shared" si="6"/>
        <v>0.1115561746786371</v>
      </c>
      <c r="J13" s="210">
        <f t="shared" si="6"/>
        <v>-6.8365624950249115E-2</v>
      </c>
      <c r="K13" s="210">
        <f t="shared" si="6"/>
        <v>0.3107946588648749</v>
      </c>
      <c r="L13" s="210">
        <f t="shared" si="6"/>
        <v>0.16371248531453575</v>
      </c>
      <c r="M13" s="210">
        <f t="shared" si="6"/>
        <v>0.56384118893943369</v>
      </c>
      <c r="N13" s="210">
        <f t="shared" si="6"/>
        <v>0.2871481225862349</v>
      </c>
      <c r="O13" s="235">
        <f t="shared" si="6"/>
        <v>-0.27206191107136879</v>
      </c>
      <c r="P13" s="212">
        <v>-0.2</v>
      </c>
      <c r="Q13" s="212">
        <v>0.1</v>
      </c>
      <c r="R13" s="212">
        <v>0.1</v>
      </c>
      <c r="S13" s="212"/>
      <c r="T13" s="212"/>
      <c r="U13" s="212"/>
      <c r="V13" s="212"/>
      <c r="W13" s="212"/>
      <c r="X13" s="212"/>
      <c r="Y13" s="236"/>
      <c r="Z13" s="214"/>
      <c r="AA13" s="214"/>
      <c r="AB13" s="214"/>
      <c r="AC13" s="214"/>
      <c r="AD13" s="214"/>
      <c r="AE13" s="214">
        <f t="shared" si="7"/>
        <v>0.31906312390293579</v>
      </c>
      <c r="AF13" s="214">
        <f t="shared" si="7"/>
        <v>0.13692695265280408</v>
      </c>
      <c r="AG13" s="214">
        <f t="shared" si="7"/>
        <v>0.11993566977149372</v>
      </c>
      <c r="AH13" s="214">
        <f t="shared" si="7"/>
        <v>0.14652242592503928</v>
      </c>
      <c r="AI13" s="214">
        <f t="shared" si="7"/>
        <v>0.27643133489200644</v>
      </c>
      <c r="AJ13" s="214">
        <f t="shared" si="7"/>
        <v>0.23466720453994117</v>
      </c>
      <c r="AK13" s="214">
        <f t="shared" si="7"/>
        <v>1.1757927107916455E-2</v>
      </c>
      <c r="AL13" s="214">
        <f t="shared" si="7"/>
        <v>0.23567250058368239</v>
      </c>
      <c r="AM13" s="237">
        <f t="shared" si="7"/>
        <v>0.43075021410723924</v>
      </c>
      <c r="AN13" s="214">
        <f t="shared" si="7"/>
        <v>-0.24087870152213975</v>
      </c>
      <c r="AO13" s="214">
        <f t="shared" si="7"/>
        <v>0.10000000000000009</v>
      </c>
      <c r="AP13" s="238">
        <v>0.15</v>
      </c>
      <c r="AQ13" s="238">
        <v>0.1</v>
      </c>
      <c r="AR13" s="238">
        <v>0.1</v>
      </c>
      <c r="AS13" s="206"/>
    </row>
    <row r="14" spans="1:45" s="207" customFormat="1" x14ac:dyDescent="0.35">
      <c r="A14" s="234" t="s">
        <v>641</v>
      </c>
      <c r="B14" s="209"/>
      <c r="C14" s="210"/>
      <c r="D14" s="210"/>
      <c r="E14" s="210">
        <f t="shared" si="6"/>
        <v>0.16171263193735097</v>
      </c>
      <c r="F14" s="210">
        <f t="shared" si="6"/>
        <v>0.15811912050432642</v>
      </c>
      <c r="G14" s="210">
        <f t="shared" si="6"/>
        <v>0.13838127756854579</v>
      </c>
      <c r="H14" s="210">
        <f t="shared" si="6"/>
        <v>0.14067082664478026</v>
      </c>
      <c r="I14" s="210">
        <f t="shared" si="6"/>
        <v>0.20780875878581906</v>
      </c>
      <c r="J14" s="210">
        <f t="shared" si="6"/>
        <v>0.37331231218521177</v>
      </c>
      <c r="K14" s="210">
        <f t="shared" si="6"/>
        <v>0.22860644817479336</v>
      </c>
      <c r="L14" s="210">
        <f t="shared" si="6"/>
        <v>0.13771583107967578</v>
      </c>
      <c r="M14" s="210">
        <f t="shared" si="6"/>
        <v>0.27115394624980493</v>
      </c>
      <c r="N14" s="210">
        <f t="shared" si="6"/>
        <v>0.25571063841314312</v>
      </c>
      <c r="O14" s="235">
        <f t="shared" si="6"/>
        <v>0.31498454252001284</v>
      </c>
      <c r="P14" s="212">
        <v>0.3</v>
      </c>
      <c r="Q14" s="212">
        <v>0.1</v>
      </c>
      <c r="R14" s="212">
        <v>0.1</v>
      </c>
      <c r="S14" s="212"/>
      <c r="T14" s="212"/>
      <c r="U14" s="212"/>
      <c r="V14" s="212"/>
      <c r="W14" s="212"/>
      <c r="X14" s="212"/>
      <c r="Y14" s="236"/>
      <c r="Z14" s="214"/>
      <c r="AA14" s="214"/>
      <c r="AB14" s="214"/>
      <c r="AC14" s="214"/>
      <c r="AD14" s="214"/>
      <c r="AE14" s="214">
        <f t="shared" si="7"/>
        <v>0.52019462624870827</v>
      </c>
      <c r="AF14" s="214">
        <f t="shared" si="7"/>
        <v>0.20053816739838548</v>
      </c>
      <c r="AG14" s="214">
        <f t="shared" si="7"/>
        <v>0.19949274507490866</v>
      </c>
      <c r="AH14" s="214">
        <f t="shared" si="7"/>
        <v>0.28127182069413181</v>
      </c>
      <c r="AI14" s="214">
        <f t="shared" si="7"/>
        <v>0.15973933267322171</v>
      </c>
      <c r="AJ14" s="214">
        <f t="shared" si="7"/>
        <v>0.13963677759246007</v>
      </c>
      <c r="AK14" s="214">
        <f t="shared" si="7"/>
        <v>0.29864684360299676</v>
      </c>
      <c r="AL14" s="214">
        <f t="shared" si="7"/>
        <v>0.17585213805933453</v>
      </c>
      <c r="AM14" s="237">
        <f t="shared" si="7"/>
        <v>0.26248112665771628</v>
      </c>
      <c r="AN14" s="214">
        <f t="shared" si="7"/>
        <v>0.30661449060559787</v>
      </c>
      <c r="AO14" s="214">
        <f t="shared" si="7"/>
        <v>0.10000000000000009</v>
      </c>
      <c r="AP14" s="238">
        <v>0.15</v>
      </c>
      <c r="AQ14" s="238">
        <v>0.10000000000000009</v>
      </c>
      <c r="AR14" s="238">
        <v>0.10000000000000009</v>
      </c>
      <c r="AS14" s="206"/>
    </row>
    <row r="15" spans="1:45" s="227" customFormat="1" x14ac:dyDescent="0.35">
      <c r="A15" s="239" t="s">
        <v>642</v>
      </c>
      <c r="B15" s="218"/>
      <c r="C15" s="219"/>
      <c r="D15" s="219"/>
      <c r="E15" s="219">
        <f t="shared" si="6"/>
        <v>0.2494200026423572</v>
      </c>
      <c r="F15" s="219">
        <f t="shared" si="6"/>
        <v>0.34093992546846508</v>
      </c>
      <c r="G15" s="219">
        <f t="shared" si="6"/>
        <v>0.28532303534154035</v>
      </c>
      <c r="H15" s="219">
        <f t="shared" si="6"/>
        <v>0.32434567657904023</v>
      </c>
      <c r="I15" s="219">
        <f t="shared" si="6"/>
        <v>0.19739171641250763</v>
      </c>
      <c r="J15" s="219">
        <f t="shared" si="6"/>
        <v>0.13910441171363797</v>
      </c>
      <c r="K15" s="219">
        <f t="shared" si="6"/>
        <v>0.19663278010009289</v>
      </c>
      <c r="L15" s="219">
        <f t="shared" si="6"/>
        <v>0.16239524687278495</v>
      </c>
      <c r="M15" s="219">
        <f t="shared" si="6"/>
        <v>0.33017882078418404</v>
      </c>
      <c r="N15" s="219">
        <f t="shared" si="6"/>
        <v>0.26373704600121406</v>
      </c>
      <c r="O15" s="240">
        <f t="shared" si="6"/>
        <v>4.8679102267812357E-2</v>
      </c>
      <c r="P15" s="219">
        <f>P39/N39-1</f>
        <v>0.10979561160869133</v>
      </c>
      <c r="Q15" s="219">
        <f>Q39/O39-1</f>
        <v>0.10000000000000031</v>
      </c>
      <c r="R15" s="219">
        <f>R39/P39-1</f>
        <v>0.10000000000000009</v>
      </c>
      <c r="S15" s="219"/>
      <c r="T15" s="219"/>
      <c r="U15" s="219"/>
      <c r="V15" s="219"/>
      <c r="W15" s="219"/>
      <c r="X15" s="219"/>
      <c r="Y15" s="219"/>
      <c r="Z15" s="223"/>
      <c r="AA15" s="223"/>
      <c r="AB15" s="223"/>
      <c r="AC15" s="223"/>
      <c r="AD15" s="223"/>
      <c r="AE15" s="223">
        <f t="shared" si="7"/>
        <v>0.27552582904618017</v>
      </c>
      <c r="AF15" s="223">
        <f t="shared" si="7"/>
        <v>0.18083903034289017</v>
      </c>
      <c r="AG15" s="223">
        <f t="shared" si="7"/>
        <v>0.12794673233973763</v>
      </c>
      <c r="AH15" s="223">
        <f t="shared" si="7"/>
        <v>0.23817172875477199</v>
      </c>
      <c r="AI15" s="223">
        <f t="shared" si="7"/>
        <v>0.29933476358761624</v>
      </c>
      <c r="AJ15" s="223">
        <f t="shared" si="7"/>
        <v>0.30728738127243038</v>
      </c>
      <c r="AK15" s="223">
        <f t="shared" si="7"/>
        <v>0.16415593636497361</v>
      </c>
      <c r="AL15" s="223">
        <f t="shared" si="7"/>
        <v>0.17753043237388622</v>
      </c>
      <c r="AM15" s="241">
        <f t="shared" si="7"/>
        <v>0.29358504777037187</v>
      </c>
      <c r="AN15" s="223">
        <f t="shared" si="7"/>
        <v>8.1563223194712764E-2</v>
      </c>
      <c r="AO15" s="223">
        <f t="shared" si="7"/>
        <v>0.10000000000000009</v>
      </c>
      <c r="AP15" s="223">
        <f>AP39/AO39-1</f>
        <v>0.14999999999999991</v>
      </c>
      <c r="AQ15" s="223">
        <f>AQ39/AP39-1</f>
        <v>0.10000000000000009</v>
      </c>
      <c r="AR15" s="223">
        <f>AR39/AQ39-1</f>
        <v>0.10000000000000009</v>
      </c>
      <c r="AS15" s="226"/>
    </row>
    <row r="16" spans="1:45" s="227" customFormat="1" x14ac:dyDescent="0.35">
      <c r="A16" s="228"/>
      <c r="B16" s="229"/>
      <c r="C16" s="230"/>
      <c r="D16" s="230"/>
      <c r="E16" s="230"/>
      <c r="F16" s="230"/>
      <c r="G16" s="230"/>
      <c r="H16" s="230"/>
      <c r="I16" s="230"/>
      <c r="J16" s="230"/>
      <c r="K16" s="230"/>
      <c r="L16" s="230"/>
      <c r="M16" s="230"/>
      <c r="N16" s="230"/>
      <c r="O16" s="231"/>
      <c r="P16" s="230"/>
      <c r="Q16" s="230"/>
      <c r="R16" s="230"/>
      <c r="S16" s="230"/>
      <c r="T16" s="230"/>
      <c r="U16" s="230"/>
      <c r="V16" s="230"/>
      <c r="W16" s="230"/>
      <c r="X16" s="230"/>
      <c r="Y16" s="230"/>
      <c r="Z16" s="232"/>
      <c r="AA16" s="232"/>
      <c r="AB16" s="232"/>
      <c r="AC16" s="232"/>
      <c r="AD16" s="232"/>
      <c r="AE16" s="232"/>
      <c r="AF16" s="232"/>
      <c r="AG16" s="232"/>
      <c r="AH16" s="232"/>
      <c r="AI16" s="232"/>
      <c r="AJ16" s="232"/>
      <c r="AK16" s="232"/>
      <c r="AL16" s="232"/>
      <c r="AM16" s="233"/>
      <c r="AN16" s="232"/>
      <c r="AO16" s="232"/>
      <c r="AP16" s="232"/>
      <c r="AQ16" s="232"/>
      <c r="AR16" s="232"/>
      <c r="AS16" s="226"/>
    </row>
    <row r="17" spans="1:45" s="227" customFormat="1" x14ac:dyDescent="0.35">
      <c r="A17" s="228" t="s">
        <v>643</v>
      </c>
      <c r="B17" s="229"/>
      <c r="C17" s="230"/>
      <c r="D17" s="230"/>
      <c r="E17" s="230">
        <f t="shared" ref="E17:R17" si="8">E175/C175-1</f>
        <v>0.22179591836734658</v>
      </c>
      <c r="F17" s="230">
        <f t="shared" si="8"/>
        <v>0.3365839361602927</v>
      </c>
      <c r="G17" s="230">
        <f t="shared" si="8"/>
        <v>0.26507650163693519</v>
      </c>
      <c r="H17" s="230">
        <f t="shared" si="8"/>
        <v>0.1609022406506655</v>
      </c>
      <c r="I17" s="230">
        <f t="shared" si="8"/>
        <v>0.1795673483184046</v>
      </c>
      <c r="J17" s="230">
        <f t="shared" si="8"/>
        <v>6.4926033089781177E-2</v>
      </c>
      <c r="K17" s="230">
        <f t="shared" si="8"/>
        <v>0.20409771473601279</v>
      </c>
      <c r="L17" s="230">
        <f t="shared" si="8"/>
        <v>0.14400199946788361</v>
      </c>
      <c r="M17" s="230">
        <f t="shared" si="8"/>
        <v>0.11710941218467408</v>
      </c>
      <c r="N17" s="230">
        <f t="shared" si="8"/>
        <v>0.24740299096508656</v>
      </c>
      <c r="O17" s="231">
        <f t="shared" si="8"/>
        <v>0.17870195924399601</v>
      </c>
      <c r="P17" s="230">
        <f t="shared" si="8"/>
        <v>-0.39047584421380876</v>
      </c>
      <c r="Q17" s="230">
        <f t="shared" si="8"/>
        <v>-0.34023298970935401</v>
      </c>
      <c r="R17" s="230">
        <f t="shared" si="8"/>
        <v>0.10000000000000031</v>
      </c>
      <c r="S17" s="230"/>
      <c r="T17" s="230"/>
      <c r="U17" s="230"/>
      <c r="V17" s="230"/>
      <c r="W17" s="230"/>
      <c r="X17" s="230"/>
      <c r="Y17" s="230"/>
      <c r="Z17" s="232"/>
      <c r="AA17" s="232"/>
      <c r="AB17" s="232"/>
      <c r="AC17" s="232"/>
      <c r="AD17" s="232"/>
      <c r="AE17" s="232">
        <f t="shared" ref="AE17:AR17" si="9">AE175/AD175-1</f>
        <v>0.25542113996397808</v>
      </c>
      <c r="AF17" s="232">
        <f t="shared" si="9"/>
        <v>0.16102393782266256</v>
      </c>
      <c r="AG17" s="232">
        <f t="shared" si="9"/>
        <v>0.17457552906835394</v>
      </c>
      <c r="AH17" s="232">
        <f t="shared" si="9"/>
        <v>0.12919472816587563</v>
      </c>
      <c r="AI17" s="232">
        <f t="shared" si="9"/>
        <v>0.28500583216567765</v>
      </c>
      <c r="AJ17" s="232">
        <f t="shared" si="9"/>
        <v>0.20540867648989813</v>
      </c>
      <c r="AK17" s="232">
        <f t="shared" si="9"/>
        <v>0.11632874402655968</v>
      </c>
      <c r="AL17" s="232">
        <f t="shared" si="9"/>
        <v>0.17247406716022162</v>
      </c>
      <c r="AM17" s="233">
        <f t="shared" si="9"/>
        <v>0.1840077001570426</v>
      </c>
      <c r="AN17" s="232">
        <f t="shared" si="9"/>
        <v>-0.12918564209529049</v>
      </c>
      <c r="AO17" s="232">
        <f t="shared" si="9"/>
        <v>-0.17354965917996157</v>
      </c>
      <c r="AP17" s="232">
        <f t="shared" si="9"/>
        <v>0.1232558139534885</v>
      </c>
      <c r="AQ17" s="232">
        <f t="shared" si="9"/>
        <v>9.9999999999999867E-2</v>
      </c>
      <c r="AR17" s="232">
        <f t="shared" si="9"/>
        <v>0.10000000000000053</v>
      </c>
      <c r="AS17" s="226"/>
    </row>
    <row r="18" spans="1:45" s="227" customFormat="1" x14ac:dyDescent="0.35">
      <c r="A18" s="228" t="s">
        <v>644</v>
      </c>
      <c r="B18" s="229"/>
      <c r="C18" s="230"/>
      <c r="D18" s="230"/>
      <c r="E18" s="230">
        <f t="shared" ref="E18:R18" si="10">E178/C178-1</f>
        <v>0.15403025081370747</v>
      </c>
      <c r="F18" s="230">
        <f t="shared" si="10"/>
        <v>0.50023915271609298</v>
      </c>
      <c r="G18" s="230">
        <f t="shared" si="10"/>
        <v>0.40414765657403806</v>
      </c>
      <c r="H18" s="230">
        <f t="shared" si="10"/>
        <v>0.15303333940608432</v>
      </c>
      <c r="I18" s="230">
        <f t="shared" si="10"/>
        <v>0.19566373249837499</v>
      </c>
      <c r="J18" s="230">
        <f t="shared" si="10"/>
        <v>5.1805182493282809E-2</v>
      </c>
      <c r="K18" s="230">
        <f t="shared" si="10"/>
        <v>0.409753446316518</v>
      </c>
      <c r="L18" s="230">
        <f t="shared" si="10"/>
        <v>0.17081964134823036</v>
      </c>
      <c r="M18" s="230">
        <f t="shared" si="10"/>
        <v>0.12387845226412475</v>
      </c>
      <c r="N18" s="230">
        <f t="shared" si="10"/>
        <v>0.15492686682063095</v>
      </c>
      <c r="O18" s="231">
        <f t="shared" si="10"/>
        <v>-1.6559337626496418E-2</v>
      </c>
      <c r="P18" s="230">
        <f t="shared" si="10"/>
        <v>-0.40770600802643897</v>
      </c>
      <c r="Q18" s="230">
        <f t="shared" si="10"/>
        <v>-0.26777072569009497</v>
      </c>
      <c r="R18" s="230">
        <f t="shared" si="10"/>
        <v>0.10000000000000009</v>
      </c>
      <c r="S18" s="230"/>
      <c r="T18" s="230"/>
      <c r="U18" s="230"/>
      <c r="V18" s="230"/>
      <c r="W18" s="230"/>
      <c r="X18" s="230"/>
      <c r="Y18" s="230"/>
      <c r="Z18" s="232"/>
      <c r="AA18" s="232"/>
      <c r="AB18" s="232"/>
      <c r="AC18" s="232"/>
      <c r="AD18" s="232"/>
      <c r="AE18" s="232">
        <f t="shared" ref="AE18:AR18" si="11">AE178/AD178-1</f>
        <v>0.29815843320666668</v>
      </c>
      <c r="AF18" s="232">
        <f t="shared" si="11"/>
        <v>0.11410718306687428</v>
      </c>
      <c r="AG18" s="232">
        <f t="shared" si="11"/>
        <v>6.5888535192766051E-2</v>
      </c>
      <c r="AH18" s="232">
        <f t="shared" si="11"/>
        <v>0.18895472860867524</v>
      </c>
      <c r="AI18" s="232">
        <f t="shared" si="11"/>
        <v>0.35604640963279</v>
      </c>
      <c r="AJ18" s="232">
        <f t="shared" si="11"/>
        <v>0.24203934021346063</v>
      </c>
      <c r="AK18" s="232">
        <f t="shared" si="11"/>
        <v>0.10945008640484666</v>
      </c>
      <c r="AL18" s="232">
        <f t="shared" si="11"/>
        <v>0.27400168563899641</v>
      </c>
      <c r="AM18" s="233">
        <f t="shared" si="11"/>
        <v>0.14009010517853548</v>
      </c>
      <c r="AN18" s="232">
        <f t="shared" si="11"/>
        <v>-0.22345091666972716</v>
      </c>
      <c r="AO18" s="232">
        <f t="shared" si="11"/>
        <v>-0.1193998194907413</v>
      </c>
      <c r="AP18" s="232">
        <f t="shared" si="11"/>
        <v>8.235294117647074E-2</v>
      </c>
      <c r="AQ18" s="232">
        <f t="shared" si="11"/>
        <v>0.10000000000000009</v>
      </c>
      <c r="AR18" s="232">
        <f t="shared" si="11"/>
        <v>0.10000000000000053</v>
      </c>
      <c r="AS18" s="226"/>
    </row>
    <row r="19" spans="1:45" s="227" customFormat="1" x14ac:dyDescent="0.35">
      <c r="A19" s="228"/>
      <c r="B19" s="229"/>
      <c r="C19" s="230"/>
      <c r="D19" s="230"/>
      <c r="E19" s="230"/>
      <c r="F19" s="230"/>
      <c r="G19" s="230"/>
      <c r="H19" s="230"/>
      <c r="I19" s="230"/>
      <c r="J19" s="230"/>
      <c r="K19" s="230"/>
      <c r="L19" s="230"/>
      <c r="M19" s="230"/>
      <c r="N19" s="230"/>
      <c r="O19" s="231"/>
      <c r="P19" s="230"/>
      <c r="Q19" s="230"/>
      <c r="R19" s="230"/>
      <c r="S19" s="230"/>
      <c r="T19" s="230"/>
      <c r="U19" s="230"/>
      <c r="V19" s="230"/>
      <c r="W19" s="230"/>
      <c r="X19" s="230"/>
      <c r="Y19" s="230"/>
      <c r="Z19" s="232"/>
      <c r="AA19" s="232"/>
      <c r="AB19" s="232"/>
      <c r="AC19" s="232"/>
      <c r="AD19" s="232"/>
      <c r="AE19" s="232"/>
      <c r="AF19" s="232"/>
      <c r="AG19" s="232"/>
      <c r="AH19" s="232"/>
      <c r="AI19" s="232"/>
      <c r="AJ19" s="232"/>
      <c r="AK19" s="232"/>
      <c r="AL19" s="232"/>
      <c r="AM19" s="233"/>
      <c r="AN19" s="232"/>
      <c r="AO19" s="232"/>
      <c r="AP19" s="232"/>
      <c r="AQ19" s="232"/>
      <c r="AR19" s="232"/>
      <c r="AS19" s="226"/>
    </row>
    <row r="20" spans="1:45" s="167" customFormat="1" x14ac:dyDescent="0.35">
      <c r="A20" s="242" t="s">
        <v>645</v>
      </c>
      <c r="B20" s="243"/>
      <c r="C20" s="243"/>
      <c r="D20" s="243"/>
      <c r="E20" s="243"/>
      <c r="F20" s="243"/>
      <c r="G20" s="243"/>
      <c r="H20" s="243"/>
      <c r="I20" s="243"/>
      <c r="J20" s="243"/>
      <c r="K20" s="243"/>
      <c r="L20" s="243"/>
      <c r="M20" s="244" t="s">
        <v>632</v>
      </c>
      <c r="N20" s="243"/>
      <c r="O20" s="245"/>
      <c r="P20" s="243"/>
      <c r="Q20" s="243"/>
      <c r="R20" s="243"/>
      <c r="S20" s="243"/>
      <c r="T20" s="243"/>
      <c r="U20" s="243"/>
      <c r="V20" s="243"/>
      <c r="W20" s="243"/>
      <c r="X20" s="243"/>
      <c r="Y20" s="243"/>
      <c r="Z20" s="243"/>
      <c r="AA20" s="243"/>
      <c r="AB20" s="243"/>
      <c r="AC20" s="243"/>
      <c r="AD20" s="243"/>
      <c r="AE20" s="243"/>
      <c r="AF20" s="243"/>
      <c r="AG20" s="243"/>
      <c r="AH20" s="243"/>
      <c r="AI20" s="243"/>
      <c r="AJ20" s="243"/>
      <c r="AK20" s="243"/>
      <c r="AL20" s="243"/>
      <c r="AM20" s="245"/>
      <c r="AN20" s="243"/>
      <c r="AO20" s="243"/>
      <c r="AP20" s="243"/>
      <c r="AQ20" s="243"/>
      <c r="AR20" s="243"/>
      <c r="AS20" s="166"/>
    </row>
    <row r="21" spans="1:45" s="167" customFormat="1" x14ac:dyDescent="0.35">
      <c r="A21" s="246" t="s">
        <v>646</v>
      </c>
      <c r="B21" s="247"/>
      <c r="C21" s="164"/>
      <c r="D21" s="164"/>
      <c r="E21" s="248">
        <v>168.34899999999999</v>
      </c>
      <c r="F21" s="164">
        <f>AI21-SUM(E21)</f>
        <v>210.46199999999999</v>
      </c>
      <c r="G21" s="248">
        <v>200.93</v>
      </c>
      <c r="H21" s="164">
        <f>AJ21-SUM(G21)</f>
        <v>275.53100000000001</v>
      </c>
      <c r="I21" s="248">
        <v>252.92699999999999</v>
      </c>
      <c r="J21" s="164">
        <f>AK21-SUM(I21)</f>
        <v>266.59299999999996</v>
      </c>
      <c r="K21" s="248">
        <v>240.09399999999999</v>
      </c>
      <c r="L21" s="164">
        <f>AL21-SUM(K21)</f>
        <v>260.964</v>
      </c>
      <c r="M21" s="248">
        <v>66.608999999999995</v>
      </c>
      <c r="N21" s="164">
        <f>AM21-M21</f>
        <v>83.391000000000005</v>
      </c>
      <c r="O21" s="249">
        <v>83.661000000000001</v>
      </c>
      <c r="P21" s="164">
        <f t="shared" ref="P21:R23" si="12">P36*P31</f>
        <v>126.85296000000001</v>
      </c>
      <c r="Q21" s="164">
        <f t="shared" si="12"/>
        <v>98.307066000000006</v>
      </c>
      <c r="R21" s="164">
        <f t="shared" si="12"/>
        <v>139.53825600000002</v>
      </c>
      <c r="S21" s="164"/>
      <c r="T21" s="164"/>
      <c r="U21" s="164"/>
      <c r="V21" s="164"/>
      <c r="W21" s="164"/>
      <c r="X21" s="164"/>
      <c r="Y21" s="164"/>
      <c r="Z21" s="250"/>
      <c r="AA21" s="250"/>
      <c r="AB21" s="250"/>
      <c r="AC21" s="250"/>
      <c r="AD21" s="250"/>
      <c r="AE21" s="250"/>
      <c r="AF21" s="250"/>
      <c r="AG21" s="250"/>
      <c r="AH21" s="250"/>
      <c r="AI21" s="251">
        <v>378.81099999999998</v>
      </c>
      <c r="AJ21" s="251">
        <v>476.46100000000001</v>
      </c>
      <c r="AK21" s="251">
        <v>519.52</v>
      </c>
      <c r="AL21" s="251">
        <v>501.05799999999999</v>
      </c>
      <c r="AM21" s="252">
        <v>150</v>
      </c>
      <c r="AN21" s="250">
        <f>SUM(O21,P21)</f>
        <v>210.51396</v>
      </c>
      <c r="AO21" s="250">
        <f>SUM(Q21,R21)</f>
        <v>237.84532200000001</v>
      </c>
      <c r="AP21" s="250">
        <f t="shared" ref="AP21:AR23" si="13">AP36*AP31</f>
        <v>273.52212029999998</v>
      </c>
      <c r="AQ21" s="250">
        <f t="shared" si="13"/>
        <v>300.87433233000007</v>
      </c>
      <c r="AR21" s="250">
        <f t="shared" si="13"/>
        <v>330.96176556300014</v>
      </c>
      <c r="AS21" s="166"/>
    </row>
    <row r="22" spans="1:45" s="167" customFormat="1" x14ac:dyDescent="0.35">
      <c r="A22" s="246" t="s">
        <v>647</v>
      </c>
      <c r="B22" s="247"/>
      <c r="C22" s="164"/>
      <c r="D22" s="164"/>
      <c r="E22" s="248">
        <v>156.363</v>
      </c>
      <c r="F22" s="164">
        <f>AI22-SUM(E22)</f>
        <v>192.75600000000003</v>
      </c>
      <c r="G22" s="248">
        <v>194.97</v>
      </c>
      <c r="H22" s="164">
        <f>AJ22-SUM(G22)</f>
        <v>235.96299999999999</v>
      </c>
      <c r="I22" s="248">
        <v>218.85599999999999</v>
      </c>
      <c r="J22" s="164">
        <f>AK22-SUM(I22)</f>
        <v>223.49299999999999</v>
      </c>
      <c r="K22" s="248">
        <v>289.17</v>
      </c>
      <c r="L22" s="164">
        <f>AL22-SUM(K22)</f>
        <v>267.30199999999996</v>
      </c>
      <c r="M22" s="248">
        <v>451.51</v>
      </c>
      <c r="N22" s="164">
        <f>AM22-M22</f>
        <v>346.38700000000006</v>
      </c>
      <c r="O22" s="249">
        <v>330.89100000000002</v>
      </c>
      <c r="P22" s="164">
        <f t="shared" si="12"/>
        <v>266.46663999999998</v>
      </c>
      <c r="Q22" s="164">
        <f t="shared" si="12"/>
        <v>349.6361</v>
      </c>
      <c r="R22" s="164">
        <f t="shared" si="12"/>
        <v>293.11330399999997</v>
      </c>
      <c r="S22" s="164"/>
      <c r="T22" s="164"/>
      <c r="U22" s="164"/>
      <c r="V22" s="164"/>
      <c r="W22" s="164"/>
      <c r="X22" s="164"/>
      <c r="Y22" s="164"/>
      <c r="Z22" s="250"/>
      <c r="AA22" s="250"/>
      <c r="AB22" s="250"/>
      <c r="AC22" s="250"/>
      <c r="AD22" s="250"/>
      <c r="AE22" s="250"/>
      <c r="AF22" s="250"/>
      <c r="AG22" s="250"/>
      <c r="AH22" s="250"/>
      <c r="AI22" s="251">
        <v>349.11900000000003</v>
      </c>
      <c r="AJ22" s="251">
        <v>430.93299999999999</v>
      </c>
      <c r="AK22" s="251">
        <v>442.34899999999999</v>
      </c>
      <c r="AL22" s="251">
        <v>556.47199999999998</v>
      </c>
      <c r="AM22" s="252">
        <v>797.89700000000005</v>
      </c>
      <c r="AN22" s="250">
        <f>SUM(O22,P22)</f>
        <v>597.35763999999995</v>
      </c>
      <c r="AO22" s="250">
        <f>SUM(Q22,R22)</f>
        <v>642.74940399999991</v>
      </c>
      <c r="AP22" s="250">
        <f t="shared" si="13"/>
        <v>739.16181459999996</v>
      </c>
      <c r="AQ22" s="250">
        <f t="shared" si="13"/>
        <v>813.07799606000003</v>
      </c>
      <c r="AR22" s="250">
        <f t="shared" si="13"/>
        <v>894.38579566600015</v>
      </c>
      <c r="AS22" s="166"/>
    </row>
    <row r="23" spans="1:45" s="167" customFormat="1" x14ac:dyDescent="0.35">
      <c r="A23" s="246" t="s">
        <v>648</v>
      </c>
      <c r="B23" s="247"/>
      <c r="C23" s="164"/>
      <c r="D23" s="164"/>
      <c r="E23" s="248">
        <v>33.591999999999999</v>
      </c>
      <c r="F23" s="164">
        <f>AI23-SUM(E23)</f>
        <v>35.686000000000007</v>
      </c>
      <c r="G23" s="248">
        <v>38.07</v>
      </c>
      <c r="H23" s="164">
        <f>AJ23-SUM(G23)</f>
        <v>46.384999999999998</v>
      </c>
      <c r="I23" s="248">
        <v>52.365000000000002</v>
      </c>
      <c r="J23" s="164">
        <f>AK23-SUM(I23)</f>
        <v>62.892999999999994</v>
      </c>
      <c r="K23" s="248">
        <v>47.723999999999997</v>
      </c>
      <c r="L23" s="164">
        <f>AL23-SUM(K23)</f>
        <v>51.413000000000004</v>
      </c>
      <c r="M23" s="248">
        <v>59.701000000000001</v>
      </c>
      <c r="N23" s="164">
        <f>AM23-M23</f>
        <v>70.348000000000013</v>
      </c>
      <c r="O23" s="249">
        <v>97.852999999999994</v>
      </c>
      <c r="P23" s="164">
        <f t="shared" si="12"/>
        <v>108.47186999999998</v>
      </c>
      <c r="Q23" s="164">
        <f t="shared" si="12"/>
        <v>95.379570000000015</v>
      </c>
      <c r="R23" s="164">
        <f t="shared" si="12"/>
        <v>119.319057</v>
      </c>
      <c r="S23" s="164"/>
      <c r="T23" s="164"/>
      <c r="U23" s="164"/>
      <c r="V23" s="164"/>
      <c r="W23" s="164"/>
      <c r="X23" s="164"/>
      <c r="Y23" s="164"/>
      <c r="Z23" s="250"/>
      <c r="AA23" s="250"/>
      <c r="AB23" s="250"/>
      <c r="AC23" s="250"/>
      <c r="AD23" s="250"/>
      <c r="AE23" s="250"/>
      <c r="AF23" s="250"/>
      <c r="AG23" s="250"/>
      <c r="AH23" s="250"/>
      <c r="AI23" s="251">
        <v>69.278000000000006</v>
      </c>
      <c r="AJ23" s="251">
        <v>84.454999999999998</v>
      </c>
      <c r="AK23" s="251">
        <v>115.258</v>
      </c>
      <c r="AL23" s="251">
        <v>99.137</v>
      </c>
      <c r="AM23" s="252">
        <v>130.04900000000001</v>
      </c>
      <c r="AN23" s="250">
        <f>SUM(O23,P23)</f>
        <v>206.32486999999998</v>
      </c>
      <c r="AO23" s="250">
        <f>SUM(Q23,R23)</f>
        <v>214.69862700000002</v>
      </c>
      <c r="AP23" s="250">
        <f t="shared" si="13"/>
        <v>246.90342105000002</v>
      </c>
      <c r="AQ23" s="250">
        <f t="shared" si="13"/>
        <v>271.59376315500003</v>
      </c>
      <c r="AR23" s="250">
        <f t="shared" si="13"/>
        <v>298.75313947050012</v>
      </c>
      <c r="AS23" s="166"/>
    </row>
    <row r="24" spans="1:45" s="262" customFormat="1" x14ac:dyDescent="0.35">
      <c r="A24" s="253" t="s">
        <v>649</v>
      </c>
      <c r="B24" s="254"/>
      <c r="C24" s="255"/>
      <c r="D24" s="255"/>
      <c r="E24" s="256">
        <f t="shared" ref="E24:R24" si="14">SUM(E21:E23)</f>
        <v>358.30399999999997</v>
      </c>
      <c r="F24" s="256">
        <f t="shared" si="14"/>
        <v>438.904</v>
      </c>
      <c r="G24" s="256">
        <f t="shared" si="14"/>
        <v>433.96999999999997</v>
      </c>
      <c r="H24" s="256">
        <f t="shared" si="14"/>
        <v>557.87900000000002</v>
      </c>
      <c r="I24" s="256">
        <f t="shared" si="14"/>
        <v>524.14800000000002</v>
      </c>
      <c r="J24" s="256">
        <f t="shared" si="14"/>
        <v>552.97899999999993</v>
      </c>
      <c r="K24" s="256">
        <f t="shared" si="14"/>
        <v>576.98800000000006</v>
      </c>
      <c r="L24" s="256">
        <f t="shared" si="14"/>
        <v>579.67899999999997</v>
      </c>
      <c r="M24" s="256">
        <f t="shared" si="14"/>
        <v>577.82000000000005</v>
      </c>
      <c r="N24" s="255">
        <f t="shared" si="14"/>
        <v>500.12600000000009</v>
      </c>
      <c r="O24" s="257">
        <f t="shared" si="14"/>
        <v>512.40499999999997</v>
      </c>
      <c r="P24" s="255">
        <f t="shared" si="14"/>
        <v>501.79146999999995</v>
      </c>
      <c r="Q24" s="255">
        <f t="shared" si="14"/>
        <v>543.32273600000008</v>
      </c>
      <c r="R24" s="255">
        <f t="shared" si="14"/>
        <v>551.97061700000006</v>
      </c>
      <c r="S24" s="255"/>
      <c r="T24" s="255"/>
      <c r="U24" s="255"/>
      <c r="V24" s="255"/>
      <c r="W24" s="255"/>
      <c r="X24" s="255"/>
      <c r="Y24" s="255"/>
      <c r="Z24" s="258"/>
      <c r="AA24" s="258"/>
      <c r="AB24" s="258"/>
      <c r="AC24" s="258"/>
      <c r="AD24" s="258"/>
      <c r="AE24" s="258"/>
      <c r="AF24" s="258"/>
      <c r="AG24" s="258"/>
      <c r="AH24" s="258"/>
      <c r="AI24" s="259">
        <f t="shared" ref="AI24:AR24" si="15">SUM(AI21:AI23)</f>
        <v>797.20800000000008</v>
      </c>
      <c r="AJ24" s="259">
        <f t="shared" si="15"/>
        <v>991.84900000000005</v>
      </c>
      <c r="AK24" s="259">
        <f t="shared" si="15"/>
        <v>1077.127</v>
      </c>
      <c r="AL24" s="259">
        <f t="shared" si="15"/>
        <v>1156.6669999999999</v>
      </c>
      <c r="AM24" s="260">
        <f t="shared" si="15"/>
        <v>1077.9460000000001</v>
      </c>
      <c r="AN24" s="259">
        <f t="shared" si="15"/>
        <v>1014.1964699999999</v>
      </c>
      <c r="AO24" s="258">
        <f t="shared" si="15"/>
        <v>1095.293353</v>
      </c>
      <c r="AP24" s="258">
        <f t="shared" si="15"/>
        <v>1259.5873559500001</v>
      </c>
      <c r="AQ24" s="258">
        <f t="shared" si="15"/>
        <v>1385.5460915450001</v>
      </c>
      <c r="AR24" s="258">
        <f t="shared" si="15"/>
        <v>1524.1007006995005</v>
      </c>
      <c r="AS24" s="261"/>
    </row>
    <row r="25" spans="1:45" s="167" customFormat="1" outlineLevel="1" x14ac:dyDescent="0.35">
      <c r="A25" s="263"/>
      <c r="B25" s="247"/>
      <c r="C25" s="164"/>
      <c r="D25" s="164"/>
      <c r="E25" s="164"/>
      <c r="F25" s="164"/>
      <c r="G25" s="164"/>
      <c r="H25" s="164"/>
      <c r="I25" s="164"/>
      <c r="J25" s="164"/>
      <c r="K25" s="164"/>
      <c r="L25" s="164"/>
      <c r="M25" s="164"/>
      <c r="N25" s="164"/>
      <c r="O25" s="165"/>
      <c r="P25" s="164"/>
      <c r="Q25" s="164"/>
      <c r="R25" s="164"/>
      <c r="S25" s="164"/>
      <c r="T25" s="164"/>
      <c r="U25" s="164"/>
      <c r="V25" s="164"/>
      <c r="W25" s="164"/>
      <c r="X25" s="164"/>
      <c r="Y25" s="164"/>
      <c r="Z25" s="250"/>
      <c r="AA25" s="250"/>
      <c r="AB25" s="250"/>
      <c r="AC25" s="250"/>
      <c r="AD25" s="250"/>
      <c r="AE25" s="250"/>
      <c r="AF25" s="250"/>
      <c r="AG25" s="250"/>
      <c r="AH25" s="250"/>
      <c r="AI25" s="250"/>
      <c r="AJ25" s="250"/>
      <c r="AK25" s="250"/>
      <c r="AL25" s="250"/>
      <c r="AM25" s="264"/>
      <c r="AN25" s="250"/>
      <c r="AO25" s="250"/>
      <c r="AP25" s="250"/>
      <c r="AQ25" s="250"/>
      <c r="AR25" s="250"/>
      <c r="AS25" s="166"/>
    </row>
    <row r="26" spans="1:45" s="273" customFormat="1" outlineLevel="1" x14ac:dyDescent="0.35">
      <c r="A26" s="265" t="s">
        <v>650</v>
      </c>
      <c r="B26" s="266"/>
      <c r="C26" s="267"/>
      <c r="D26" s="267"/>
      <c r="E26" s="268">
        <f t="shared" ref="E26:R29" si="16">E21/E$24</f>
        <v>0.46984962489952664</v>
      </c>
      <c r="F26" s="268">
        <f t="shared" si="16"/>
        <v>0.47951716092813007</v>
      </c>
      <c r="G26" s="268">
        <f t="shared" si="16"/>
        <v>0.46300435513975624</v>
      </c>
      <c r="H26" s="268">
        <f t="shared" si="16"/>
        <v>0.49389025218730226</v>
      </c>
      <c r="I26" s="268">
        <f t="shared" si="16"/>
        <v>0.48254882208841776</v>
      </c>
      <c r="J26" s="268">
        <f t="shared" si="16"/>
        <v>0.48210329867861168</v>
      </c>
      <c r="K26" s="268">
        <f t="shared" si="16"/>
        <v>0.4161161064008263</v>
      </c>
      <c r="L26" s="268">
        <f t="shared" si="16"/>
        <v>0.45018708630121157</v>
      </c>
      <c r="M26" s="268">
        <f t="shared" si="16"/>
        <v>0.11527638364888718</v>
      </c>
      <c r="N26" s="267">
        <f t="shared" si="16"/>
        <v>0.16673998152465577</v>
      </c>
      <c r="O26" s="269">
        <f t="shared" si="16"/>
        <v>0.16327124052263348</v>
      </c>
      <c r="P26" s="267">
        <f t="shared" si="16"/>
        <v>0.25280015222259561</v>
      </c>
      <c r="Q26" s="267">
        <f t="shared" si="16"/>
        <v>0.18093677935097491</v>
      </c>
      <c r="R26" s="267">
        <f t="shared" si="16"/>
        <v>0.25280015222259555</v>
      </c>
      <c r="S26" s="267"/>
      <c r="T26" s="267"/>
      <c r="U26" s="267"/>
      <c r="V26" s="267"/>
      <c r="W26" s="267"/>
      <c r="X26" s="267"/>
      <c r="Y26" s="267"/>
      <c r="Z26" s="270"/>
      <c r="AA26" s="270"/>
      <c r="AB26" s="270"/>
      <c r="AC26" s="270"/>
      <c r="AD26" s="270"/>
      <c r="AE26" s="270"/>
      <c r="AF26" s="270"/>
      <c r="AG26" s="270"/>
      <c r="AH26" s="270"/>
      <c r="AI26" s="271">
        <f t="shared" ref="AI26:AR28" si="17">AI21/AI$24</f>
        <v>0.4751721006312028</v>
      </c>
      <c r="AJ26" s="271">
        <f t="shared" si="17"/>
        <v>0.48037654925296086</v>
      </c>
      <c r="AK26" s="271">
        <f t="shared" si="17"/>
        <v>0.48232009781576363</v>
      </c>
      <c r="AL26" s="271">
        <f t="shared" si="17"/>
        <v>0.43319122962788775</v>
      </c>
      <c r="AM26" s="272">
        <f t="shared" si="17"/>
        <v>0.13915353830340293</v>
      </c>
      <c r="AN26" s="271">
        <f t="shared" si="17"/>
        <v>0.2075672379336915</v>
      </c>
      <c r="AO26" s="270">
        <f t="shared" si="17"/>
        <v>0.21715216416546629</v>
      </c>
      <c r="AP26" s="270">
        <f t="shared" si="17"/>
        <v>0.21715216416546623</v>
      </c>
      <c r="AQ26" s="270">
        <f t="shared" si="17"/>
        <v>0.21715216416546632</v>
      </c>
      <c r="AR26" s="270">
        <f t="shared" si="17"/>
        <v>0.21715216416546629</v>
      </c>
      <c r="AS26" s="268"/>
    </row>
    <row r="27" spans="1:45" s="273" customFormat="1" outlineLevel="1" x14ac:dyDescent="0.35">
      <c r="A27" s="265" t="s">
        <v>651</v>
      </c>
      <c r="B27" s="266"/>
      <c r="C27" s="267"/>
      <c r="D27" s="267"/>
      <c r="E27" s="268">
        <f t="shared" si="16"/>
        <v>0.43639758417433244</v>
      </c>
      <c r="F27" s="268">
        <f t="shared" si="16"/>
        <v>0.43917576508758188</v>
      </c>
      <c r="G27" s="268">
        <f t="shared" si="16"/>
        <v>0.44927068691384198</v>
      </c>
      <c r="H27" s="268">
        <f t="shared" si="16"/>
        <v>0.42296447796027453</v>
      </c>
      <c r="I27" s="268">
        <f t="shared" si="16"/>
        <v>0.41754618924425924</v>
      </c>
      <c r="J27" s="268">
        <f t="shared" si="16"/>
        <v>0.40416182169666481</v>
      </c>
      <c r="K27" s="268">
        <f t="shared" si="16"/>
        <v>0.50117160148911244</v>
      </c>
      <c r="L27" s="268">
        <f t="shared" si="16"/>
        <v>0.46112072371088131</v>
      </c>
      <c r="M27" s="268">
        <f t="shared" si="16"/>
        <v>0.78140251289328844</v>
      </c>
      <c r="N27" s="267">
        <f t="shared" si="16"/>
        <v>0.69259946493483637</v>
      </c>
      <c r="O27" s="269">
        <f t="shared" si="16"/>
        <v>0.64576067758901656</v>
      </c>
      <c r="P27" s="267">
        <f t="shared" si="16"/>
        <v>0.53103062911770904</v>
      </c>
      <c r="Q27" s="267">
        <f t="shared" si="16"/>
        <v>0.64351457583766558</v>
      </c>
      <c r="R27" s="267">
        <f t="shared" si="16"/>
        <v>0.53103062911770893</v>
      </c>
      <c r="S27" s="267"/>
      <c r="T27" s="267"/>
      <c r="U27" s="267"/>
      <c r="V27" s="267"/>
      <c r="W27" s="267"/>
      <c r="X27" s="267"/>
      <c r="Y27" s="267"/>
      <c r="Z27" s="270"/>
      <c r="AA27" s="270"/>
      <c r="AB27" s="270"/>
      <c r="AC27" s="270"/>
      <c r="AD27" s="270"/>
      <c r="AE27" s="270"/>
      <c r="AF27" s="270"/>
      <c r="AG27" s="270"/>
      <c r="AH27" s="270"/>
      <c r="AI27" s="271">
        <f t="shared" si="17"/>
        <v>0.43792711563356113</v>
      </c>
      <c r="AJ27" s="271">
        <f t="shared" si="17"/>
        <v>0.43447440084125705</v>
      </c>
      <c r="AK27" s="271">
        <f t="shared" si="17"/>
        <v>0.41067487863548124</v>
      </c>
      <c r="AL27" s="271">
        <f t="shared" si="17"/>
        <v>0.48109957317015184</v>
      </c>
      <c r="AM27" s="272">
        <f t="shared" si="17"/>
        <v>0.74020127167780203</v>
      </c>
      <c r="AN27" s="271">
        <f t="shared" si="17"/>
        <v>0.5889959762924436</v>
      </c>
      <c r="AO27" s="270">
        <f t="shared" si="17"/>
        <v>0.58682854437079734</v>
      </c>
      <c r="AP27" s="270">
        <f t="shared" si="17"/>
        <v>0.58682854437079734</v>
      </c>
      <c r="AQ27" s="270">
        <f t="shared" si="17"/>
        <v>0.58682854437079746</v>
      </c>
      <c r="AR27" s="270">
        <f t="shared" si="17"/>
        <v>0.58682854437079734</v>
      </c>
      <c r="AS27" s="268"/>
    </row>
    <row r="28" spans="1:45" s="273" customFormat="1" outlineLevel="1" x14ac:dyDescent="0.35">
      <c r="A28" s="265" t="s">
        <v>652</v>
      </c>
      <c r="B28" s="266"/>
      <c r="C28" s="267"/>
      <c r="D28" s="267"/>
      <c r="E28" s="268">
        <f t="shared" si="16"/>
        <v>9.375279092614093E-2</v>
      </c>
      <c r="F28" s="268">
        <f t="shared" si="16"/>
        <v>8.1307073984288158E-2</v>
      </c>
      <c r="G28" s="268">
        <f t="shared" si="16"/>
        <v>8.7724957946401838E-2</v>
      </c>
      <c r="H28" s="268">
        <f t="shared" si="16"/>
        <v>8.3145269852423195E-2</v>
      </c>
      <c r="I28" s="268">
        <f t="shared" si="16"/>
        <v>9.9904988667322975E-2</v>
      </c>
      <c r="J28" s="268">
        <f t="shared" si="16"/>
        <v>0.11373487962472355</v>
      </c>
      <c r="K28" s="268">
        <f t="shared" si="16"/>
        <v>8.2712292110061203E-2</v>
      </c>
      <c r="L28" s="268">
        <f t="shared" si="16"/>
        <v>8.8692189987907108E-2</v>
      </c>
      <c r="M28" s="268">
        <f t="shared" si="16"/>
        <v>0.10332110345782423</v>
      </c>
      <c r="N28" s="267">
        <f t="shared" si="16"/>
        <v>0.1406605535405078</v>
      </c>
      <c r="O28" s="269">
        <f t="shared" si="16"/>
        <v>0.19096808188835004</v>
      </c>
      <c r="P28" s="267">
        <f t="shared" si="16"/>
        <v>0.21616921865969541</v>
      </c>
      <c r="Q28" s="267">
        <f t="shared" si="16"/>
        <v>0.17554864481135943</v>
      </c>
      <c r="R28" s="267">
        <f t="shared" si="16"/>
        <v>0.21616921865969541</v>
      </c>
      <c r="S28" s="267"/>
      <c r="T28" s="267"/>
      <c r="U28" s="267"/>
      <c r="V28" s="267"/>
      <c r="W28" s="267"/>
      <c r="X28" s="267"/>
      <c r="Y28" s="267"/>
      <c r="Z28" s="270"/>
      <c r="AA28" s="270"/>
      <c r="AB28" s="270"/>
      <c r="AC28" s="270"/>
      <c r="AD28" s="270"/>
      <c r="AE28" s="270"/>
      <c r="AF28" s="270"/>
      <c r="AG28" s="270"/>
      <c r="AH28" s="270"/>
      <c r="AI28" s="271">
        <f t="shared" si="17"/>
        <v>8.6900783735235979E-2</v>
      </c>
      <c r="AJ28" s="271">
        <f t="shared" si="17"/>
        <v>8.5149049905782023E-2</v>
      </c>
      <c r="AK28" s="271">
        <f t="shared" si="17"/>
        <v>0.10700502354875516</v>
      </c>
      <c r="AL28" s="271">
        <f t="shared" si="17"/>
        <v>8.5709197201960463E-2</v>
      </c>
      <c r="AM28" s="272">
        <f t="shared" si="17"/>
        <v>0.12064519001879499</v>
      </c>
      <c r="AN28" s="271">
        <f t="shared" si="17"/>
        <v>0.2034367857738649</v>
      </c>
      <c r="AO28" s="270">
        <f t="shared" si="17"/>
        <v>0.19601929146373631</v>
      </c>
      <c r="AP28" s="270">
        <f t="shared" si="17"/>
        <v>0.19601929146373628</v>
      </c>
      <c r="AQ28" s="270">
        <f t="shared" si="17"/>
        <v>0.19601929146373631</v>
      </c>
      <c r="AR28" s="270">
        <f t="shared" si="17"/>
        <v>0.19601929146373631</v>
      </c>
      <c r="AS28" s="268"/>
    </row>
    <row r="29" spans="1:45" s="283" customFormat="1" outlineLevel="1" x14ac:dyDescent="0.35">
      <c r="A29" s="274" t="s">
        <v>653</v>
      </c>
      <c r="B29" s="275"/>
      <c r="C29" s="276"/>
      <c r="D29" s="276"/>
      <c r="E29" s="277">
        <f t="shared" si="16"/>
        <v>1</v>
      </c>
      <c r="F29" s="277">
        <f t="shared" si="16"/>
        <v>1</v>
      </c>
      <c r="G29" s="277">
        <f t="shared" si="16"/>
        <v>1</v>
      </c>
      <c r="H29" s="277">
        <f t="shared" si="16"/>
        <v>1</v>
      </c>
      <c r="I29" s="277">
        <f t="shared" si="16"/>
        <v>1</v>
      </c>
      <c r="J29" s="277">
        <f t="shared" si="16"/>
        <v>1</v>
      </c>
      <c r="K29" s="277">
        <f t="shared" si="16"/>
        <v>1</v>
      </c>
      <c r="L29" s="277">
        <f t="shared" si="16"/>
        <v>1</v>
      </c>
      <c r="M29" s="277">
        <f t="shared" ref="M29:R29" si="18">SUM(M26:M28)</f>
        <v>0.99999999999999978</v>
      </c>
      <c r="N29" s="276">
        <f t="shared" si="18"/>
        <v>0.99999999999999989</v>
      </c>
      <c r="O29" s="278">
        <f t="shared" si="18"/>
        <v>1.0000000000000002</v>
      </c>
      <c r="P29" s="276">
        <f t="shared" si="18"/>
        <v>1</v>
      </c>
      <c r="Q29" s="276">
        <f t="shared" si="18"/>
        <v>1</v>
      </c>
      <c r="R29" s="276">
        <f t="shared" si="18"/>
        <v>0.99999999999999989</v>
      </c>
      <c r="S29" s="276"/>
      <c r="T29" s="276"/>
      <c r="U29" s="276"/>
      <c r="V29" s="276"/>
      <c r="W29" s="276"/>
      <c r="X29" s="276"/>
      <c r="Y29" s="276"/>
      <c r="Z29" s="279"/>
      <c r="AA29" s="279"/>
      <c r="AB29" s="279"/>
      <c r="AC29" s="279"/>
      <c r="AD29" s="279"/>
      <c r="AE29" s="279"/>
      <c r="AF29" s="279"/>
      <c r="AG29" s="279"/>
      <c r="AH29" s="279"/>
      <c r="AI29" s="280">
        <f>AI24/AI$24</f>
        <v>1</v>
      </c>
      <c r="AJ29" s="280">
        <f>AJ24/AJ$24</f>
        <v>1</v>
      </c>
      <c r="AK29" s="280">
        <f>AK24/AK$24</f>
        <v>1</v>
      </c>
      <c r="AL29" s="280">
        <f>AL24/AL$24</f>
        <v>1</v>
      </c>
      <c r="AM29" s="281">
        <f t="shared" ref="AM29:AR29" si="19">SUM(AM26:AM28)</f>
        <v>1</v>
      </c>
      <c r="AN29" s="280">
        <f t="shared" si="19"/>
        <v>1</v>
      </c>
      <c r="AO29" s="279">
        <f t="shared" si="19"/>
        <v>0.99999999999999989</v>
      </c>
      <c r="AP29" s="279">
        <f t="shared" si="19"/>
        <v>0.99999999999999989</v>
      </c>
      <c r="AQ29" s="279">
        <f t="shared" si="19"/>
        <v>1</v>
      </c>
      <c r="AR29" s="279">
        <f t="shared" si="19"/>
        <v>0.99999999999999989</v>
      </c>
      <c r="AS29" s="282"/>
    </row>
    <row r="30" spans="1:45" s="283" customFormat="1" x14ac:dyDescent="0.35">
      <c r="A30" s="284"/>
      <c r="B30" s="285"/>
      <c r="C30" s="286"/>
      <c r="D30" s="286"/>
      <c r="E30" s="286"/>
      <c r="F30" s="286"/>
      <c r="G30" s="286"/>
      <c r="H30" s="286"/>
      <c r="I30" s="286"/>
      <c r="J30" s="286"/>
      <c r="K30" s="286"/>
      <c r="L30" s="286"/>
      <c r="M30" s="286"/>
      <c r="N30" s="286"/>
      <c r="O30" s="287"/>
      <c r="P30" s="286"/>
      <c r="Q30" s="286"/>
      <c r="R30" s="286"/>
      <c r="S30" s="286"/>
      <c r="T30" s="286"/>
      <c r="U30" s="286"/>
      <c r="V30" s="286"/>
      <c r="W30" s="286"/>
      <c r="X30" s="286"/>
      <c r="Y30" s="286"/>
      <c r="Z30" s="288"/>
      <c r="AA30" s="288"/>
      <c r="AB30" s="288"/>
      <c r="AC30" s="288"/>
      <c r="AD30" s="288"/>
      <c r="AE30" s="288"/>
      <c r="AF30" s="288"/>
      <c r="AG30" s="288"/>
      <c r="AH30" s="288"/>
      <c r="AI30" s="288"/>
      <c r="AJ30" s="288"/>
      <c r="AK30" s="288"/>
      <c r="AL30" s="288"/>
      <c r="AM30" s="289"/>
      <c r="AN30" s="288"/>
      <c r="AO30" s="288"/>
      <c r="AP30" s="288"/>
      <c r="AQ30" s="288"/>
      <c r="AR30" s="288"/>
      <c r="AS30" s="282"/>
    </row>
    <row r="31" spans="1:45" s="207" customFormat="1" x14ac:dyDescent="0.35">
      <c r="A31" s="234" t="s">
        <v>654</v>
      </c>
      <c r="B31" s="290"/>
      <c r="C31" s="291"/>
      <c r="D31" s="291"/>
      <c r="E31" s="291">
        <f t="shared" ref="E31:O33" si="20">E21/E36</f>
        <v>0.70171438575138279</v>
      </c>
      <c r="F31" s="291">
        <f t="shared" si="20"/>
        <v>0.64997930808714077</v>
      </c>
      <c r="G31" s="291">
        <f t="shared" si="20"/>
        <v>0.61192916203499259</v>
      </c>
      <c r="H31" s="291">
        <f t="shared" si="20"/>
        <v>0.59826771585155081</v>
      </c>
      <c r="I31" s="291">
        <f t="shared" si="20"/>
        <v>0.61738451211326051</v>
      </c>
      <c r="J31" s="291">
        <f t="shared" si="20"/>
        <v>0.48068986035106059</v>
      </c>
      <c r="K31" s="291">
        <f t="shared" si="20"/>
        <v>0.52009713343716768</v>
      </c>
      <c r="L31" s="291">
        <f t="shared" si="20"/>
        <v>0.40299274976257204</v>
      </c>
      <c r="M31" s="291">
        <f t="shared" si="20"/>
        <v>0.12062848729497286</v>
      </c>
      <c r="N31" s="291">
        <f t="shared" si="20"/>
        <v>0.10255177332874219</v>
      </c>
      <c r="O31" s="292">
        <f t="shared" si="20"/>
        <v>0.12169545371235065</v>
      </c>
      <c r="P31" s="293">
        <v>0.13</v>
      </c>
      <c r="Q31" s="293">
        <v>0.13</v>
      </c>
      <c r="R31" s="293">
        <v>0.13</v>
      </c>
      <c r="S31" s="293"/>
      <c r="T31" s="293"/>
      <c r="U31" s="293"/>
      <c r="V31" s="293"/>
      <c r="W31" s="293"/>
      <c r="X31" s="293"/>
      <c r="Y31" s="294"/>
      <c r="Z31" s="295"/>
      <c r="AA31" s="295"/>
      <c r="AB31" s="295"/>
      <c r="AC31" s="295"/>
      <c r="AD31" s="295"/>
      <c r="AE31" s="295"/>
      <c r="AF31" s="295"/>
      <c r="AG31" s="295"/>
      <c r="AH31" s="295"/>
      <c r="AI31" s="295">
        <f t="shared" ref="AI31:AO33" si="21">AI21/AI36</f>
        <v>0.67199743129877298</v>
      </c>
      <c r="AJ31" s="295">
        <f t="shared" si="21"/>
        <v>0.60395384476925551</v>
      </c>
      <c r="AK31" s="295">
        <f t="shared" si="21"/>
        <v>0.53876467416103202</v>
      </c>
      <c r="AL31" s="295">
        <f t="shared" si="21"/>
        <v>0.45172998869453418</v>
      </c>
      <c r="AM31" s="296">
        <f t="shared" si="21"/>
        <v>0.10986250341489281</v>
      </c>
      <c r="AN31" s="295">
        <f t="shared" si="21"/>
        <v>0.12656753568607079</v>
      </c>
      <c r="AO31" s="295">
        <f t="shared" si="21"/>
        <v>0.13</v>
      </c>
      <c r="AP31" s="297">
        <v>0.13</v>
      </c>
      <c r="AQ31" s="297">
        <v>0.13</v>
      </c>
      <c r="AR31" s="297">
        <v>0.13</v>
      </c>
      <c r="AS31" s="206"/>
    </row>
    <row r="32" spans="1:45" s="207" customFormat="1" x14ac:dyDescent="0.35">
      <c r="A32" s="234" t="s">
        <v>655</v>
      </c>
      <c r="B32" s="290"/>
      <c r="C32" s="291"/>
      <c r="D32" s="291"/>
      <c r="E32" s="291">
        <f t="shared" si="20"/>
        <v>0.94942104400308447</v>
      </c>
      <c r="F32" s="291">
        <f t="shared" si="20"/>
        <v>0.95336920824595428</v>
      </c>
      <c r="G32" s="291">
        <f t="shared" si="20"/>
        <v>0.96654256663973148</v>
      </c>
      <c r="H32" s="291">
        <f t="shared" si="20"/>
        <v>0.93914874309458229</v>
      </c>
      <c r="I32" s="291">
        <f t="shared" si="20"/>
        <v>0.97606836082097204</v>
      </c>
      <c r="J32" s="291">
        <f t="shared" si="20"/>
        <v>0.95479226743565082</v>
      </c>
      <c r="K32" s="291">
        <f t="shared" si="20"/>
        <v>0.98387596160716417</v>
      </c>
      <c r="L32" s="291">
        <f t="shared" si="20"/>
        <v>0.98129928486468232</v>
      </c>
      <c r="M32" s="291">
        <f t="shared" si="20"/>
        <v>0.98234002789218211</v>
      </c>
      <c r="N32" s="291">
        <f t="shared" si="20"/>
        <v>0.98794400679950056</v>
      </c>
      <c r="O32" s="292">
        <f t="shared" si="20"/>
        <v>0.98897423635602855</v>
      </c>
      <c r="P32" s="293">
        <v>0.95</v>
      </c>
      <c r="Q32" s="293">
        <v>0.95</v>
      </c>
      <c r="R32" s="293">
        <v>0.95</v>
      </c>
      <c r="S32" s="293"/>
      <c r="T32" s="293"/>
      <c r="U32" s="293"/>
      <c r="V32" s="293"/>
      <c r="W32" s="293"/>
      <c r="X32" s="293"/>
      <c r="Y32" s="294"/>
      <c r="Z32" s="295"/>
      <c r="AA32" s="295"/>
      <c r="AB32" s="295"/>
      <c r="AC32" s="295"/>
      <c r="AD32" s="295"/>
      <c r="AE32" s="295"/>
      <c r="AF32" s="295"/>
      <c r="AG32" s="295"/>
      <c r="AH32" s="295"/>
      <c r="AI32" s="295">
        <f t="shared" si="21"/>
        <v>0.95159685671219518</v>
      </c>
      <c r="AJ32" s="295">
        <f t="shared" si="21"/>
        <v>0.95134787878252691</v>
      </c>
      <c r="AK32" s="295">
        <f t="shared" si="21"/>
        <v>0.96520160507269293</v>
      </c>
      <c r="AL32" s="295">
        <f t="shared" si="21"/>
        <v>0.98263656510184449</v>
      </c>
      <c r="AM32" s="296">
        <f t="shared" si="21"/>
        <v>0.984765026701932</v>
      </c>
      <c r="AN32" s="295">
        <f t="shared" si="21"/>
        <v>0.97120079756620037</v>
      </c>
      <c r="AO32" s="295">
        <f t="shared" si="21"/>
        <v>0.94999999999999973</v>
      </c>
      <c r="AP32" s="297">
        <v>0.95</v>
      </c>
      <c r="AQ32" s="297">
        <v>0.95</v>
      </c>
      <c r="AR32" s="297">
        <v>0.95</v>
      </c>
      <c r="AS32" s="206"/>
    </row>
    <row r="33" spans="1:45" s="207" customFormat="1" x14ac:dyDescent="0.35">
      <c r="A33" s="234" t="s">
        <v>656</v>
      </c>
      <c r="B33" s="290"/>
      <c r="C33" s="291"/>
      <c r="D33" s="291"/>
      <c r="E33" s="291">
        <f t="shared" si="20"/>
        <v>0.49226981638066203</v>
      </c>
      <c r="F33" s="291">
        <f t="shared" si="20"/>
        <v>0.43071463918023489</v>
      </c>
      <c r="G33" s="291">
        <f t="shared" si="20"/>
        <v>0.49007492083108056</v>
      </c>
      <c r="H33" s="291">
        <f t="shared" si="20"/>
        <v>0.49080501121598169</v>
      </c>
      <c r="I33" s="291">
        <f t="shared" si="20"/>
        <v>0.55811350919264591</v>
      </c>
      <c r="J33" s="291">
        <f t="shared" si="20"/>
        <v>0.48457881638659672</v>
      </c>
      <c r="K33" s="291">
        <f t="shared" si="20"/>
        <v>0.4140048926904592</v>
      </c>
      <c r="L33" s="291">
        <f t="shared" si="20"/>
        <v>0.348177945727772</v>
      </c>
      <c r="M33" s="291">
        <f t="shared" si="20"/>
        <v>0.40742914468610736</v>
      </c>
      <c r="N33" s="291">
        <f t="shared" si="20"/>
        <v>0.37939403091326823</v>
      </c>
      <c r="O33" s="292">
        <f t="shared" si="20"/>
        <v>0.50783658387220654</v>
      </c>
      <c r="P33" s="293">
        <v>0.45</v>
      </c>
      <c r="Q33" s="293">
        <v>0.45</v>
      </c>
      <c r="R33" s="293">
        <v>0.45</v>
      </c>
      <c r="S33" s="293"/>
      <c r="T33" s="293"/>
      <c r="U33" s="293"/>
      <c r="V33" s="293"/>
      <c r="W33" s="293"/>
      <c r="X33" s="293"/>
      <c r="Y33" s="294"/>
      <c r="Z33" s="295"/>
      <c r="AA33" s="295"/>
      <c r="AB33" s="295"/>
      <c r="AC33" s="295"/>
      <c r="AD33" s="295"/>
      <c r="AE33" s="295"/>
      <c r="AF33" s="295"/>
      <c r="AG33" s="295"/>
      <c r="AH33" s="295"/>
      <c r="AI33" s="295">
        <f t="shared" si="21"/>
        <v>0.45851534164614938</v>
      </c>
      <c r="AJ33" s="295">
        <f t="shared" si="21"/>
        <v>0.49047563737731575</v>
      </c>
      <c r="AK33" s="295">
        <f t="shared" si="21"/>
        <v>0.51543284409741785</v>
      </c>
      <c r="AL33" s="295">
        <f t="shared" si="21"/>
        <v>0.37703708492908944</v>
      </c>
      <c r="AM33" s="296">
        <f t="shared" si="21"/>
        <v>0.39176931674062299</v>
      </c>
      <c r="AN33" s="295">
        <f t="shared" si="21"/>
        <v>0.47569382290460566</v>
      </c>
      <c r="AO33" s="295">
        <f t="shared" si="21"/>
        <v>0.45</v>
      </c>
      <c r="AP33" s="297">
        <v>0.45000000000000007</v>
      </c>
      <c r="AQ33" s="297">
        <v>0.45000000000000007</v>
      </c>
      <c r="AR33" s="297">
        <v>0.45000000000000007</v>
      </c>
      <c r="AS33" s="206"/>
    </row>
    <row r="34" spans="1:45" s="227" customFormat="1" x14ac:dyDescent="0.35">
      <c r="A34" s="239" t="s">
        <v>657</v>
      </c>
      <c r="B34" s="298"/>
      <c r="C34" s="299"/>
      <c r="D34" s="299"/>
      <c r="E34" s="299">
        <f t="shared" ref="E34:R34" si="22">E24/E46</f>
        <v>0.75776526246555398</v>
      </c>
      <c r="F34" s="299">
        <f t="shared" si="22"/>
        <v>0.72089153875844847</v>
      </c>
      <c r="G34" s="299">
        <f t="shared" si="22"/>
        <v>0.71405300811509864</v>
      </c>
      <c r="H34" s="299">
        <f t="shared" si="22"/>
        <v>0.69189317233612968</v>
      </c>
      <c r="I34" s="299">
        <f t="shared" si="22"/>
        <v>0.72025856027439039</v>
      </c>
      <c r="J34" s="299">
        <f t="shared" si="22"/>
        <v>0.60206604686712328</v>
      </c>
      <c r="K34" s="299">
        <f t="shared" si="22"/>
        <v>0.66258314041083322</v>
      </c>
      <c r="L34" s="299">
        <f t="shared" si="22"/>
        <v>0.54296175432549287</v>
      </c>
      <c r="M34" s="299">
        <f t="shared" si="22"/>
        <v>0.49883410843611692</v>
      </c>
      <c r="N34" s="299">
        <f t="shared" si="22"/>
        <v>0.3706844668973226</v>
      </c>
      <c r="O34" s="300">
        <f t="shared" si="22"/>
        <v>0.42182694397428894</v>
      </c>
      <c r="P34" s="299">
        <f t="shared" si="22"/>
        <v>0.3351237648195276</v>
      </c>
      <c r="Q34" s="299">
        <f t="shared" si="22"/>
        <v>0.40661758023195321</v>
      </c>
      <c r="R34" s="299">
        <f t="shared" si="22"/>
        <v>0.33512376481952766</v>
      </c>
      <c r="S34" s="299"/>
      <c r="T34" s="299"/>
      <c r="U34" s="299"/>
      <c r="V34" s="299"/>
      <c r="W34" s="299"/>
      <c r="X34" s="299"/>
      <c r="Y34" s="299"/>
      <c r="Z34" s="301"/>
      <c r="AA34" s="301"/>
      <c r="AB34" s="301"/>
      <c r="AC34" s="301"/>
      <c r="AD34" s="301"/>
      <c r="AE34" s="301"/>
      <c r="AF34" s="301"/>
      <c r="AG34" s="301"/>
      <c r="AH34" s="301"/>
      <c r="AI34" s="301">
        <f t="shared" ref="AI34:AR34" si="23">AI24/AI46</f>
        <v>0.73701045967469059</v>
      </c>
      <c r="AJ34" s="301">
        <f t="shared" si="23"/>
        <v>0.70141733330316025</v>
      </c>
      <c r="AK34" s="301">
        <f t="shared" si="23"/>
        <v>0.65431471803697139</v>
      </c>
      <c r="AL34" s="301">
        <f t="shared" si="23"/>
        <v>0.59669992364994529</v>
      </c>
      <c r="AM34" s="302">
        <f t="shared" si="23"/>
        <v>0.42988239056891292</v>
      </c>
      <c r="AN34" s="301">
        <f t="shared" si="23"/>
        <v>0.37395800417085195</v>
      </c>
      <c r="AO34" s="301">
        <f t="shared" si="23"/>
        <v>0.36714575025226215</v>
      </c>
      <c r="AP34" s="301">
        <f t="shared" si="23"/>
        <v>0.36714575025226215</v>
      </c>
      <c r="AQ34" s="301">
        <f t="shared" si="23"/>
        <v>0.36714575025226209</v>
      </c>
      <c r="AR34" s="301">
        <f t="shared" si="23"/>
        <v>0.36714575025226215</v>
      </c>
      <c r="AS34" s="226"/>
    </row>
    <row r="35" spans="1:45" s="167" customFormat="1" x14ac:dyDescent="0.35">
      <c r="A35" s="263"/>
      <c r="B35" s="247"/>
      <c r="C35" s="164"/>
      <c r="D35" s="164"/>
      <c r="E35" s="164"/>
      <c r="F35" s="164"/>
      <c r="G35" s="164"/>
      <c r="H35" s="164"/>
      <c r="I35" s="164"/>
      <c r="J35" s="164"/>
      <c r="K35" s="164"/>
      <c r="L35" s="164"/>
      <c r="M35" s="164"/>
      <c r="N35" s="164"/>
      <c r="O35" s="165"/>
      <c r="P35" s="164"/>
      <c r="Q35" s="164"/>
      <c r="R35" s="164"/>
      <c r="S35" s="164"/>
      <c r="T35" s="164"/>
      <c r="U35" s="164"/>
      <c r="V35" s="164"/>
      <c r="W35" s="164"/>
      <c r="X35" s="164"/>
      <c r="Y35" s="164"/>
      <c r="Z35" s="250"/>
      <c r="AA35" s="250"/>
      <c r="AB35" s="250"/>
      <c r="AC35" s="250"/>
      <c r="AD35" s="250"/>
      <c r="AE35" s="250"/>
      <c r="AF35" s="250"/>
      <c r="AG35" s="250"/>
      <c r="AH35" s="250"/>
      <c r="AI35" s="250"/>
      <c r="AJ35" s="250"/>
      <c r="AK35" s="250"/>
      <c r="AL35" s="250"/>
      <c r="AM35" s="264"/>
      <c r="AN35" s="250"/>
      <c r="AO35" s="250"/>
      <c r="AP35" s="250"/>
      <c r="AQ35" s="250"/>
      <c r="AR35" s="250"/>
      <c r="AS35" s="166"/>
    </row>
    <row r="36" spans="1:45" s="167" customFormat="1" x14ac:dyDescent="0.35">
      <c r="A36" s="303" t="s">
        <v>658</v>
      </c>
      <c r="B36" s="247"/>
      <c r="C36" s="248">
        <v>193.398</v>
      </c>
      <c r="D36" s="166">
        <f>AH36-SUM(C36)</f>
        <v>221.38300000000001</v>
      </c>
      <c r="E36" s="248">
        <v>239.911</v>
      </c>
      <c r="F36" s="166">
        <f>AI36-SUM(E36)</f>
        <v>323.79799999999994</v>
      </c>
      <c r="G36" s="248">
        <v>328.35500000000002</v>
      </c>
      <c r="H36" s="166">
        <f>AJ36-SUM(G36)</f>
        <v>460.548</v>
      </c>
      <c r="I36" s="248">
        <v>409.67500000000001</v>
      </c>
      <c r="J36" s="166">
        <f>AK36-SUM(I36)</f>
        <v>554.60500000000002</v>
      </c>
      <c r="K36" s="248">
        <v>461.63299999999998</v>
      </c>
      <c r="L36" s="166">
        <f>AL36-SUM(K36)</f>
        <v>647.56500000000005</v>
      </c>
      <c r="M36" s="248">
        <v>552.18299999999999</v>
      </c>
      <c r="N36" s="164">
        <f>AM36-M36</f>
        <v>813.16000000000008</v>
      </c>
      <c r="O36" s="249">
        <v>687.46199999999999</v>
      </c>
      <c r="P36" s="166">
        <f t="shared" ref="P36:R38" si="24">N36*(1+P12)</f>
        <v>975.79200000000003</v>
      </c>
      <c r="Q36" s="164">
        <f t="shared" si="24"/>
        <v>756.20820000000003</v>
      </c>
      <c r="R36" s="164">
        <f t="shared" si="24"/>
        <v>1073.3712</v>
      </c>
      <c r="S36" s="164"/>
      <c r="T36" s="164"/>
      <c r="U36" s="164"/>
      <c r="V36" s="164"/>
      <c r="W36" s="164"/>
      <c r="X36" s="164"/>
      <c r="Y36" s="164"/>
      <c r="Z36" s="250"/>
      <c r="AA36" s="250"/>
      <c r="AB36" s="250"/>
      <c r="AC36" s="250"/>
      <c r="AD36" s="251">
        <v>200.04599999999999</v>
      </c>
      <c r="AE36" s="251">
        <v>237.30099999999999</v>
      </c>
      <c r="AF36" s="251">
        <v>287.46899999999999</v>
      </c>
      <c r="AG36" s="251">
        <v>319.97800000000001</v>
      </c>
      <c r="AH36" s="251">
        <v>414.78100000000001</v>
      </c>
      <c r="AI36" s="251">
        <v>563.70899999999995</v>
      </c>
      <c r="AJ36" s="251">
        <v>788.90300000000002</v>
      </c>
      <c r="AK36" s="251">
        <v>964.28</v>
      </c>
      <c r="AL36" s="251">
        <v>1109.1980000000001</v>
      </c>
      <c r="AM36" s="252">
        <v>1365.3430000000001</v>
      </c>
      <c r="AN36" s="304">
        <f>SUM(O36,P36)</f>
        <v>1663.2539999999999</v>
      </c>
      <c r="AO36" s="250">
        <f>SUM(Q36,R36)</f>
        <v>1829.5794000000001</v>
      </c>
      <c r="AP36" s="250">
        <f t="shared" ref="AP36:AR38" si="25">AO36*(1+AP12)</f>
        <v>2104.01631</v>
      </c>
      <c r="AQ36" s="250">
        <f t="shared" si="25"/>
        <v>2314.4179410000006</v>
      </c>
      <c r="AR36" s="250">
        <f t="shared" si="25"/>
        <v>2545.8597351000012</v>
      </c>
      <c r="AS36" s="166"/>
    </row>
    <row r="37" spans="1:45" s="167" customFormat="1" x14ac:dyDescent="0.35">
      <c r="A37" s="303" t="s">
        <v>659</v>
      </c>
      <c r="B37" s="247"/>
      <c r="C37" s="248">
        <v>126.312</v>
      </c>
      <c r="D37" s="166">
        <f>AH37-SUM(C37)</f>
        <v>161.11199999999997</v>
      </c>
      <c r="E37" s="248">
        <v>164.69300000000001</v>
      </c>
      <c r="F37" s="166">
        <f>AI37-SUM(E37)</f>
        <v>202.184</v>
      </c>
      <c r="G37" s="248">
        <v>201.71899999999999</v>
      </c>
      <c r="H37" s="166">
        <f>AJ37-SUM(G37)</f>
        <v>251.25200000000001</v>
      </c>
      <c r="I37" s="248">
        <v>224.22200000000001</v>
      </c>
      <c r="J37" s="166">
        <f>AK37-SUM(I37)</f>
        <v>234.07500000000002</v>
      </c>
      <c r="K37" s="248">
        <v>293.90899999999999</v>
      </c>
      <c r="L37" s="166">
        <f>AL37-SUM(K37)</f>
        <v>272.39599999999996</v>
      </c>
      <c r="M37" s="248">
        <v>459.62700000000001</v>
      </c>
      <c r="N37" s="164">
        <f>AM37-M37</f>
        <v>350.61399999999998</v>
      </c>
      <c r="O37" s="249">
        <v>334.58</v>
      </c>
      <c r="P37" s="166">
        <f t="shared" si="24"/>
        <v>280.49119999999999</v>
      </c>
      <c r="Q37" s="164">
        <f t="shared" si="24"/>
        <v>368.03800000000001</v>
      </c>
      <c r="R37" s="164">
        <f t="shared" si="24"/>
        <v>308.54032000000001</v>
      </c>
      <c r="S37" s="164"/>
      <c r="T37" s="164"/>
      <c r="U37" s="164"/>
      <c r="V37" s="164"/>
      <c r="W37" s="164"/>
      <c r="X37" s="164"/>
      <c r="Y37" s="164"/>
      <c r="Z37" s="250"/>
      <c r="AA37" s="250"/>
      <c r="AB37" s="250"/>
      <c r="AC37" s="250"/>
      <c r="AD37" s="251">
        <v>149.262</v>
      </c>
      <c r="AE37" s="251">
        <v>196.886</v>
      </c>
      <c r="AF37" s="251">
        <v>223.845</v>
      </c>
      <c r="AG37" s="251">
        <v>250.69200000000001</v>
      </c>
      <c r="AH37" s="251">
        <v>287.42399999999998</v>
      </c>
      <c r="AI37" s="251">
        <v>366.87700000000001</v>
      </c>
      <c r="AJ37" s="251">
        <v>452.971</v>
      </c>
      <c r="AK37" s="251">
        <v>458.29700000000003</v>
      </c>
      <c r="AL37" s="251">
        <v>566.30499999999995</v>
      </c>
      <c r="AM37" s="252">
        <v>810.24099999999999</v>
      </c>
      <c r="AN37" s="304">
        <f>SUM(O37,P37)</f>
        <v>615.07119999999998</v>
      </c>
      <c r="AO37" s="250">
        <f>SUM(Q37,R37)</f>
        <v>676.57832000000008</v>
      </c>
      <c r="AP37" s="250">
        <f t="shared" si="25"/>
        <v>778.065068</v>
      </c>
      <c r="AQ37" s="250">
        <f t="shared" si="25"/>
        <v>855.87157480000008</v>
      </c>
      <c r="AR37" s="250">
        <f t="shared" si="25"/>
        <v>941.45873228000016</v>
      </c>
      <c r="AS37" s="166"/>
    </row>
    <row r="38" spans="1:45" s="167" customFormat="1" x14ac:dyDescent="0.35">
      <c r="A38" s="303" t="s">
        <v>660</v>
      </c>
      <c r="B38" s="247"/>
      <c r="C38" s="248">
        <v>58.74</v>
      </c>
      <c r="D38" s="166">
        <f>AH38-SUM(C38)</f>
        <v>71.540999999999997</v>
      </c>
      <c r="E38" s="248">
        <v>68.239000000000004</v>
      </c>
      <c r="F38" s="166">
        <f>AI38-SUM(E38)</f>
        <v>82.853000000000009</v>
      </c>
      <c r="G38" s="248">
        <v>77.682000000000002</v>
      </c>
      <c r="H38" s="166">
        <f>AJ38-SUM(G38)</f>
        <v>94.507999999999996</v>
      </c>
      <c r="I38" s="248">
        <v>93.825000000000003</v>
      </c>
      <c r="J38" s="166">
        <f>AK38-SUM(I38)</f>
        <v>129.78899999999999</v>
      </c>
      <c r="K38" s="248">
        <v>115.274</v>
      </c>
      <c r="L38" s="166">
        <f>AL38-SUM(K38)</f>
        <v>147.66300000000001</v>
      </c>
      <c r="M38" s="248">
        <v>146.53100000000001</v>
      </c>
      <c r="N38" s="164">
        <f>AM38-M38</f>
        <v>185.42199999999997</v>
      </c>
      <c r="O38" s="249">
        <v>192.68600000000001</v>
      </c>
      <c r="P38" s="166">
        <f t="shared" si="24"/>
        <v>241.04859999999996</v>
      </c>
      <c r="Q38" s="164">
        <f t="shared" si="24"/>
        <v>211.95460000000003</v>
      </c>
      <c r="R38" s="164">
        <f t="shared" si="24"/>
        <v>265.15346</v>
      </c>
      <c r="S38" s="164"/>
      <c r="T38" s="164"/>
      <c r="U38" s="164"/>
      <c r="V38" s="164"/>
      <c r="W38" s="164"/>
      <c r="X38" s="164"/>
      <c r="Y38" s="164"/>
      <c r="Z38" s="250"/>
      <c r="AA38" s="250"/>
      <c r="AB38" s="250"/>
      <c r="AC38" s="250"/>
      <c r="AD38" s="251">
        <v>46.448</v>
      </c>
      <c r="AE38" s="251">
        <v>70.61</v>
      </c>
      <c r="AF38" s="251">
        <v>84.77</v>
      </c>
      <c r="AG38" s="251">
        <v>101.681</v>
      </c>
      <c r="AH38" s="251">
        <v>130.28100000000001</v>
      </c>
      <c r="AI38" s="251">
        <v>151.09200000000001</v>
      </c>
      <c r="AJ38" s="251">
        <v>172.19</v>
      </c>
      <c r="AK38" s="251">
        <v>223.614</v>
      </c>
      <c r="AL38" s="251">
        <v>262.93700000000001</v>
      </c>
      <c r="AM38" s="252">
        <v>331.95299999999997</v>
      </c>
      <c r="AN38" s="304">
        <f>SUM(O38,P38)</f>
        <v>433.7346</v>
      </c>
      <c r="AO38" s="250">
        <f>SUM(Q38,R38)</f>
        <v>477.10806000000002</v>
      </c>
      <c r="AP38" s="250">
        <f t="shared" si="25"/>
        <v>548.67426899999998</v>
      </c>
      <c r="AQ38" s="250">
        <f t="shared" si="25"/>
        <v>603.54169590000004</v>
      </c>
      <c r="AR38" s="250">
        <f t="shared" si="25"/>
        <v>663.89586549000012</v>
      </c>
      <c r="AS38" s="166"/>
    </row>
    <row r="39" spans="1:45" s="262" customFormat="1" x14ac:dyDescent="0.35">
      <c r="A39" s="253" t="s">
        <v>661</v>
      </c>
      <c r="B39" s="254"/>
      <c r="C39" s="256">
        <f t="shared" ref="C39:R39" si="26">SUM(C36:C38)</f>
        <v>378.45</v>
      </c>
      <c r="D39" s="256">
        <f t="shared" si="26"/>
        <v>454.036</v>
      </c>
      <c r="E39" s="256">
        <f t="shared" si="26"/>
        <v>472.84300000000007</v>
      </c>
      <c r="F39" s="256">
        <f t="shared" si="26"/>
        <v>608.83500000000004</v>
      </c>
      <c r="G39" s="256">
        <f t="shared" si="26"/>
        <v>607.75600000000009</v>
      </c>
      <c r="H39" s="256">
        <f t="shared" si="26"/>
        <v>806.30799999999999</v>
      </c>
      <c r="I39" s="256">
        <f t="shared" si="26"/>
        <v>727.72200000000009</v>
      </c>
      <c r="J39" s="256">
        <f t="shared" si="26"/>
        <v>918.46900000000005</v>
      </c>
      <c r="K39" s="256">
        <f t="shared" si="26"/>
        <v>870.81599999999992</v>
      </c>
      <c r="L39" s="256">
        <f t="shared" si="26"/>
        <v>1067.624</v>
      </c>
      <c r="M39" s="256">
        <f t="shared" si="26"/>
        <v>1158.3409999999999</v>
      </c>
      <c r="N39" s="255">
        <f t="shared" si="26"/>
        <v>1349.1960000000001</v>
      </c>
      <c r="O39" s="257">
        <f t="shared" si="26"/>
        <v>1214.7279999999998</v>
      </c>
      <c r="P39" s="256">
        <f t="shared" si="26"/>
        <v>1497.3317999999999</v>
      </c>
      <c r="Q39" s="255">
        <f t="shared" si="26"/>
        <v>1336.2008000000001</v>
      </c>
      <c r="R39" s="255">
        <f t="shared" si="26"/>
        <v>1647.0649800000001</v>
      </c>
      <c r="S39" s="255"/>
      <c r="T39" s="255"/>
      <c r="U39" s="255"/>
      <c r="V39" s="255"/>
      <c r="W39" s="255"/>
      <c r="X39" s="255"/>
      <c r="Y39" s="255"/>
      <c r="Z39" s="258"/>
      <c r="AA39" s="258"/>
      <c r="AB39" s="258"/>
      <c r="AC39" s="258"/>
      <c r="AD39" s="258">
        <f t="shared" ref="AD39:AR39" si="27">SUM(AD36:AD38)</f>
        <v>395.75599999999997</v>
      </c>
      <c r="AE39" s="258">
        <f t="shared" si="27"/>
        <v>504.79700000000003</v>
      </c>
      <c r="AF39" s="259">
        <f t="shared" si="27"/>
        <v>596.08399999999995</v>
      </c>
      <c r="AG39" s="259">
        <f t="shared" si="27"/>
        <v>672.35100000000011</v>
      </c>
      <c r="AH39" s="259">
        <f t="shared" si="27"/>
        <v>832.48599999999988</v>
      </c>
      <c r="AI39" s="259">
        <f t="shared" si="27"/>
        <v>1081.6780000000001</v>
      </c>
      <c r="AJ39" s="259">
        <f t="shared" si="27"/>
        <v>1414.0640000000001</v>
      </c>
      <c r="AK39" s="259">
        <f t="shared" si="27"/>
        <v>1646.191</v>
      </c>
      <c r="AL39" s="259">
        <f t="shared" si="27"/>
        <v>1938.44</v>
      </c>
      <c r="AM39" s="260">
        <f t="shared" si="27"/>
        <v>2507.5369999999998</v>
      </c>
      <c r="AN39" s="259">
        <f t="shared" si="27"/>
        <v>2712.0598</v>
      </c>
      <c r="AO39" s="258">
        <f t="shared" si="27"/>
        <v>2983.2657800000002</v>
      </c>
      <c r="AP39" s="258">
        <f t="shared" si="27"/>
        <v>3430.755647</v>
      </c>
      <c r="AQ39" s="258">
        <f t="shared" si="27"/>
        <v>3773.8312117000005</v>
      </c>
      <c r="AR39" s="258">
        <f t="shared" si="27"/>
        <v>4151.2143328700013</v>
      </c>
      <c r="AS39" s="261"/>
    </row>
    <row r="40" spans="1:45" s="262" customFormat="1" outlineLevel="1" x14ac:dyDescent="0.35">
      <c r="A40" s="305"/>
      <c r="B40" s="306"/>
      <c r="C40" s="307"/>
      <c r="D40" s="307"/>
      <c r="E40" s="307"/>
      <c r="F40" s="307"/>
      <c r="G40" s="307"/>
      <c r="H40" s="307"/>
      <c r="I40" s="307"/>
      <c r="J40" s="307"/>
      <c r="K40" s="307"/>
      <c r="L40" s="307"/>
      <c r="M40" s="307"/>
      <c r="N40" s="307"/>
      <c r="O40" s="308"/>
      <c r="P40" s="307"/>
      <c r="Q40" s="307"/>
      <c r="R40" s="307"/>
      <c r="S40" s="307"/>
      <c r="T40" s="307"/>
      <c r="U40" s="307"/>
      <c r="V40" s="307"/>
      <c r="W40" s="307"/>
      <c r="X40" s="307"/>
      <c r="Y40" s="307"/>
      <c r="Z40" s="309"/>
      <c r="AA40" s="309"/>
      <c r="AB40" s="309"/>
      <c r="AC40" s="309"/>
      <c r="AD40" s="309"/>
      <c r="AE40" s="309"/>
      <c r="AF40" s="309"/>
      <c r="AG40" s="309"/>
      <c r="AH40" s="309"/>
      <c r="AI40" s="309"/>
      <c r="AJ40" s="309"/>
      <c r="AK40" s="309"/>
      <c r="AL40" s="309"/>
      <c r="AM40" s="310"/>
      <c r="AN40" s="309"/>
      <c r="AO40" s="309"/>
      <c r="AP40" s="309"/>
      <c r="AQ40" s="309"/>
      <c r="AR40" s="309"/>
      <c r="AS40" s="261"/>
    </row>
    <row r="41" spans="1:45" s="273" customFormat="1" outlineLevel="1" x14ac:dyDescent="0.35">
      <c r="A41" s="265" t="s">
        <v>662</v>
      </c>
      <c r="B41" s="266"/>
      <c r="C41" s="268">
        <f t="shared" ref="C41:R43" si="28">C36/C$39</f>
        <v>0.51102655568767341</v>
      </c>
      <c r="D41" s="268">
        <f t="shared" si="28"/>
        <v>0.48758908985190602</v>
      </c>
      <c r="E41" s="268">
        <f t="shared" si="28"/>
        <v>0.50737982797672798</v>
      </c>
      <c r="F41" s="268">
        <f t="shared" si="28"/>
        <v>0.5318321055786871</v>
      </c>
      <c r="G41" s="268">
        <f t="shared" si="28"/>
        <v>0.5402743864313968</v>
      </c>
      <c r="H41" s="268">
        <f t="shared" si="28"/>
        <v>0.57118123595449877</v>
      </c>
      <c r="I41" s="268">
        <f t="shared" si="28"/>
        <v>0.56295535932677587</v>
      </c>
      <c r="J41" s="268">
        <f t="shared" si="28"/>
        <v>0.60383638424377961</v>
      </c>
      <c r="K41" s="268">
        <f t="shared" si="28"/>
        <v>0.53011543196266497</v>
      </c>
      <c r="L41" s="268">
        <f t="shared" si="28"/>
        <v>0.60654781083977138</v>
      </c>
      <c r="M41" s="268">
        <f t="shared" si="28"/>
        <v>0.47670159305420429</v>
      </c>
      <c r="N41" s="267">
        <f t="shared" si="28"/>
        <v>0.60269968188461864</v>
      </c>
      <c r="O41" s="269">
        <f t="shared" si="28"/>
        <v>0.56593904149735585</v>
      </c>
      <c r="P41" s="267">
        <f t="shared" si="28"/>
        <v>0.65168722122912237</v>
      </c>
      <c r="Q41" s="267">
        <f t="shared" si="28"/>
        <v>0.56593904149735574</v>
      </c>
      <c r="R41" s="267">
        <f t="shared" si="28"/>
        <v>0.65168722122912237</v>
      </c>
      <c r="S41" s="267"/>
      <c r="T41" s="267"/>
      <c r="U41" s="267"/>
      <c r="V41" s="267"/>
      <c r="W41" s="267"/>
      <c r="X41" s="267"/>
      <c r="Y41" s="267"/>
      <c r="Z41" s="270"/>
      <c r="AA41" s="270"/>
      <c r="AB41" s="270"/>
      <c r="AC41" s="270"/>
      <c r="AD41" s="270">
        <f t="shared" ref="AD41:AR43" si="29">AD36/AD$39</f>
        <v>0.50547812288379712</v>
      </c>
      <c r="AE41" s="270">
        <f t="shared" si="29"/>
        <v>0.47009193794733323</v>
      </c>
      <c r="AF41" s="271">
        <f t="shared" si="29"/>
        <v>0.48226256702075548</v>
      </c>
      <c r="AG41" s="271">
        <f t="shared" si="29"/>
        <v>0.47590916054263316</v>
      </c>
      <c r="AH41" s="271">
        <f t="shared" si="29"/>
        <v>0.49824381431039089</v>
      </c>
      <c r="AI41" s="271">
        <f t="shared" si="29"/>
        <v>0.52114307585066899</v>
      </c>
      <c r="AJ41" s="271">
        <f t="shared" si="29"/>
        <v>0.55789766234060123</v>
      </c>
      <c r="AK41" s="271">
        <f t="shared" si="29"/>
        <v>0.585764349337349</v>
      </c>
      <c r="AL41" s="271">
        <f t="shared" si="29"/>
        <v>0.57221167536782158</v>
      </c>
      <c r="AM41" s="272">
        <f t="shared" si="29"/>
        <v>0.54449565450081105</v>
      </c>
      <c r="AN41" s="271">
        <f t="shared" si="29"/>
        <v>0.61328072485717311</v>
      </c>
      <c r="AO41" s="270">
        <f t="shared" si="29"/>
        <v>0.61328072485717311</v>
      </c>
      <c r="AP41" s="270">
        <f t="shared" si="29"/>
        <v>0.61328072485717311</v>
      </c>
      <c r="AQ41" s="270">
        <f t="shared" si="29"/>
        <v>0.61328072485717322</v>
      </c>
      <c r="AR41" s="270">
        <f t="shared" si="29"/>
        <v>0.61328072485717322</v>
      </c>
      <c r="AS41" s="268"/>
    </row>
    <row r="42" spans="1:45" s="273" customFormat="1" outlineLevel="1" x14ac:dyDescent="0.35">
      <c r="A42" s="265" t="s">
        <v>663</v>
      </c>
      <c r="B42" s="266"/>
      <c r="C42" s="268">
        <f t="shared" si="28"/>
        <v>0.33376139516448672</v>
      </c>
      <c r="D42" s="268">
        <f t="shared" si="28"/>
        <v>0.35484410927767834</v>
      </c>
      <c r="E42" s="268">
        <f t="shared" si="28"/>
        <v>0.34830377101913318</v>
      </c>
      <c r="F42" s="268">
        <f t="shared" si="28"/>
        <v>0.33208340519188284</v>
      </c>
      <c r="G42" s="268">
        <f t="shared" si="28"/>
        <v>0.33190787092188306</v>
      </c>
      <c r="H42" s="268">
        <f t="shared" si="28"/>
        <v>0.31160797114750194</v>
      </c>
      <c r="I42" s="268">
        <f t="shared" si="28"/>
        <v>0.30811491201310387</v>
      </c>
      <c r="J42" s="268">
        <f t="shared" si="28"/>
        <v>0.25485345722065744</v>
      </c>
      <c r="K42" s="268">
        <f t="shared" si="28"/>
        <v>0.33750987579465697</v>
      </c>
      <c r="L42" s="268">
        <f t="shared" si="28"/>
        <v>0.25514225982180988</v>
      </c>
      <c r="M42" s="268">
        <f t="shared" si="28"/>
        <v>0.39679766148310391</v>
      </c>
      <c r="N42" s="267">
        <f t="shared" si="28"/>
        <v>0.25986884040569341</v>
      </c>
      <c r="O42" s="269">
        <f t="shared" si="28"/>
        <v>0.27543614702221403</v>
      </c>
      <c r="P42" s="267">
        <f t="shared" si="28"/>
        <v>0.18732735122569361</v>
      </c>
      <c r="Q42" s="267">
        <f t="shared" si="28"/>
        <v>0.27543614702221403</v>
      </c>
      <c r="R42" s="267">
        <f t="shared" si="28"/>
        <v>0.18732735122569358</v>
      </c>
      <c r="S42" s="267"/>
      <c r="T42" s="267"/>
      <c r="U42" s="267"/>
      <c r="V42" s="267"/>
      <c r="W42" s="267"/>
      <c r="X42" s="267"/>
      <c r="Y42" s="267"/>
      <c r="Z42" s="270"/>
      <c r="AA42" s="270"/>
      <c r="AB42" s="270"/>
      <c r="AC42" s="270"/>
      <c r="AD42" s="270">
        <f t="shared" si="29"/>
        <v>0.37715663186407788</v>
      </c>
      <c r="AE42" s="270">
        <f t="shared" si="29"/>
        <v>0.39003005168414229</v>
      </c>
      <c r="AF42" s="271">
        <f t="shared" si="29"/>
        <v>0.37552593258668243</v>
      </c>
      <c r="AG42" s="271">
        <f t="shared" si="29"/>
        <v>0.37285881927743092</v>
      </c>
      <c r="AH42" s="271">
        <f t="shared" si="29"/>
        <v>0.34525986022587768</v>
      </c>
      <c r="AI42" s="271">
        <f t="shared" si="29"/>
        <v>0.33917395010345036</v>
      </c>
      <c r="AJ42" s="271">
        <f t="shared" si="29"/>
        <v>0.3203327430724493</v>
      </c>
      <c r="AK42" s="271">
        <f t="shared" si="29"/>
        <v>0.27839843614744586</v>
      </c>
      <c r="AL42" s="271">
        <f t="shared" si="29"/>
        <v>0.29214471430634942</v>
      </c>
      <c r="AM42" s="272">
        <f t="shared" si="29"/>
        <v>0.32312225103757197</v>
      </c>
      <c r="AN42" s="271">
        <f t="shared" si="29"/>
        <v>0.22679116441311506</v>
      </c>
      <c r="AO42" s="270">
        <f t="shared" si="29"/>
        <v>0.22679116441311509</v>
      </c>
      <c r="AP42" s="270">
        <f t="shared" si="29"/>
        <v>0.22679116441311509</v>
      </c>
      <c r="AQ42" s="270">
        <f t="shared" si="29"/>
        <v>0.22679116441311506</v>
      </c>
      <c r="AR42" s="270">
        <f t="shared" si="29"/>
        <v>0.22679116441311506</v>
      </c>
      <c r="AS42" s="268"/>
    </row>
    <row r="43" spans="1:45" s="273" customFormat="1" outlineLevel="1" x14ac:dyDescent="0.35">
      <c r="A43" s="265" t="s">
        <v>664</v>
      </c>
      <c r="B43" s="266"/>
      <c r="C43" s="268">
        <f t="shared" si="28"/>
        <v>0.15521204914783987</v>
      </c>
      <c r="D43" s="268">
        <f t="shared" si="28"/>
        <v>0.15756680087041555</v>
      </c>
      <c r="E43" s="268">
        <f t="shared" si="28"/>
        <v>0.14431640100413878</v>
      </c>
      <c r="F43" s="268">
        <f t="shared" si="28"/>
        <v>0.13608448922942998</v>
      </c>
      <c r="G43" s="268">
        <f t="shared" si="28"/>
        <v>0.12781774264672005</v>
      </c>
      <c r="H43" s="268">
        <f t="shared" si="28"/>
        <v>0.11721079289799927</v>
      </c>
      <c r="I43" s="268">
        <f t="shared" si="28"/>
        <v>0.1289297286601202</v>
      </c>
      <c r="J43" s="268">
        <f t="shared" si="28"/>
        <v>0.14131015853556297</v>
      </c>
      <c r="K43" s="268">
        <f t="shared" si="28"/>
        <v>0.13237469224267814</v>
      </c>
      <c r="L43" s="268">
        <f t="shared" si="28"/>
        <v>0.13830992933841876</v>
      </c>
      <c r="M43" s="268">
        <f t="shared" si="28"/>
        <v>0.12650074546269191</v>
      </c>
      <c r="N43" s="267">
        <f t="shared" si="28"/>
        <v>0.1374314777096878</v>
      </c>
      <c r="O43" s="269">
        <f t="shared" si="28"/>
        <v>0.1586248114804302</v>
      </c>
      <c r="P43" s="267">
        <f t="shared" si="28"/>
        <v>0.16098542754518402</v>
      </c>
      <c r="Q43" s="267">
        <f t="shared" si="28"/>
        <v>0.1586248114804302</v>
      </c>
      <c r="R43" s="267">
        <f t="shared" si="28"/>
        <v>0.16098542754518402</v>
      </c>
      <c r="S43" s="267"/>
      <c r="T43" s="267"/>
      <c r="U43" s="267"/>
      <c r="V43" s="267"/>
      <c r="W43" s="267"/>
      <c r="X43" s="267"/>
      <c r="Y43" s="267"/>
      <c r="Z43" s="270"/>
      <c r="AA43" s="270"/>
      <c r="AB43" s="270"/>
      <c r="AC43" s="270"/>
      <c r="AD43" s="270">
        <f t="shared" si="29"/>
        <v>0.11736524525212505</v>
      </c>
      <c r="AE43" s="270">
        <f t="shared" si="29"/>
        <v>0.13987801036852437</v>
      </c>
      <c r="AF43" s="271">
        <f t="shared" si="29"/>
        <v>0.14221150039256214</v>
      </c>
      <c r="AG43" s="271">
        <f t="shared" si="29"/>
        <v>0.15123202017993576</v>
      </c>
      <c r="AH43" s="271">
        <f t="shared" si="29"/>
        <v>0.15649632546373154</v>
      </c>
      <c r="AI43" s="271">
        <f t="shared" si="29"/>
        <v>0.13968297404588056</v>
      </c>
      <c r="AJ43" s="271">
        <f t="shared" si="29"/>
        <v>0.12176959458694939</v>
      </c>
      <c r="AK43" s="271">
        <f t="shared" si="29"/>
        <v>0.13583721451520511</v>
      </c>
      <c r="AL43" s="271">
        <f t="shared" si="29"/>
        <v>0.13564361032582903</v>
      </c>
      <c r="AM43" s="272">
        <f t="shared" si="29"/>
        <v>0.13238209446161711</v>
      </c>
      <c r="AN43" s="271">
        <f t="shared" si="29"/>
        <v>0.15992811072971178</v>
      </c>
      <c r="AO43" s="270">
        <f t="shared" si="29"/>
        <v>0.15992811072971178</v>
      </c>
      <c r="AP43" s="270">
        <f t="shared" si="29"/>
        <v>0.15992811072971178</v>
      </c>
      <c r="AQ43" s="270">
        <f t="shared" si="29"/>
        <v>0.15992811072971178</v>
      </c>
      <c r="AR43" s="270">
        <f t="shared" si="29"/>
        <v>0.15992811072971178</v>
      </c>
      <c r="AS43" s="268"/>
    </row>
    <row r="44" spans="1:45" s="283" customFormat="1" outlineLevel="1" x14ac:dyDescent="0.35">
      <c r="A44" s="274" t="s">
        <v>665</v>
      </c>
      <c r="B44" s="275"/>
      <c r="C44" s="277">
        <f t="shared" ref="C44:R44" si="30">SUM(C41:C43)</f>
        <v>1</v>
      </c>
      <c r="D44" s="277">
        <f t="shared" si="30"/>
        <v>0.99999999999999989</v>
      </c>
      <c r="E44" s="277">
        <f t="shared" si="30"/>
        <v>0.99999999999999989</v>
      </c>
      <c r="F44" s="277">
        <f t="shared" si="30"/>
        <v>0.99999999999999989</v>
      </c>
      <c r="G44" s="277">
        <f t="shared" si="30"/>
        <v>0.99999999999999989</v>
      </c>
      <c r="H44" s="277">
        <f t="shared" si="30"/>
        <v>1</v>
      </c>
      <c r="I44" s="277">
        <f t="shared" si="30"/>
        <v>0.99999999999999989</v>
      </c>
      <c r="J44" s="277">
        <f t="shared" si="30"/>
        <v>1</v>
      </c>
      <c r="K44" s="277">
        <f t="shared" si="30"/>
        <v>1</v>
      </c>
      <c r="L44" s="277">
        <f t="shared" si="30"/>
        <v>1</v>
      </c>
      <c r="M44" s="277">
        <f t="shared" si="30"/>
        <v>1</v>
      </c>
      <c r="N44" s="276">
        <f t="shared" si="30"/>
        <v>0.99999999999999989</v>
      </c>
      <c r="O44" s="278">
        <f t="shared" si="30"/>
        <v>1.0000000000000002</v>
      </c>
      <c r="P44" s="276">
        <f t="shared" si="30"/>
        <v>1</v>
      </c>
      <c r="Q44" s="276">
        <f t="shared" si="30"/>
        <v>0.99999999999999989</v>
      </c>
      <c r="R44" s="276">
        <f t="shared" si="30"/>
        <v>1</v>
      </c>
      <c r="S44" s="276"/>
      <c r="T44" s="276"/>
      <c r="U44" s="276"/>
      <c r="V44" s="276"/>
      <c r="W44" s="276"/>
      <c r="X44" s="276"/>
      <c r="Y44" s="276"/>
      <c r="Z44" s="279"/>
      <c r="AA44" s="279"/>
      <c r="AB44" s="279"/>
      <c r="AC44" s="279"/>
      <c r="AD44" s="279">
        <f t="shared" ref="AD44:AR44" si="31">SUM(AD41:AD43)</f>
        <v>1</v>
      </c>
      <c r="AE44" s="279">
        <f t="shared" si="31"/>
        <v>1</v>
      </c>
      <c r="AF44" s="280">
        <f t="shared" si="31"/>
        <v>1</v>
      </c>
      <c r="AG44" s="280">
        <f t="shared" si="31"/>
        <v>0.99999999999999978</v>
      </c>
      <c r="AH44" s="280">
        <f t="shared" si="31"/>
        <v>1</v>
      </c>
      <c r="AI44" s="280">
        <f t="shared" si="31"/>
        <v>0.99999999999999989</v>
      </c>
      <c r="AJ44" s="280">
        <f t="shared" si="31"/>
        <v>0.99999999999999989</v>
      </c>
      <c r="AK44" s="280">
        <f t="shared" si="31"/>
        <v>1</v>
      </c>
      <c r="AL44" s="280">
        <f t="shared" si="31"/>
        <v>1</v>
      </c>
      <c r="AM44" s="281">
        <f t="shared" si="31"/>
        <v>1.0000000000000002</v>
      </c>
      <c r="AN44" s="280">
        <f t="shared" si="31"/>
        <v>1</v>
      </c>
      <c r="AO44" s="279">
        <f t="shared" si="31"/>
        <v>1</v>
      </c>
      <c r="AP44" s="279">
        <f t="shared" si="31"/>
        <v>1</v>
      </c>
      <c r="AQ44" s="279">
        <f t="shared" si="31"/>
        <v>1</v>
      </c>
      <c r="AR44" s="279">
        <f t="shared" si="31"/>
        <v>1</v>
      </c>
      <c r="AS44" s="282"/>
    </row>
    <row r="45" spans="1:45" s="167" customFormat="1" x14ac:dyDescent="0.35">
      <c r="A45" s="263"/>
      <c r="B45" s="247"/>
      <c r="C45" s="164"/>
      <c r="D45" s="164"/>
      <c r="E45" s="164"/>
      <c r="F45" s="164"/>
      <c r="G45" s="164"/>
      <c r="H45" s="164"/>
      <c r="I45" s="164"/>
      <c r="J45" s="164"/>
      <c r="K45" s="164"/>
      <c r="L45" s="164"/>
      <c r="M45" s="164"/>
      <c r="N45" s="164"/>
      <c r="O45" s="165"/>
      <c r="P45" s="164"/>
      <c r="Q45" s="164"/>
      <c r="R45" s="164"/>
      <c r="S45" s="164"/>
      <c r="T45" s="164"/>
      <c r="U45" s="164"/>
      <c r="V45" s="164"/>
      <c r="W45" s="164"/>
      <c r="X45" s="164"/>
      <c r="Y45" s="164"/>
      <c r="Z45" s="250"/>
      <c r="AA45" s="250"/>
      <c r="AB45" s="250"/>
      <c r="AC45" s="250"/>
      <c r="AD45" s="250"/>
      <c r="AE45" s="250"/>
      <c r="AF45" s="250"/>
      <c r="AG45" s="250"/>
      <c r="AH45" s="250"/>
      <c r="AI45" s="250"/>
      <c r="AJ45" s="250"/>
      <c r="AK45" s="250"/>
      <c r="AL45" s="250"/>
      <c r="AM45" s="264"/>
      <c r="AN45" s="250"/>
      <c r="AO45" s="250"/>
      <c r="AP45" s="250"/>
      <c r="AQ45" s="250"/>
      <c r="AR45" s="250"/>
      <c r="AS45" s="166"/>
    </row>
    <row r="46" spans="1:45" s="167" customFormat="1" x14ac:dyDescent="0.35">
      <c r="A46" s="303" t="s">
        <v>666</v>
      </c>
      <c r="B46" s="247"/>
      <c r="C46" s="164"/>
      <c r="D46" s="164"/>
      <c r="E46" s="166">
        <f t="shared" ref="E46:R46" si="32">E39</f>
        <v>472.84300000000007</v>
      </c>
      <c r="F46" s="166">
        <f t="shared" si="32"/>
        <v>608.83500000000004</v>
      </c>
      <c r="G46" s="166">
        <f t="shared" si="32"/>
        <v>607.75600000000009</v>
      </c>
      <c r="H46" s="166">
        <f t="shared" si="32"/>
        <v>806.30799999999999</v>
      </c>
      <c r="I46" s="166">
        <f t="shared" si="32"/>
        <v>727.72200000000009</v>
      </c>
      <c r="J46" s="166">
        <f t="shared" si="32"/>
        <v>918.46900000000005</v>
      </c>
      <c r="K46" s="166">
        <f t="shared" si="32"/>
        <v>870.81599999999992</v>
      </c>
      <c r="L46" s="166">
        <f t="shared" si="32"/>
        <v>1067.624</v>
      </c>
      <c r="M46" s="166">
        <f t="shared" si="32"/>
        <v>1158.3409999999999</v>
      </c>
      <c r="N46" s="164">
        <f t="shared" si="32"/>
        <v>1349.1960000000001</v>
      </c>
      <c r="O46" s="311">
        <f t="shared" si="32"/>
        <v>1214.7279999999998</v>
      </c>
      <c r="P46" s="164">
        <f t="shared" si="32"/>
        <v>1497.3317999999999</v>
      </c>
      <c r="Q46" s="164">
        <f t="shared" si="32"/>
        <v>1336.2008000000001</v>
      </c>
      <c r="R46" s="164">
        <f t="shared" si="32"/>
        <v>1647.0649800000001</v>
      </c>
      <c r="S46" s="164"/>
      <c r="T46" s="164"/>
      <c r="U46" s="164"/>
      <c r="V46" s="164"/>
      <c r="W46" s="164"/>
      <c r="X46" s="164"/>
      <c r="Y46" s="164"/>
      <c r="Z46" s="250"/>
      <c r="AA46" s="250"/>
      <c r="AB46" s="250"/>
      <c r="AC46" s="250"/>
      <c r="AD46" s="250"/>
      <c r="AE46" s="250"/>
      <c r="AF46" s="250"/>
      <c r="AG46" s="250"/>
      <c r="AH46" s="250"/>
      <c r="AI46" s="304">
        <f t="shared" ref="AI46:AR46" si="33">AI39</f>
        <v>1081.6780000000001</v>
      </c>
      <c r="AJ46" s="304">
        <f t="shared" si="33"/>
        <v>1414.0640000000001</v>
      </c>
      <c r="AK46" s="304">
        <f t="shared" si="33"/>
        <v>1646.191</v>
      </c>
      <c r="AL46" s="304">
        <f t="shared" si="33"/>
        <v>1938.44</v>
      </c>
      <c r="AM46" s="312">
        <f t="shared" si="33"/>
        <v>2507.5369999999998</v>
      </c>
      <c r="AN46" s="304">
        <f t="shared" si="33"/>
        <v>2712.0598</v>
      </c>
      <c r="AO46" s="250">
        <f t="shared" si="33"/>
        <v>2983.2657800000002</v>
      </c>
      <c r="AP46" s="250">
        <f t="shared" si="33"/>
        <v>3430.755647</v>
      </c>
      <c r="AQ46" s="250">
        <f t="shared" si="33"/>
        <v>3773.8312117000005</v>
      </c>
      <c r="AR46" s="250">
        <f t="shared" si="33"/>
        <v>4151.2143328700013</v>
      </c>
      <c r="AS46" s="166"/>
    </row>
    <row r="47" spans="1:45" s="167" customFormat="1" x14ac:dyDescent="0.35">
      <c r="A47" s="303" t="s">
        <v>667</v>
      </c>
      <c r="B47" s="247"/>
      <c r="C47" s="164"/>
      <c r="D47" s="164"/>
      <c r="E47" s="166">
        <f t="shared" ref="E47:R47" si="34">E48-E46</f>
        <v>-114.5390000000001</v>
      </c>
      <c r="F47" s="166">
        <f t="shared" si="34"/>
        <v>-169.93100000000004</v>
      </c>
      <c r="G47" s="166">
        <f t="shared" si="34"/>
        <v>-173.78600000000012</v>
      </c>
      <c r="H47" s="166">
        <f t="shared" si="34"/>
        <v>-248.42899999999997</v>
      </c>
      <c r="I47" s="166">
        <f t="shared" si="34"/>
        <v>-203.57400000000007</v>
      </c>
      <c r="J47" s="166">
        <f t="shared" si="34"/>
        <v>-365.49000000000012</v>
      </c>
      <c r="K47" s="166">
        <f t="shared" si="34"/>
        <v>-293.82799999999986</v>
      </c>
      <c r="L47" s="166">
        <f t="shared" si="34"/>
        <v>-487.94500000000005</v>
      </c>
      <c r="M47" s="166">
        <f t="shared" si="34"/>
        <v>-580.52099999999984</v>
      </c>
      <c r="N47" s="164">
        <f t="shared" si="34"/>
        <v>-849.07</v>
      </c>
      <c r="O47" s="311">
        <f t="shared" si="34"/>
        <v>-702.32299999999987</v>
      </c>
      <c r="P47" s="164">
        <f t="shared" si="34"/>
        <v>-995.54033000000004</v>
      </c>
      <c r="Q47" s="164">
        <f t="shared" si="34"/>
        <v>-792.87806399999999</v>
      </c>
      <c r="R47" s="164">
        <f t="shared" si="34"/>
        <v>-1095.0943630000002</v>
      </c>
      <c r="S47" s="164"/>
      <c r="T47" s="164"/>
      <c r="U47" s="164"/>
      <c r="V47" s="164"/>
      <c r="W47" s="164"/>
      <c r="X47" s="164"/>
      <c r="Y47" s="164"/>
      <c r="Z47" s="250"/>
      <c r="AA47" s="250"/>
      <c r="AB47" s="250"/>
      <c r="AC47" s="250"/>
      <c r="AD47" s="250"/>
      <c r="AE47" s="250"/>
      <c r="AF47" s="250"/>
      <c r="AG47" s="250"/>
      <c r="AH47" s="250"/>
      <c r="AI47" s="304">
        <f t="shared" ref="AI47:AR47" si="35">AI48-AI46</f>
        <v>-284.47000000000003</v>
      </c>
      <c r="AJ47" s="304">
        <f t="shared" si="35"/>
        <v>-422.21500000000003</v>
      </c>
      <c r="AK47" s="304">
        <f t="shared" si="35"/>
        <v>-569.06400000000008</v>
      </c>
      <c r="AL47" s="304">
        <f t="shared" si="35"/>
        <v>-781.77300000000014</v>
      </c>
      <c r="AM47" s="312">
        <f t="shared" si="35"/>
        <v>-1429.5909999999997</v>
      </c>
      <c r="AN47" s="304">
        <f t="shared" si="35"/>
        <v>-1697.8633300000001</v>
      </c>
      <c r="AO47" s="250">
        <f t="shared" si="35"/>
        <v>-1887.9724270000002</v>
      </c>
      <c r="AP47" s="250">
        <f t="shared" si="35"/>
        <v>-2171.1682910499999</v>
      </c>
      <c r="AQ47" s="250">
        <f t="shared" si="35"/>
        <v>-2388.2851201550002</v>
      </c>
      <c r="AR47" s="250">
        <f t="shared" si="35"/>
        <v>-2627.1136321705008</v>
      </c>
      <c r="AS47" s="166"/>
    </row>
    <row r="48" spans="1:45" s="262" customFormat="1" x14ac:dyDescent="0.35">
      <c r="A48" s="253" t="s">
        <v>668</v>
      </c>
      <c r="B48" s="254"/>
      <c r="C48" s="255"/>
      <c r="D48" s="255"/>
      <c r="E48" s="256">
        <f t="shared" ref="E48:R48" si="36">E24</f>
        <v>358.30399999999997</v>
      </c>
      <c r="F48" s="256">
        <f t="shared" si="36"/>
        <v>438.904</v>
      </c>
      <c r="G48" s="256">
        <f t="shared" si="36"/>
        <v>433.96999999999997</v>
      </c>
      <c r="H48" s="256">
        <f t="shared" si="36"/>
        <v>557.87900000000002</v>
      </c>
      <c r="I48" s="256">
        <f t="shared" si="36"/>
        <v>524.14800000000002</v>
      </c>
      <c r="J48" s="256">
        <f t="shared" si="36"/>
        <v>552.97899999999993</v>
      </c>
      <c r="K48" s="256">
        <f t="shared" si="36"/>
        <v>576.98800000000006</v>
      </c>
      <c r="L48" s="256">
        <f t="shared" si="36"/>
        <v>579.67899999999997</v>
      </c>
      <c r="M48" s="256">
        <f t="shared" si="36"/>
        <v>577.82000000000005</v>
      </c>
      <c r="N48" s="255">
        <f t="shared" si="36"/>
        <v>500.12600000000009</v>
      </c>
      <c r="O48" s="257">
        <f t="shared" si="36"/>
        <v>512.40499999999997</v>
      </c>
      <c r="P48" s="255">
        <f t="shared" si="36"/>
        <v>501.79146999999995</v>
      </c>
      <c r="Q48" s="255">
        <f t="shared" si="36"/>
        <v>543.32273600000008</v>
      </c>
      <c r="R48" s="255">
        <f t="shared" si="36"/>
        <v>551.97061700000006</v>
      </c>
      <c r="S48" s="255"/>
      <c r="T48" s="255"/>
      <c r="U48" s="255"/>
      <c r="V48" s="255"/>
      <c r="W48" s="255"/>
      <c r="X48" s="255"/>
      <c r="Y48" s="255"/>
      <c r="Z48" s="258"/>
      <c r="AA48" s="258"/>
      <c r="AB48" s="258"/>
      <c r="AC48" s="258"/>
      <c r="AD48" s="258"/>
      <c r="AE48" s="258"/>
      <c r="AF48" s="258"/>
      <c r="AG48" s="258"/>
      <c r="AH48" s="258"/>
      <c r="AI48" s="259">
        <f t="shared" ref="AI48:AR48" si="37">AI24</f>
        <v>797.20800000000008</v>
      </c>
      <c r="AJ48" s="259">
        <f t="shared" si="37"/>
        <v>991.84900000000005</v>
      </c>
      <c r="AK48" s="259">
        <f t="shared" si="37"/>
        <v>1077.127</v>
      </c>
      <c r="AL48" s="259">
        <f t="shared" si="37"/>
        <v>1156.6669999999999</v>
      </c>
      <c r="AM48" s="260">
        <f t="shared" si="37"/>
        <v>1077.9460000000001</v>
      </c>
      <c r="AN48" s="259">
        <f t="shared" si="37"/>
        <v>1014.1964699999999</v>
      </c>
      <c r="AO48" s="258">
        <f t="shared" si="37"/>
        <v>1095.293353</v>
      </c>
      <c r="AP48" s="258">
        <f t="shared" si="37"/>
        <v>1259.5873559500001</v>
      </c>
      <c r="AQ48" s="258">
        <f t="shared" si="37"/>
        <v>1385.5460915450001</v>
      </c>
      <c r="AR48" s="258">
        <f t="shared" si="37"/>
        <v>1524.1007006995005</v>
      </c>
      <c r="AS48" s="261"/>
    </row>
    <row r="49" spans="1:45" s="167" customFormat="1" x14ac:dyDescent="0.35">
      <c r="A49" s="263"/>
      <c r="B49" s="247"/>
      <c r="C49" s="164"/>
      <c r="D49" s="164"/>
      <c r="E49" s="164"/>
      <c r="F49" s="164"/>
      <c r="G49" s="164"/>
      <c r="H49" s="164"/>
      <c r="I49" s="164"/>
      <c r="J49" s="164"/>
      <c r="K49" s="164"/>
      <c r="L49" s="164"/>
      <c r="M49" s="164"/>
      <c r="N49" s="164"/>
      <c r="O49" s="165"/>
      <c r="P49" s="164"/>
      <c r="Q49" s="164"/>
      <c r="R49" s="164"/>
      <c r="S49" s="164"/>
      <c r="T49" s="164"/>
      <c r="U49" s="164"/>
      <c r="V49" s="164"/>
      <c r="W49" s="164"/>
      <c r="X49" s="164"/>
      <c r="Y49" s="164"/>
      <c r="Z49" s="250"/>
      <c r="AA49" s="250"/>
      <c r="AB49" s="250"/>
      <c r="AC49" s="250"/>
      <c r="AD49" s="250"/>
      <c r="AE49" s="250"/>
      <c r="AF49" s="250"/>
      <c r="AG49" s="250"/>
      <c r="AH49" s="250"/>
      <c r="AI49" s="250"/>
      <c r="AJ49" s="250"/>
      <c r="AK49" s="250"/>
      <c r="AL49" s="250"/>
      <c r="AM49" s="264"/>
      <c r="AN49" s="250"/>
      <c r="AO49" s="250"/>
      <c r="AP49" s="250"/>
      <c r="AQ49" s="250"/>
      <c r="AR49" s="250"/>
      <c r="AS49" s="166"/>
    </row>
    <row r="50" spans="1:45" s="167" customFormat="1" x14ac:dyDescent="0.35">
      <c r="A50" s="242" t="s">
        <v>669</v>
      </c>
      <c r="B50" s="243"/>
      <c r="C50" s="243"/>
      <c r="D50" s="243"/>
      <c r="E50" s="243"/>
      <c r="F50" s="243"/>
      <c r="G50" s="243"/>
      <c r="H50" s="243"/>
      <c r="I50" s="243"/>
      <c r="J50" s="243"/>
      <c r="K50" s="243"/>
      <c r="L50" s="243"/>
      <c r="M50" s="244" t="s">
        <v>632</v>
      </c>
      <c r="N50" s="243"/>
      <c r="O50" s="245"/>
      <c r="P50" s="243"/>
      <c r="Q50" s="243"/>
      <c r="R50" s="243"/>
      <c r="S50" s="243"/>
      <c r="T50" s="243"/>
      <c r="U50" s="243"/>
      <c r="V50" s="243"/>
      <c r="W50" s="243"/>
      <c r="X50" s="243"/>
      <c r="Y50" s="243"/>
      <c r="Z50" s="243"/>
      <c r="AA50" s="243"/>
      <c r="AB50" s="243"/>
      <c r="AC50" s="243"/>
      <c r="AD50" s="243"/>
      <c r="AE50" s="243"/>
      <c r="AF50" s="243"/>
      <c r="AG50" s="243"/>
      <c r="AH50" s="243"/>
      <c r="AI50" s="243"/>
      <c r="AJ50" s="243"/>
      <c r="AK50" s="243"/>
      <c r="AL50" s="243"/>
      <c r="AM50" s="245"/>
      <c r="AN50" s="243"/>
      <c r="AO50" s="243"/>
      <c r="AP50" s="243"/>
      <c r="AQ50" s="243"/>
      <c r="AR50" s="243"/>
      <c r="AS50" s="166"/>
    </row>
    <row r="51" spans="1:45" s="167" customFormat="1" x14ac:dyDescent="0.35">
      <c r="A51" s="303" t="s">
        <v>670</v>
      </c>
      <c r="B51" s="247"/>
      <c r="C51" s="164"/>
      <c r="D51" s="164"/>
      <c r="E51" s="164"/>
      <c r="F51" s="164"/>
      <c r="G51" s="164"/>
      <c r="H51" s="164"/>
      <c r="I51" s="248">
        <v>272.03699999999998</v>
      </c>
      <c r="J51" s="166">
        <f>AK51-SUM(I51)</f>
        <v>258.536</v>
      </c>
      <c r="K51" s="248">
        <v>348.10599999999999</v>
      </c>
      <c r="L51" s="166">
        <f>AL51-SUM(K51)</f>
        <v>287.40499999999997</v>
      </c>
      <c r="M51" s="248">
        <v>413.02199999999999</v>
      </c>
      <c r="N51" s="164">
        <f>AM51-M51</f>
        <v>122.80099999999999</v>
      </c>
      <c r="O51" s="249">
        <v>313.89100000000002</v>
      </c>
      <c r="P51" s="164"/>
      <c r="Q51" s="164"/>
      <c r="R51" s="164"/>
      <c r="S51" s="164"/>
      <c r="T51" s="164"/>
      <c r="U51" s="164"/>
      <c r="V51" s="164"/>
      <c r="W51" s="164"/>
      <c r="X51" s="164"/>
      <c r="Y51" s="164"/>
      <c r="Z51" s="250"/>
      <c r="AA51" s="250"/>
      <c r="AB51" s="250"/>
      <c r="AC51" s="250"/>
      <c r="AD51" s="250"/>
      <c r="AE51" s="250"/>
      <c r="AF51" s="250"/>
      <c r="AG51" s="250"/>
      <c r="AH51" s="250"/>
      <c r="AI51" s="250"/>
      <c r="AJ51" s="251">
        <v>499.03300000000002</v>
      </c>
      <c r="AK51" s="251">
        <v>530.57299999999998</v>
      </c>
      <c r="AL51" s="251">
        <v>635.51099999999997</v>
      </c>
      <c r="AM51" s="252">
        <v>535.82299999999998</v>
      </c>
      <c r="AN51" s="250"/>
      <c r="AO51" s="250"/>
      <c r="AP51" s="250"/>
      <c r="AQ51" s="250"/>
      <c r="AR51" s="250"/>
      <c r="AS51" s="166"/>
    </row>
    <row r="52" spans="1:45" s="167" customFormat="1" x14ac:dyDescent="0.35">
      <c r="A52" s="303" t="s">
        <v>671</v>
      </c>
      <c r="B52" s="247"/>
      <c r="C52" s="164"/>
      <c r="D52" s="164"/>
      <c r="E52" s="164"/>
      <c r="F52" s="164"/>
      <c r="G52" s="164"/>
      <c r="H52" s="164"/>
      <c r="I52" s="248">
        <v>140.84800000000001</v>
      </c>
      <c r="J52" s="166">
        <f>AK52-SUM(I52)</f>
        <v>116.63</v>
      </c>
      <c r="K52" s="248">
        <v>111.928</v>
      </c>
      <c r="L52" s="166">
        <f>AL52-SUM(K52)</f>
        <v>125.721</v>
      </c>
      <c r="M52" s="248">
        <v>96.947999999999993</v>
      </c>
      <c r="N52" s="164">
        <f>AM52-M52</f>
        <v>125.116</v>
      </c>
      <c r="O52" s="249">
        <v>129.71199999999999</v>
      </c>
      <c r="P52" s="164"/>
      <c r="Q52" s="164"/>
      <c r="R52" s="164"/>
      <c r="S52" s="164"/>
      <c r="T52" s="164"/>
      <c r="U52" s="164"/>
      <c r="V52" s="164"/>
      <c r="W52" s="164"/>
      <c r="X52" s="164"/>
      <c r="Y52" s="164"/>
      <c r="Z52" s="250"/>
      <c r="AA52" s="250"/>
      <c r="AB52" s="250"/>
      <c r="AC52" s="250"/>
      <c r="AD52" s="250"/>
      <c r="AE52" s="250"/>
      <c r="AF52" s="250"/>
      <c r="AG52" s="250"/>
      <c r="AH52" s="250"/>
      <c r="AI52" s="250"/>
      <c r="AJ52" s="251">
        <v>236.262</v>
      </c>
      <c r="AK52" s="251">
        <v>257.47800000000001</v>
      </c>
      <c r="AL52" s="251">
        <v>237.649</v>
      </c>
      <c r="AM52" s="252">
        <v>222.06399999999999</v>
      </c>
      <c r="AN52" s="250"/>
      <c r="AO52" s="250"/>
      <c r="AP52" s="250"/>
      <c r="AQ52" s="250"/>
      <c r="AR52" s="250"/>
      <c r="AS52" s="166"/>
    </row>
    <row r="53" spans="1:45" s="167" customFormat="1" x14ac:dyDescent="0.35">
      <c r="A53" s="303" t="s">
        <v>672</v>
      </c>
      <c r="B53" s="247"/>
      <c r="C53" s="164"/>
      <c r="D53" s="164"/>
      <c r="E53" s="164"/>
      <c r="F53" s="164"/>
      <c r="G53" s="164"/>
      <c r="H53" s="164"/>
      <c r="I53" s="248">
        <v>111.26300000000001</v>
      </c>
      <c r="J53" s="166">
        <f>AK53-SUM(I53)</f>
        <v>177.81300000000002</v>
      </c>
      <c r="K53" s="248">
        <v>116.95399999999999</v>
      </c>
      <c r="L53" s="166">
        <f>AL53-SUM(K53)</f>
        <v>166.553</v>
      </c>
      <c r="M53" s="248">
        <v>67.849999999999994</v>
      </c>
      <c r="N53" s="164">
        <f>AM53-M53</f>
        <v>252.20900000000003</v>
      </c>
      <c r="O53" s="249">
        <v>68.802000000000007</v>
      </c>
      <c r="P53" s="164"/>
      <c r="Q53" s="164"/>
      <c r="R53" s="164"/>
      <c r="S53" s="164"/>
      <c r="T53" s="164"/>
      <c r="U53" s="164"/>
      <c r="V53" s="164"/>
      <c r="W53" s="164"/>
      <c r="X53" s="164"/>
      <c r="Y53" s="164"/>
      <c r="Z53" s="250"/>
      <c r="AA53" s="250"/>
      <c r="AB53" s="250"/>
      <c r="AC53" s="250"/>
      <c r="AD53" s="250"/>
      <c r="AE53" s="250"/>
      <c r="AF53" s="250"/>
      <c r="AG53" s="250"/>
      <c r="AH53" s="250"/>
      <c r="AI53" s="250"/>
      <c r="AJ53" s="251">
        <v>256.55399999999997</v>
      </c>
      <c r="AK53" s="251">
        <v>289.07600000000002</v>
      </c>
      <c r="AL53" s="251">
        <v>283.50700000000001</v>
      </c>
      <c r="AM53" s="252">
        <v>320.05900000000003</v>
      </c>
      <c r="AN53" s="250"/>
      <c r="AO53" s="250"/>
      <c r="AP53" s="250"/>
      <c r="AQ53" s="250"/>
      <c r="AR53" s="250"/>
      <c r="AS53" s="166"/>
    </row>
    <row r="54" spans="1:45" s="262" customFormat="1" x14ac:dyDescent="0.35">
      <c r="A54" s="253" t="s">
        <v>673</v>
      </c>
      <c r="B54" s="254"/>
      <c r="C54" s="255"/>
      <c r="D54" s="255"/>
      <c r="E54" s="255"/>
      <c r="F54" s="255"/>
      <c r="G54" s="255"/>
      <c r="H54" s="255"/>
      <c r="I54" s="256">
        <f t="shared" ref="I54:O54" si="38">SUM(I51:I53)</f>
        <v>524.14800000000002</v>
      </c>
      <c r="J54" s="256">
        <f t="shared" si="38"/>
        <v>552.97900000000004</v>
      </c>
      <c r="K54" s="256">
        <f t="shared" si="38"/>
        <v>576.98799999999994</v>
      </c>
      <c r="L54" s="256">
        <f t="shared" si="38"/>
        <v>579.67899999999997</v>
      </c>
      <c r="M54" s="256">
        <f t="shared" si="38"/>
        <v>577.81999999999994</v>
      </c>
      <c r="N54" s="255">
        <f t="shared" si="38"/>
        <v>500.12599999999998</v>
      </c>
      <c r="O54" s="257">
        <f t="shared" si="38"/>
        <v>512.40499999999997</v>
      </c>
      <c r="P54" s="255"/>
      <c r="Q54" s="255"/>
      <c r="R54" s="255"/>
      <c r="S54" s="255"/>
      <c r="T54" s="255"/>
      <c r="U54" s="255"/>
      <c r="V54" s="255"/>
      <c r="W54" s="255"/>
      <c r="X54" s="255"/>
      <c r="Y54" s="255"/>
      <c r="Z54" s="258"/>
      <c r="AA54" s="258"/>
      <c r="AB54" s="258"/>
      <c r="AC54" s="258"/>
      <c r="AD54" s="258"/>
      <c r="AE54" s="258"/>
      <c r="AF54" s="258"/>
      <c r="AG54" s="258"/>
      <c r="AH54" s="258"/>
      <c r="AI54" s="258"/>
      <c r="AJ54" s="259">
        <f>SUM(AJ51:AJ53)</f>
        <v>991.84900000000005</v>
      </c>
      <c r="AK54" s="259">
        <f>SUM(AK51:AK53)</f>
        <v>1077.127</v>
      </c>
      <c r="AL54" s="259">
        <f>SUM(AL51:AL53)</f>
        <v>1156.6669999999999</v>
      </c>
      <c r="AM54" s="260">
        <f>SUM(AM51:AM53)</f>
        <v>1077.9459999999999</v>
      </c>
      <c r="AN54" s="258"/>
      <c r="AO54" s="258"/>
      <c r="AP54" s="258"/>
      <c r="AQ54" s="258"/>
      <c r="AR54" s="258"/>
      <c r="AS54" s="261"/>
    </row>
    <row r="55" spans="1:45" s="167" customFormat="1" outlineLevel="1" x14ac:dyDescent="0.35">
      <c r="A55" s="263"/>
      <c r="B55" s="247"/>
      <c r="C55" s="164"/>
      <c r="D55" s="164"/>
      <c r="E55" s="164"/>
      <c r="F55" s="164"/>
      <c r="G55" s="164"/>
      <c r="H55" s="164"/>
      <c r="I55" s="164"/>
      <c r="J55" s="164"/>
      <c r="K55" s="164"/>
      <c r="L55" s="164"/>
      <c r="M55" s="164"/>
      <c r="N55" s="164"/>
      <c r="O55" s="165"/>
      <c r="P55" s="164"/>
      <c r="Q55" s="164"/>
      <c r="R55" s="164"/>
      <c r="S55" s="164"/>
      <c r="T55" s="164"/>
      <c r="U55" s="164"/>
      <c r="V55" s="164"/>
      <c r="W55" s="164"/>
      <c r="X55" s="164"/>
      <c r="Y55" s="164"/>
      <c r="Z55" s="250"/>
      <c r="AA55" s="250"/>
      <c r="AB55" s="250"/>
      <c r="AC55" s="250"/>
      <c r="AD55" s="250"/>
      <c r="AE55" s="250"/>
      <c r="AF55" s="250"/>
      <c r="AG55" s="250"/>
      <c r="AH55" s="250"/>
      <c r="AI55" s="250"/>
      <c r="AJ55" s="250"/>
      <c r="AK55" s="250"/>
      <c r="AL55" s="250"/>
      <c r="AM55" s="264"/>
      <c r="AN55" s="250"/>
      <c r="AO55" s="250"/>
      <c r="AP55" s="250"/>
      <c r="AQ55" s="250"/>
      <c r="AR55" s="250"/>
      <c r="AS55" s="166"/>
    </row>
    <row r="56" spans="1:45" s="273" customFormat="1" outlineLevel="1" x14ac:dyDescent="0.35">
      <c r="A56" s="265" t="s">
        <v>674</v>
      </c>
      <c r="B56" s="266"/>
      <c r="C56" s="267"/>
      <c r="D56" s="267"/>
      <c r="E56" s="267"/>
      <c r="F56" s="267"/>
      <c r="G56" s="267"/>
      <c r="H56" s="267"/>
      <c r="I56" s="268">
        <f t="shared" ref="I56:O58" si="39">I51/I$54</f>
        <v>0.51900799010966359</v>
      </c>
      <c r="J56" s="268">
        <f t="shared" si="39"/>
        <v>0.46753312512771728</v>
      </c>
      <c r="K56" s="268">
        <f t="shared" si="39"/>
        <v>0.60331584019078388</v>
      </c>
      <c r="L56" s="268">
        <f t="shared" si="39"/>
        <v>0.49580026186906889</v>
      </c>
      <c r="M56" s="268">
        <f t="shared" si="39"/>
        <v>0.71479353431864601</v>
      </c>
      <c r="N56" s="267">
        <f t="shared" si="39"/>
        <v>0.24554012388878002</v>
      </c>
      <c r="O56" s="269">
        <f t="shared" si="39"/>
        <v>0.61258379602072588</v>
      </c>
      <c r="P56" s="267"/>
      <c r="Q56" s="267"/>
      <c r="R56" s="267"/>
      <c r="S56" s="267"/>
      <c r="T56" s="267"/>
      <c r="U56" s="267"/>
      <c r="V56" s="267"/>
      <c r="W56" s="267"/>
      <c r="X56" s="267"/>
      <c r="Y56" s="267"/>
      <c r="Z56" s="270"/>
      <c r="AA56" s="270"/>
      <c r="AB56" s="270"/>
      <c r="AC56" s="270"/>
      <c r="AD56" s="270"/>
      <c r="AE56" s="270"/>
      <c r="AF56" s="270"/>
      <c r="AG56" s="270"/>
      <c r="AH56" s="270"/>
      <c r="AI56" s="270"/>
      <c r="AJ56" s="271">
        <f t="shared" ref="AJ56:AM58" si="40">AJ51/AJ$54</f>
        <v>0.50313404560573227</v>
      </c>
      <c r="AK56" s="271">
        <f t="shared" si="40"/>
        <v>0.49258165471666759</v>
      </c>
      <c r="AL56" s="271">
        <f t="shared" si="40"/>
        <v>0.54943298287233922</v>
      </c>
      <c r="AM56" s="272">
        <f t="shared" si="40"/>
        <v>0.49707777569562855</v>
      </c>
      <c r="AN56" s="270"/>
      <c r="AO56" s="270"/>
      <c r="AP56" s="270"/>
      <c r="AQ56" s="270"/>
      <c r="AR56" s="270"/>
      <c r="AS56" s="268"/>
    </row>
    <row r="57" spans="1:45" s="273" customFormat="1" outlineLevel="1" x14ac:dyDescent="0.35">
      <c r="A57" s="265" t="s">
        <v>675</v>
      </c>
      <c r="B57" s="266"/>
      <c r="C57" s="267"/>
      <c r="D57" s="267"/>
      <c r="E57" s="267"/>
      <c r="F57" s="267"/>
      <c r="G57" s="267"/>
      <c r="H57" s="267"/>
      <c r="I57" s="268">
        <f t="shared" si="39"/>
        <v>0.26871799568060928</v>
      </c>
      <c r="J57" s="268">
        <f t="shared" si="39"/>
        <v>0.21091216845485994</v>
      </c>
      <c r="K57" s="268">
        <f t="shared" si="39"/>
        <v>0.19398670336298157</v>
      </c>
      <c r="L57" s="268">
        <f t="shared" si="39"/>
        <v>0.21688037689824888</v>
      </c>
      <c r="M57" s="268">
        <f t="shared" si="39"/>
        <v>0.1677823543664117</v>
      </c>
      <c r="N57" s="267">
        <f t="shared" si="39"/>
        <v>0.25016895742272949</v>
      </c>
      <c r="O57" s="269">
        <f t="shared" si="39"/>
        <v>0.25314350952859554</v>
      </c>
      <c r="P57" s="267"/>
      <c r="Q57" s="267"/>
      <c r="R57" s="267"/>
      <c r="S57" s="267"/>
      <c r="T57" s="267"/>
      <c r="U57" s="267"/>
      <c r="V57" s="267"/>
      <c r="W57" s="267"/>
      <c r="X57" s="267"/>
      <c r="Y57" s="267"/>
      <c r="Z57" s="270"/>
      <c r="AA57" s="270"/>
      <c r="AB57" s="270"/>
      <c r="AC57" s="270"/>
      <c r="AD57" s="270"/>
      <c r="AE57" s="270"/>
      <c r="AF57" s="270"/>
      <c r="AG57" s="270"/>
      <c r="AH57" s="270"/>
      <c r="AI57" s="270"/>
      <c r="AJ57" s="271">
        <f t="shared" si="40"/>
        <v>0.23820359752341333</v>
      </c>
      <c r="AK57" s="271">
        <f t="shared" si="40"/>
        <v>0.23904145007970279</v>
      </c>
      <c r="AL57" s="271">
        <f t="shared" si="40"/>
        <v>0.20546017133712643</v>
      </c>
      <c r="AM57" s="272">
        <f t="shared" si="40"/>
        <v>0.20600660886537916</v>
      </c>
      <c r="AN57" s="270"/>
      <c r="AO57" s="270"/>
      <c r="AP57" s="270"/>
      <c r="AQ57" s="270"/>
      <c r="AR57" s="270"/>
      <c r="AS57" s="268"/>
    </row>
    <row r="58" spans="1:45" s="273" customFormat="1" outlineLevel="1" x14ac:dyDescent="0.35">
      <c r="A58" s="265" t="s">
        <v>676</v>
      </c>
      <c r="B58" s="266"/>
      <c r="C58" s="267"/>
      <c r="D58" s="267"/>
      <c r="E58" s="267"/>
      <c r="F58" s="267"/>
      <c r="G58" s="267"/>
      <c r="H58" s="267"/>
      <c r="I58" s="268">
        <f t="shared" si="39"/>
        <v>0.21227401420972702</v>
      </c>
      <c r="J58" s="268">
        <f t="shared" si="39"/>
        <v>0.32155470641742273</v>
      </c>
      <c r="K58" s="268">
        <f t="shared" si="39"/>
        <v>0.2026974564462346</v>
      </c>
      <c r="L58" s="268">
        <f t="shared" si="39"/>
        <v>0.28731936123268226</v>
      </c>
      <c r="M58" s="268">
        <f t="shared" si="39"/>
        <v>0.11742411131494238</v>
      </c>
      <c r="N58" s="267">
        <f t="shared" si="39"/>
        <v>0.50429091868849063</v>
      </c>
      <c r="O58" s="269">
        <f t="shared" si="39"/>
        <v>0.13427269445067869</v>
      </c>
      <c r="P58" s="267"/>
      <c r="Q58" s="267"/>
      <c r="R58" s="267"/>
      <c r="S58" s="267"/>
      <c r="T58" s="267"/>
      <c r="U58" s="267"/>
      <c r="V58" s="267"/>
      <c r="W58" s="267"/>
      <c r="X58" s="267"/>
      <c r="Y58" s="267"/>
      <c r="Z58" s="270"/>
      <c r="AA58" s="270"/>
      <c r="AB58" s="270"/>
      <c r="AC58" s="270"/>
      <c r="AD58" s="270"/>
      <c r="AE58" s="270"/>
      <c r="AF58" s="270"/>
      <c r="AG58" s="270"/>
      <c r="AH58" s="270"/>
      <c r="AI58" s="270"/>
      <c r="AJ58" s="271">
        <f t="shared" si="40"/>
        <v>0.25866235687085432</v>
      </c>
      <c r="AK58" s="271">
        <f t="shared" si="40"/>
        <v>0.26837689520362967</v>
      </c>
      <c r="AL58" s="271">
        <f t="shared" si="40"/>
        <v>0.24510684579053438</v>
      </c>
      <c r="AM58" s="272">
        <f t="shared" si="40"/>
        <v>0.29691561543899236</v>
      </c>
      <c r="AN58" s="270"/>
      <c r="AO58" s="270"/>
      <c r="AP58" s="270"/>
      <c r="AQ58" s="270"/>
      <c r="AR58" s="270"/>
      <c r="AS58" s="268"/>
    </row>
    <row r="59" spans="1:45" s="283" customFormat="1" outlineLevel="1" x14ac:dyDescent="0.35">
      <c r="A59" s="274" t="s">
        <v>677</v>
      </c>
      <c r="B59" s="275"/>
      <c r="C59" s="276"/>
      <c r="D59" s="276"/>
      <c r="E59" s="276"/>
      <c r="F59" s="276"/>
      <c r="G59" s="276"/>
      <c r="H59" s="276"/>
      <c r="I59" s="277">
        <f>I54/I$54</f>
        <v>1</v>
      </c>
      <c r="J59" s="277">
        <f>J54/J$54</f>
        <v>1</v>
      </c>
      <c r="K59" s="277">
        <f>K54/K$54</f>
        <v>1</v>
      </c>
      <c r="L59" s="277">
        <f>L54/L$54</f>
        <v>1</v>
      </c>
      <c r="M59" s="277">
        <f>SUM(M56:M58)</f>
        <v>1</v>
      </c>
      <c r="N59" s="276">
        <f>SUM(N56:N58)</f>
        <v>1</v>
      </c>
      <c r="O59" s="278">
        <f>SUM(O56:O58)</f>
        <v>1</v>
      </c>
      <c r="P59" s="276"/>
      <c r="Q59" s="276"/>
      <c r="R59" s="276"/>
      <c r="S59" s="276"/>
      <c r="T59" s="276"/>
      <c r="U59" s="276"/>
      <c r="V59" s="276"/>
      <c r="W59" s="276"/>
      <c r="X59" s="276"/>
      <c r="Y59" s="276"/>
      <c r="Z59" s="279"/>
      <c r="AA59" s="279"/>
      <c r="AB59" s="279"/>
      <c r="AC59" s="279"/>
      <c r="AD59" s="279"/>
      <c r="AE59" s="279"/>
      <c r="AF59" s="279"/>
      <c r="AG59" s="279"/>
      <c r="AH59" s="279"/>
      <c r="AI59" s="279"/>
      <c r="AJ59" s="280">
        <f>AJ54/AJ$54</f>
        <v>1</v>
      </c>
      <c r="AK59" s="280">
        <f>AK54/AK$54</f>
        <v>1</v>
      </c>
      <c r="AL59" s="280">
        <f>AL54/AL$54</f>
        <v>1</v>
      </c>
      <c r="AM59" s="281">
        <f>SUM(AM56:AM58)</f>
        <v>1</v>
      </c>
      <c r="AN59" s="279"/>
      <c r="AO59" s="279"/>
      <c r="AP59" s="279"/>
      <c r="AQ59" s="279"/>
      <c r="AR59" s="279"/>
      <c r="AS59" s="282"/>
    </row>
    <row r="60" spans="1:45" s="167" customFormat="1" x14ac:dyDescent="0.35">
      <c r="A60" s="263"/>
      <c r="B60" s="247"/>
      <c r="C60" s="164"/>
      <c r="D60" s="164"/>
      <c r="E60" s="164"/>
      <c r="F60" s="164"/>
      <c r="G60" s="164"/>
      <c r="H60" s="164"/>
      <c r="I60" s="164"/>
      <c r="J60" s="164"/>
      <c r="K60" s="164"/>
      <c r="L60" s="164"/>
      <c r="M60" s="164"/>
      <c r="N60" s="164"/>
      <c r="O60" s="165"/>
      <c r="P60" s="164"/>
      <c r="Q60" s="164"/>
      <c r="R60" s="164"/>
      <c r="S60" s="164"/>
      <c r="T60" s="164"/>
      <c r="U60" s="164"/>
      <c r="V60" s="164"/>
      <c r="W60" s="164"/>
      <c r="X60" s="164"/>
      <c r="Y60" s="164"/>
      <c r="Z60" s="250"/>
      <c r="AA60" s="250"/>
      <c r="AB60" s="250"/>
      <c r="AC60" s="250"/>
      <c r="AD60" s="250"/>
      <c r="AE60" s="250"/>
      <c r="AF60" s="250"/>
      <c r="AG60" s="250"/>
      <c r="AH60" s="250"/>
      <c r="AI60" s="250"/>
      <c r="AJ60" s="250"/>
      <c r="AK60" s="250"/>
      <c r="AL60" s="250"/>
      <c r="AM60" s="264"/>
      <c r="AN60" s="250"/>
      <c r="AO60" s="250"/>
      <c r="AP60" s="250"/>
      <c r="AQ60" s="250"/>
      <c r="AR60" s="250"/>
      <c r="AS60" s="166"/>
    </row>
    <row r="61" spans="1:45" s="207" customFormat="1" x14ac:dyDescent="0.35">
      <c r="A61" s="234" t="s">
        <v>678</v>
      </c>
      <c r="B61" s="290"/>
      <c r="C61" s="291"/>
      <c r="D61" s="291"/>
      <c r="E61" s="291"/>
      <c r="F61" s="291"/>
      <c r="G61" s="291"/>
      <c r="H61" s="291"/>
      <c r="I61" s="291">
        <f t="shared" ref="I61:O64" si="41">I51/I66</f>
        <v>0.80610243220178268</v>
      </c>
      <c r="J61" s="291">
        <f t="shared" si="41"/>
        <v>0.7784063709033977</v>
      </c>
      <c r="K61" s="291">
        <f t="shared" si="41"/>
        <v>0.7793185278051401</v>
      </c>
      <c r="L61" s="291">
        <f t="shared" si="41"/>
        <v>0.73183556648791237</v>
      </c>
      <c r="M61" s="291">
        <f t="shared" si="41"/>
        <v>0.64202439873653838</v>
      </c>
      <c r="N61" s="291">
        <f t="shared" si="41"/>
        <v>0.23348727903974378</v>
      </c>
      <c r="O61" s="292">
        <f t="shared" si="41"/>
        <v>0.53719207691702131</v>
      </c>
      <c r="P61" s="291"/>
      <c r="Q61" s="291"/>
      <c r="R61" s="291"/>
      <c r="S61" s="291"/>
      <c r="T61" s="291"/>
      <c r="U61" s="291"/>
      <c r="V61" s="291"/>
      <c r="W61" s="291"/>
      <c r="X61" s="291"/>
      <c r="Y61" s="291"/>
      <c r="Z61" s="295"/>
      <c r="AA61" s="295"/>
      <c r="AB61" s="295"/>
      <c r="AC61" s="295"/>
      <c r="AD61" s="295"/>
      <c r="AE61" s="295"/>
      <c r="AF61" s="295"/>
      <c r="AG61" s="295"/>
      <c r="AH61" s="295"/>
      <c r="AI61" s="295"/>
      <c r="AJ61" s="295">
        <f t="shared" ref="AJ61:AM64" si="42">AJ51/AJ66</f>
        <v>0.82208680926211464</v>
      </c>
      <c r="AK61" s="295">
        <f t="shared" si="42"/>
        <v>0.79236477515916048</v>
      </c>
      <c r="AL61" s="295">
        <f t="shared" si="42"/>
        <v>0.75710330498762202</v>
      </c>
      <c r="AM61" s="296">
        <f t="shared" si="42"/>
        <v>0.45826017421349485</v>
      </c>
      <c r="AN61" s="295"/>
      <c r="AO61" s="295"/>
      <c r="AP61" s="295"/>
      <c r="AQ61" s="295"/>
      <c r="AR61" s="295"/>
      <c r="AS61" s="206"/>
    </row>
    <row r="62" spans="1:45" s="207" customFormat="1" x14ac:dyDescent="0.35">
      <c r="A62" s="234" t="s">
        <v>679</v>
      </c>
      <c r="B62" s="290"/>
      <c r="C62" s="291"/>
      <c r="D62" s="291"/>
      <c r="E62" s="291"/>
      <c r="F62" s="291"/>
      <c r="G62" s="291"/>
      <c r="H62" s="291"/>
      <c r="I62" s="291">
        <f t="shared" si="41"/>
        <v>0.82165441605413614</v>
      </c>
      <c r="J62" s="291">
        <f t="shared" si="41"/>
        <v>0.69883517484361135</v>
      </c>
      <c r="K62" s="291">
        <f t="shared" si="41"/>
        <v>0.71988217209819849</v>
      </c>
      <c r="L62" s="291">
        <f t="shared" si="41"/>
        <v>0.69639177541931629</v>
      </c>
      <c r="M62" s="291">
        <f t="shared" si="41"/>
        <v>0.46949320806799194</v>
      </c>
      <c r="N62" s="291">
        <f t="shared" si="41"/>
        <v>0.56676662710528458</v>
      </c>
      <c r="O62" s="292">
        <f t="shared" si="41"/>
        <v>0.50013880748943518</v>
      </c>
      <c r="P62" s="291"/>
      <c r="Q62" s="291"/>
      <c r="R62" s="291"/>
      <c r="S62" s="291"/>
      <c r="T62" s="291"/>
      <c r="U62" s="291"/>
      <c r="V62" s="291"/>
      <c r="W62" s="291"/>
      <c r="X62" s="291"/>
      <c r="Y62" s="291"/>
      <c r="Z62" s="295"/>
      <c r="AA62" s="295"/>
      <c r="AB62" s="295"/>
      <c r="AC62" s="295"/>
      <c r="AD62" s="295"/>
      <c r="AE62" s="295"/>
      <c r="AF62" s="295"/>
      <c r="AG62" s="295"/>
      <c r="AH62" s="295"/>
      <c r="AI62" s="295"/>
      <c r="AJ62" s="295">
        <f t="shared" si="42"/>
        <v>0.78232968430254513</v>
      </c>
      <c r="AK62" s="295">
        <f t="shared" si="42"/>
        <v>0.76106670765447282</v>
      </c>
      <c r="AL62" s="295">
        <f t="shared" si="42"/>
        <v>0.70726132619868876</v>
      </c>
      <c r="AM62" s="296">
        <f t="shared" si="42"/>
        <v>0.51975311820507475</v>
      </c>
      <c r="AN62" s="295"/>
      <c r="AO62" s="295"/>
      <c r="AP62" s="295"/>
      <c r="AQ62" s="295"/>
      <c r="AR62" s="295"/>
      <c r="AS62" s="206"/>
    </row>
    <row r="63" spans="1:45" s="207" customFormat="1" x14ac:dyDescent="0.35">
      <c r="A63" s="234" t="s">
        <v>680</v>
      </c>
      <c r="B63" s="290"/>
      <c r="C63" s="291"/>
      <c r="D63" s="291"/>
      <c r="E63" s="291"/>
      <c r="F63" s="291"/>
      <c r="G63" s="291"/>
      <c r="H63" s="291"/>
      <c r="I63" s="291">
        <f t="shared" si="41"/>
        <v>0.50844491157519534</v>
      </c>
      <c r="J63" s="291">
        <f t="shared" si="41"/>
        <v>0.42392750368346521</v>
      </c>
      <c r="K63" s="291">
        <f t="shared" si="41"/>
        <v>0.43533155906273846</v>
      </c>
      <c r="L63" s="291">
        <f t="shared" si="41"/>
        <v>0.33689676237018934</v>
      </c>
      <c r="M63" s="291">
        <f t="shared" si="41"/>
        <v>0.21991093364102496</v>
      </c>
      <c r="N63" s="291">
        <f t="shared" si="41"/>
        <v>0.41860484415741772</v>
      </c>
      <c r="O63" s="292">
        <f t="shared" si="41"/>
        <v>0.18542114709829732</v>
      </c>
      <c r="P63" s="291"/>
      <c r="Q63" s="291"/>
      <c r="R63" s="291"/>
      <c r="S63" s="291"/>
      <c r="T63" s="291"/>
      <c r="U63" s="291"/>
      <c r="V63" s="291"/>
      <c r="W63" s="291"/>
      <c r="X63" s="291"/>
      <c r="Y63" s="291"/>
      <c r="Z63" s="295"/>
      <c r="AA63" s="295"/>
      <c r="AB63" s="295"/>
      <c r="AC63" s="295"/>
      <c r="AD63" s="295"/>
      <c r="AE63" s="295"/>
      <c r="AF63" s="295"/>
      <c r="AG63" s="295"/>
      <c r="AH63" s="295"/>
      <c r="AI63" s="295"/>
      <c r="AJ63" s="295">
        <f t="shared" si="42"/>
        <v>0.50799352122827368</v>
      </c>
      <c r="AK63" s="295">
        <f t="shared" si="42"/>
        <v>0.45290409104582374</v>
      </c>
      <c r="AL63" s="295">
        <f t="shared" si="42"/>
        <v>0.37155468533961356</v>
      </c>
      <c r="AM63" s="296">
        <f t="shared" si="42"/>
        <v>0.35131438707489193</v>
      </c>
      <c r="AN63" s="295"/>
      <c r="AO63" s="295"/>
      <c r="AP63" s="295"/>
      <c r="AQ63" s="295"/>
      <c r="AR63" s="295"/>
      <c r="AS63" s="206"/>
    </row>
    <row r="64" spans="1:45" s="227" customFormat="1" x14ac:dyDescent="0.35">
      <c r="A64" s="239" t="s">
        <v>681</v>
      </c>
      <c r="B64" s="298"/>
      <c r="C64" s="299"/>
      <c r="D64" s="299"/>
      <c r="E64" s="299"/>
      <c r="F64" s="299"/>
      <c r="G64" s="299"/>
      <c r="H64" s="299"/>
      <c r="I64" s="299">
        <f t="shared" si="41"/>
        <v>0.7202585602743905</v>
      </c>
      <c r="J64" s="299">
        <f t="shared" si="41"/>
        <v>0.60206604686712351</v>
      </c>
      <c r="K64" s="299">
        <f t="shared" si="41"/>
        <v>0.66258314041083299</v>
      </c>
      <c r="L64" s="299">
        <f t="shared" si="41"/>
        <v>0.54296175432549287</v>
      </c>
      <c r="M64" s="299">
        <f t="shared" si="41"/>
        <v>0.49883410843611681</v>
      </c>
      <c r="N64" s="299">
        <f t="shared" si="41"/>
        <v>0.37068446689732248</v>
      </c>
      <c r="O64" s="300">
        <f t="shared" si="41"/>
        <v>0.42182694397428883</v>
      </c>
      <c r="P64" s="299"/>
      <c r="Q64" s="299"/>
      <c r="R64" s="299"/>
      <c r="S64" s="299"/>
      <c r="T64" s="299"/>
      <c r="U64" s="299"/>
      <c r="V64" s="299"/>
      <c r="W64" s="299"/>
      <c r="X64" s="299"/>
      <c r="Y64" s="299"/>
      <c r="Z64" s="301"/>
      <c r="AA64" s="301"/>
      <c r="AB64" s="301"/>
      <c r="AC64" s="301"/>
      <c r="AD64" s="301"/>
      <c r="AE64" s="301"/>
      <c r="AF64" s="301"/>
      <c r="AG64" s="301"/>
      <c r="AH64" s="301"/>
      <c r="AI64" s="301"/>
      <c r="AJ64" s="301">
        <f t="shared" si="42"/>
        <v>0.70141733330316036</v>
      </c>
      <c r="AK64" s="301">
        <f t="shared" si="42"/>
        <v>0.65431471803697139</v>
      </c>
      <c r="AL64" s="301">
        <f t="shared" si="42"/>
        <v>0.59669992364994529</v>
      </c>
      <c r="AM64" s="302">
        <f t="shared" si="42"/>
        <v>0.42988239056891275</v>
      </c>
      <c r="AN64" s="301"/>
      <c r="AO64" s="301"/>
      <c r="AP64" s="301"/>
      <c r="AQ64" s="301"/>
      <c r="AR64" s="301"/>
      <c r="AS64" s="226"/>
    </row>
    <row r="65" spans="1:45" s="283" customFormat="1" x14ac:dyDescent="0.35">
      <c r="A65" s="284"/>
      <c r="B65" s="285"/>
      <c r="C65" s="286"/>
      <c r="D65" s="286"/>
      <c r="E65" s="286"/>
      <c r="F65" s="286"/>
      <c r="G65" s="286"/>
      <c r="H65" s="286"/>
      <c r="I65" s="286"/>
      <c r="J65" s="286"/>
      <c r="K65" s="286"/>
      <c r="L65" s="286"/>
      <c r="M65" s="286"/>
      <c r="N65" s="286"/>
      <c r="O65" s="287"/>
      <c r="P65" s="286"/>
      <c r="Q65" s="286"/>
      <c r="R65" s="286"/>
      <c r="S65" s="286"/>
      <c r="T65" s="286"/>
      <c r="U65" s="286"/>
      <c r="V65" s="286"/>
      <c r="W65" s="286"/>
      <c r="X65" s="286"/>
      <c r="Y65" s="286"/>
      <c r="Z65" s="288"/>
      <c r="AA65" s="288"/>
      <c r="AB65" s="288"/>
      <c r="AC65" s="288"/>
      <c r="AD65" s="288"/>
      <c r="AE65" s="288"/>
      <c r="AF65" s="288"/>
      <c r="AG65" s="288"/>
      <c r="AH65" s="288"/>
      <c r="AI65" s="288"/>
      <c r="AJ65" s="288"/>
      <c r="AK65" s="288"/>
      <c r="AL65" s="288"/>
      <c r="AM65" s="289"/>
      <c r="AN65" s="288"/>
      <c r="AO65" s="288"/>
      <c r="AP65" s="288"/>
      <c r="AQ65" s="288"/>
      <c r="AR65" s="288"/>
      <c r="AS65" s="282"/>
    </row>
    <row r="66" spans="1:45" s="167" customFormat="1" x14ac:dyDescent="0.35">
      <c r="A66" s="303" t="s">
        <v>682</v>
      </c>
      <c r="B66" s="247"/>
      <c r="C66" s="164"/>
      <c r="D66" s="164"/>
      <c r="E66" s="164"/>
      <c r="F66" s="164"/>
      <c r="G66" s="164"/>
      <c r="H66" s="164"/>
      <c r="I66" s="248">
        <v>337.47199999999998</v>
      </c>
      <c r="J66" s="166">
        <f>AK66-SUM(I66)</f>
        <v>332.13499999999999</v>
      </c>
      <c r="K66" s="248">
        <v>446.68</v>
      </c>
      <c r="L66" s="166">
        <f>AL66-SUM(K66)</f>
        <v>392.71800000000002</v>
      </c>
      <c r="M66" s="248">
        <v>643.31200000000001</v>
      </c>
      <c r="N66" s="164">
        <f>AM66-M66</f>
        <v>525.9430000000001</v>
      </c>
      <c r="O66" s="249">
        <v>584.31799999999998</v>
      </c>
      <c r="P66" s="164"/>
      <c r="Q66" s="164"/>
      <c r="R66" s="164"/>
      <c r="S66" s="164"/>
      <c r="T66" s="164"/>
      <c r="U66" s="164"/>
      <c r="V66" s="164"/>
      <c r="W66" s="164"/>
      <c r="X66" s="164"/>
      <c r="Y66" s="164"/>
      <c r="Z66" s="250"/>
      <c r="AA66" s="250"/>
      <c r="AB66" s="250"/>
      <c r="AC66" s="250"/>
      <c r="AD66" s="250"/>
      <c r="AE66" s="250"/>
      <c r="AF66" s="250"/>
      <c r="AG66" s="250"/>
      <c r="AH66" s="250"/>
      <c r="AI66" s="250"/>
      <c r="AJ66" s="251">
        <v>607.03200000000004</v>
      </c>
      <c r="AK66" s="251">
        <v>669.60699999999997</v>
      </c>
      <c r="AL66" s="251">
        <v>839.39800000000002</v>
      </c>
      <c r="AM66" s="252">
        <v>1169.2550000000001</v>
      </c>
      <c r="AN66" s="250"/>
      <c r="AO66" s="250"/>
      <c r="AP66" s="250"/>
      <c r="AQ66" s="250"/>
      <c r="AR66" s="250"/>
      <c r="AS66" s="166"/>
    </row>
    <row r="67" spans="1:45" s="167" customFormat="1" x14ac:dyDescent="0.35">
      <c r="A67" s="303" t="s">
        <v>683</v>
      </c>
      <c r="B67" s="247"/>
      <c r="C67" s="164"/>
      <c r="D67" s="164"/>
      <c r="E67" s="164"/>
      <c r="F67" s="164"/>
      <c r="G67" s="164"/>
      <c r="H67" s="164"/>
      <c r="I67" s="248">
        <v>171.42</v>
      </c>
      <c r="J67" s="166">
        <f>AK67-SUM(I67)</f>
        <v>166.89200000000002</v>
      </c>
      <c r="K67" s="248">
        <v>155.48099999999999</v>
      </c>
      <c r="L67" s="166">
        <f>AL67-SUM(K67)</f>
        <v>180.53199999999998</v>
      </c>
      <c r="M67" s="248">
        <v>206.495</v>
      </c>
      <c r="N67" s="164">
        <f>AM67-M67</f>
        <v>220.75400000000002</v>
      </c>
      <c r="O67" s="249">
        <v>259.35199999999998</v>
      </c>
      <c r="P67" s="164"/>
      <c r="Q67" s="164"/>
      <c r="R67" s="164"/>
      <c r="S67" s="164"/>
      <c r="T67" s="164"/>
      <c r="U67" s="164"/>
      <c r="V67" s="164"/>
      <c r="W67" s="164"/>
      <c r="X67" s="164"/>
      <c r="Y67" s="164"/>
      <c r="Z67" s="250"/>
      <c r="AA67" s="250"/>
      <c r="AB67" s="250"/>
      <c r="AC67" s="250"/>
      <c r="AD67" s="250"/>
      <c r="AE67" s="250"/>
      <c r="AF67" s="250"/>
      <c r="AG67" s="250"/>
      <c r="AH67" s="250"/>
      <c r="AI67" s="250"/>
      <c r="AJ67" s="251">
        <v>301.99799999999999</v>
      </c>
      <c r="AK67" s="251">
        <v>338.31200000000001</v>
      </c>
      <c r="AL67" s="251">
        <v>336.01299999999998</v>
      </c>
      <c r="AM67" s="252">
        <v>427.24900000000002</v>
      </c>
      <c r="AN67" s="250"/>
      <c r="AO67" s="250"/>
      <c r="AP67" s="250"/>
      <c r="AQ67" s="250"/>
      <c r="AR67" s="250"/>
      <c r="AS67" s="166"/>
    </row>
    <row r="68" spans="1:45" s="167" customFormat="1" x14ac:dyDescent="0.35">
      <c r="A68" s="303" t="s">
        <v>684</v>
      </c>
      <c r="B68" s="247"/>
      <c r="C68" s="164"/>
      <c r="D68" s="164"/>
      <c r="E68" s="164"/>
      <c r="F68" s="164"/>
      <c r="G68" s="164"/>
      <c r="H68" s="164"/>
      <c r="I68" s="248">
        <v>218.83</v>
      </c>
      <c r="J68" s="166">
        <f>AK68-SUM(I68)</f>
        <v>419.44200000000001</v>
      </c>
      <c r="K68" s="248">
        <v>268.65499999999997</v>
      </c>
      <c r="L68" s="166">
        <f>AL68-SUM(K68)</f>
        <v>494.37400000000002</v>
      </c>
      <c r="M68" s="248">
        <v>308.53399999999999</v>
      </c>
      <c r="N68" s="164">
        <f>AM68-M68</f>
        <v>602.49900000000002</v>
      </c>
      <c r="O68" s="249">
        <v>371.05799999999999</v>
      </c>
      <c r="P68" s="164"/>
      <c r="Q68" s="164"/>
      <c r="R68" s="164"/>
      <c r="S68" s="164"/>
      <c r="T68" s="164"/>
      <c r="U68" s="164"/>
      <c r="V68" s="164"/>
      <c r="W68" s="164"/>
      <c r="X68" s="164"/>
      <c r="Y68" s="164"/>
      <c r="Z68" s="250"/>
      <c r="AA68" s="250"/>
      <c r="AB68" s="250"/>
      <c r="AC68" s="250"/>
      <c r="AD68" s="250"/>
      <c r="AE68" s="250"/>
      <c r="AF68" s="250"/>
      <c r="AG68" s="250"/>
      <c r="AH68" s="250"/>
      <c r="AI68" s="250"/>
      <c r="AJ68" s="251">
        <v>505.03399999999999</v>
      </c>
      <c r="AK68" s="251">
        <v>638.27200000000005</v>
      </c>
      <c r="AL68" s="251">
        <v>763.029</v>
      </c>
      <c r="AM68" s="252">
        <v>911.03300000000002</v>
      </c>
      <c r="AN68" s="250"/>
      <c r="AO68" s="250"/>
      <c r="AP68" s="250"/>
      <c r="AQ68" s="250"/>
      <c r="AR68" s="250"/>
      <c r="AS68" s="166"/>
    </row>
    <row r="69" spans="1:45" s="262" customFormat="1" x14ac:dyDescent="0.35">
      <c r="A69" s="253" t="s">
        <v>685</v>
      </c>
      <c r="B69" s="254"/>
      <c r="C69" s="255"/>
      <c r="D69" s="255"/>
      <c r="E69" s="255"/>
      <c r="F69" s="255"/>
      <c r="G69" s="255"/>
      <c r="H69" s="255"/>
      <c r="I69" s="256">
        <f t="shared" ref="I69:O69" si="43">SUM(I66:I68)</f>
        <v>727.72199999999998</v>
      </c>
      <c r="J69" s="256">
        <f t="shared" si="43"/>
        <v>918.46900000000005</v>
      </c>
      <c r="K69" s="256">
        <f t="shared" si="43"/>
        <v>870.81600000000003</v>
      </c>
      <c r="L69" s="256">
        <f t="shared" si="43"/>
        <v>1067.624</v>
      </c>
      <c r="M69" s="256">
        <f t="shared" si="43"/>
        <v>1158.3409999999999</v>
      </c>
      <c r="N69" s="255">
        <f t="shared" si="43"/>
        <v>1349.1960000000001</v>
      </c>
      <c r="O69" s="257">
        <f t="shared" si="43"/>
        <v>1214.7280000000001</v>
      </c>
      <c r="P69" s="255"/>
      <c r="Q69" s="255"/>
      <c r="R69" s="255"/>
      <c r="S69" s="255"/>
      <c r="T69" s="255"/>
      <c r="U69" s="255"/>
      <c r="V69" s="255"/>
      <c r="W69" s="255"/>
      <c r="X69" s="255"/>
      <c r="Y69" s="255"/>
      <c r="Z69" s="258"/>
      <c r="AA69" s="258"/>
      <c r="AB69" s="258"/>
      <c r="AC69" s="258"/>
      <c r="AD69" s="258"/>
      <c r="AE69" s="258"/>
      <c r="AF69" s="258"/>
      <c r="AG69" s="258"/>
      <c r="AH69" s="258"/>
      <c r="AI69" s="258"/>
      <c r="AJ69" s="259">
        <f>SUM(AJ66:AJ68)</f>
        <v>1414.0639999999999</v>
      </c>
      <c r="AK69" s="259">
        <f>SUM(AK66:AK68)</f>
        <v>1646.191</v>
      </c>
      <c r="AL69" s="259">
        <f>SUM(AL66:AL68)</f>
        <v>1938.44</v>
      </c>
      <c r="AM69" s="260">
        <f>SUM(AM66:AM68)</f>
        <v>2507.5370000000003</v>
      </c>
      <c r="AN69" s="258"/>
      <c r="AO69" s="258"/>
      <c r="AP69" s="258"/>
      <c r="AQ69" s="258"/>
      <c r="AR69" s="258"/>
      <c r="AS69" s="261"/>
    </row>
    <row r="70" spans="1:45" s="167" customFormat="1" outlineLevel="1" x14ac:dyDescent="0.35">
      <c r="A70" s="263"/>
      <c r="B70" s="247"/>
      <c r="C70" s="164"/>
      <c r="D70" s="164"/>
      <c r="E70" s="164"/>
      <c r="F70" s="164"/>
      <c r="G70" s="164"/>
      <c r="H70" s="164"/>
      <c r="I70" s="164"/>
      <c r="J70" s="164"/>
      <c r="K70" s="164"/>
      <c r="L70" s="164"/>
      <c r="M70" s="164"/>
      <c r="N70" s="164"/>
      <c r="O70" s="165"/>
      <c r="P70" s="164"/>
      <c r="Q70" s="164"/>
      <c r="R70" s="164"/>
      <c r="S70" s="164"/>
      <c r="T70" s="164"/>
      <c r="U70" s="164"/>
      <c r="V70" s="164"/>
      <c r="W70" s="164"/>
      <c r="X70" s="164"/>
      <c r="Y70" s="164"/>
      <c r="Z70" s="250"/>
      <c r="AA70" s="250"/>
      <c r="AB70" s="250"/>
      <c r="AC70" s="250"/>
      <c r="AD70" s="250"/>
      <c r="AE70" s="250"/>
      <c r="AF70" s="250"/>
      <c r="AG70" s="250"/>
      <c r="AH70" s="250"/>
      <c r="AI70" s="250"/>
      <c r="AJ70" s="250"/>
      <c r="AK70" s="250"/>
      <c r="AL70" s="250"/>
      <c r="AM70" s="264"/>
      <c r="AN70" s="250"/>
      <c r="AO70" s="250"/>
      <c r="AP70" s="250"/>
      <c r="AQ70" s="250"/>
      <c r="AR70" s="250"/>
      <c r="AS70" s="166"/>
    </row>
    <row r="71" spans="1:45" s="273" customFormat="1" outlineLevel="1" x14ac:dyDescent="0.35">
      <c r="A71" s="265" t="s">
        <v>686</v>
      </c>
      <c r="B71" s="266"/>
      <c r="C71" s="267"/>
      <c r="D71" s="267"/>
      <c r="E71" s="267"/>
      <c r="F71" s="267"/>
      <c r="G71" s="267"/>
      <c r="H71" s="267"/>
      <c r="I71" s="268">
        <f t="shared" ref="I71:O73" si="44">I66/I$69</f>
        <v>0.463737526143225</v>
      </c>
      <c r="J71" s="268">
        <f t="shared" si="44"/>
        <v>0.3616180840071902</v>
      </c>
      <c r="K71" s="268">
        <f t="shared" si="44"/>
        <v>0.51294418108992024</v>
      </c>
      <c r="L71" s="268">
        <f t="shared" si="44"/>
        <v>0.3678429859201367</v>
      </c>
      <c r="M71" s="268">
        <f t="shared" si="44"/>
        <v>0.55537359033307121</v>
      </c>
      <c r="N71" s="267">
        <f t="shared" si="44"/>
        <v>0.38981956661596984</v>
      </c>
      <c r="O71" s="269">
        <f t="shared" si="44"/>
        <v>0.48102785150255856</v>
      </c>
      <c r="P71" s="267"/>
      <c r="Q71" s="267"/>
      <c r="R71" s="267"/>
      <c r="S71" s="267"/>
      <c r="T71" s="267"/>
      <c r="U71" s="267"/>
      <c r="V71" s="267"/>
      <c r="W71" s="267"/>
      <c r="X71" s="267"/>
      <c r="Y71" s="267"/>
      <c r="Z71" s="270"/>
      <c r="AA71" s="270"/>
      <c r="AB71" s="270"/>
      <c r="AC71" s="270"/>
      <c r="AD71" s="270"/>
      <c r="AE71" s="270"/>
      <c r="AF71" s="270"/>
      <c r="AG71" s="270"/>
      <c r="AH71" s="270"/>
      <c r="AI71" s="270"/>
      <c r="AJ71" s="271">
        <f t="shared" ref="AJ71:AM73" si="45">AJ66/AJ$69</f>
        <v>0.42928184297174676</v>
      </c>
      <c r="AK71" s="271">
        <f t="shared" si="45"/>
        <v>0.40676142683321675</v>
      </c>
      <c r="AL71" s="271">
        <f t="shared" si="45"/>
        <v>0.43302758919543549</v>
      </c>
      <c r="AM71" s="272">
        <f t="shared" si="45"/>
        <v>0.46629621018553263</v>
      </c>
      <c r="AN71" s="270"/>
      <c r="AO71" s="270"/>
      <c r="AP71" s="270"/>
      <c r="AQ71" s="270"/>
      <c r="AR71" s="270"/>
      <c r="AS71" s="268"/>
    </row>
    <row r="72" spans="1:45" s="273" customFormat="1" outlineLevel="1" x14ac:dyDescent="0.35">
      <c r="A72" s="265" t="s">
        <v>687</v>
      </c>
      <c r="B72" s="266"/>
      <c r="C72" s="267"/>
      <c r="D72" s="267"/>
      <c r="E72" s="267"/>
      <c r="F72" s="267"/>
      <c r="G72" s="267"/>
      <c r="H72" s="267"/>
      <c r="I72" s="268">
        <f t="shared" si="44"/>
        <v>0.23555698467271841</v>
      </c>
      <c r="J72" s="268">
        <f t="shared" si="44"/>
        <v>0.18170673152822797</v>
      </c>
      <c r="K72" s="268">
        <f t="shared" si="44"/>
        <v>0.17854632896042333</v>
      </c>
      <c r="L72" s="268">
        <f t="shared" si="44"/>
        <v>0.16909698545555363</v>
      </c>
      <c r="M72" s="268">
        <f t="shared" si="44"/>
        <v>0.17826788484565428</v>
      </c>
      <c r="N72" s="267">
        <f t="shared" si="44"/>
        <v>0.16361892564164138</v>
      </c>
      <c r="O72" s="269">
        <f t="shared" si="44"/>
        <v>0.21350623349424724</v>
      </c>
      <c r="P72" s="267"/>
      <c r="Q72" s="267"/>
      <c r="R72" s="267"/>
      <c r="S72" s="267"/>
      <c r="T72" s="267"/>
      <c r="U72" s="267"/>
      <c r="V72" s="267"/>
      <c r="W72" s="267"/>
      <c r="X72" s="267"/>
      <c r="Y72" s="267"/>
      <c r="Z72" s="270"/>
      <c r="AA72" s="270"/>
      <c r="AB72" s="270"/>
      <c r="AC72" s="270"/>
      <c r="AD72" s="270"/>
      <c r="AE72" s="270"/>
      <c r="AF72" s="270"/>
      <c r="AG72" s="270"/>
      <c r="AH72" s="270"/>
      <c r="AI72" s="270"/>
      <c r="AJ72" s="271">
        <f t="shared" si="45"/>
        <v>0.21356741986218447</v>
      </c>
      <c r="AK72" s="271">
        <f t="shared" si="45"/>
        <v>0.20551199708903767</v>
      </c>
      <c r="AL72" s="271">
        <f t="shared" si="45"/>
        <v>0.17334196570438082</v>
      </c>
      <c r="AM72" s="272">
        <f t="shared" si="45"/>
        <v>0.1703859205267958</v>
      </c>
      <c r="AN72" s="270"/>
      <c r="AO72" s="270"/>
      <c r="AP72" s="270"/>
      <c r="AQ72" s="270"/>
      <c r="AR72" s="270"/>
      <c r="AS72" s="268"/>
    </row>
    <row r="73" spans="1:45" s="273" customFormat="1" outlineLevel="1" x14ac:dyDescent="0.35">
      <c r="A73" s="265" t="s">
        <v>688</v>
      </c>
      <c r="B73" s="266"/>
      <c r="C73" s="267"/>
      <c r="D73" s="267"/>
      <c r="E73" s="267"/>
      <c r="F73" s="267"/>
      <c r="G73" s="267"/>
      <c r="H73" s="267"/>
      <c r="I73" s="268">
        <f t="shared" si="44"/>
        <v>0.3007054891840566</v>
      </c>
      <c r="J73" s="268">
        <f t="shared" si="44"/>
        <v>0.45667518446458183</v>
      </c>
      <c r="K73" s="268">
        <f t="shared" si="44"/>
        <v>0.30850948994965638</v>
      </c>
      <c r="L73" s="268">
        <f t="shared" si="44"/>
        <v>0.46306002862430967</v>
      </c>
      <c r="M73" s="268">
        <f t="shared" si="44"/>
        <v>0.26635852482127459</v>
      </c>
      <c r="N73" s="267">
        <f t="shared" si="44"/>
        <v>0.44656150774238879</v>
      </c>
      <c r="O73" s="269">
        <f t="shared" si="44"/>
        <v>0.30546591500319409</v>
      </c>
      <c r="P73" s="267"/>
      <c r="Q73" s="267"/>
      <c r="R73" s="267"/>
      <c r="S73" s="267"/>
      <c r="T73" s="267"/>
      <c r="U73" s="267"/>
      <c r="V73" s="267"/>
      <c r="W73" s="267"/>
      <c r="X73" s="267"/>
      <c r="Y73" s="267"/>
      <c r="Z73" s="270"/>
      <c r="AA73" s="270"/>
      <c r="AB73" s="270"/>
      <c r="AC73" s="270"/>
      <c r="AD73" s="270"/>
      <c r="AE73" s="270"/>
      <c r="AF73" s="270"/>
      <c r="AG73" s="270"/>
      <c r="AH73" s="270"/>
      <c r="AI73" s="270"/>
      <c r="AJ73" s="271">
        <f t="shared" si="45"/>
        <v>0.35715073716606888</v>
      </c>
      <c r="AK73" s="271">
        <f t="shared" si="45"/>
        <v>0.38772657607774558</v>
      </c>
      <c r="AL73" s="271">
        <f t="shared" si="45"/>
        <v>0.39363044510018363</v>
      </c>
      <c r="AM73" s="272">
        <f t="shared" si="45"/>
        <v>0.36331786928767151</v>
      </c>
      <c r="AN73" s="270"/>
      <c r="AO73" s="270"/>
      <c r="AP73" s="270"/>
      <c r="AQ73" s="270"/>
      <c r="AR73" s="270"/>
      <c r="AS73" s="268"/>
    </row>
    <row r="74" spans="1:45" s="283" customFormat="1" outlineLevel="1" x14ac:dyDescent="0.35">
      <c r="A74" s="274" t="s">
        <v>689</v>
      </c>
      <c r="B74" s="275"/>
      <c r="C74" s="276"/>
      <c r="D74" s="276"/>
      <c r="E74" s="276"/>
      <c r="F74" s="276"/>
      <c r="G74" s="276"/>
      <c r="H74" s="276"/>
      <c r="I74" s="277">
        <f t="shared" ref="I74:O74" si="46">SUM(I71:I73)</f>
        <v>1</v>
      </c>
      <c r="J74" s="277">
        <f t="shared" si="46"/>
        <v>1</v>
      </c>
      <c r="K74" s="277">
        <f t="shared" si="46"/>
        <v>1</v>
      </c>
      <c r="L74" s="277">
        <f t="shared" si="46"/>
        <v>1</v>
      </c>
      <c r="M74" s="277">
        <f t="shared" si="46"/>
        <v>1</v>
      </c>
      <c r="N74" s="276">
        <f t="shared" si="46"/>
        <v>1</v>
      </c>
      <c r="O74" s="278">
        <f t="shared" si="46"/>
        <v>0.99999999999999989</v>
      </c>
      <c r="P74" s="276"/>
      <c r="Q74" s="276"/>
      <c r="R74" s="276"/>
      <c r="S74" s="276"/>
      <c r="T74" s="276"/>
      <c r="U74" s="276"/>
      <c r="V74" s="276"/>
      <c r="W74" s="276"/>
      <c r="X74" s="276"/>
      <c r="Y74" s="276"/>
      <c r="Z74" s="279"/>
      <c r="AA74" s="279"/>
      <c r="AB74" s="279"/>
      <c r="AC74" s="279"/>
      <c r="AD74" s="279"/>
      <c r="AE74" s="279"/>
      <c r="AF74" s="279"/>
      <c r="AG74" s="279"/>
      <c r="AH74" s="279"/>
      <c r="AI74" s="279"/>
      <c r="AJ74" s="280">
        <f>SUM(AJ71:AJ73)</f>
        <v>1.0000000000000002</v>
      </c>
      <c r="AK74" s="280">
        <f>SUM(AK71:AK73)</f>
        <v>1</v>
      </c>
      <c r="AL74" s="280">
        <f>SUM(AL71:AL73)</f>
        <v>0.99999999999999989</v>
      </c>
      <c r="AM74" s="281">
        <f>SUM(AM71:AM73)</f>
        <v>1</v>
      </c>
      <c r="AN74" s="279"/>
      <c r="AO74" s="279"/>
      <c r="AP74" s="279"/>
      <c r="AQ74" s="279"/>
      <c r="AR74" s="279"/>
      <c r="AS74" s="282"/>
    </row>
    <row r="75" spans="1:45" s="167" customFormat="1" x14ac:dyDescent="0.35">
      <c r="A75" s="246"/>
      <c r="B75" s="247"/>
      <c r="C75" s="164"/>
      <c r="D75" s="164"/>
      <c r="E75" s="164"/>
      <c r="F75" s="164"/>
      <c r="G75" s="164"/>
      <c r="H75" s="164"/>
      <c r="I75" s="164"/>
      <c r="J75" s="164"/>
      <c r="K75" s="164"/>
      <c r="L75" s="164"/>
      <c r="M75" s="164"/>
      <c r="N75" s="164"/>
      <c r="O75" s="165"/>
      <c r="P75" s="164"/>
      <c r="Q75" s="164"/>
      <c r="R75" s="164"/>
      <c r="S75" s="164"/>
      <c r="T75" s="164"/>
      <c r="U75" s="164"/>
      <c r="V75" s="164"/>
      <c r="W75" s="164"/>
      <c r="X75" s="164"/>
      <c r="Y75" s="164"/>
      <c r="Z75" s="250"/>
      <c r="AA75" s="250"/>
      <c r="AB75" s="250"/>
      <c r="AC75" s="250"/>
      <c r="AD75" s="250"/>
      <c r="AE75" s="250"/>
      <c r="AF75" s="250"/>
      <c r="AG75" s="250"/>
      <c r="AH75" s="250"/>
      <c r="AI75" s="250"/>
      <c r="AJ75" s="250"/>
      <c r="AK75" s="250"/>
      <c r="AL75" s="250"/>
      <c r="AM75" s="264"/>
      <c r="AN75" s="250"/>
      <c r="AO75" s="250"/>
      <c r="AP75" s="250"/>
      <c r="AQ75" s="250"/>
      <c r="AR75" s="250"/>
      <c r="AS75" s="166"/>
    </row>
    <row r="76" spans="1:45" s="167" customFormat="1" x14ac:dyDescent="0.35">
      <c r="A76" s="242" t="s">
        <v>690</v>
      </c>
      <c r="B76" s="243"/>
      <c r="C76" s="243"/>
      <c r="D76" s="243"/>
      <c r="E76" s="243"/>
      <c r="F76" s="243"/>
      <c r="G76" s="243"/>
      <c r="H76" s="243"/>
      <c r="I76" s="243"/>
      <c r="J76" s="243"/>
      <c r="K76" s="243"/>
      <c r="L76" s="243"/>
      <c r="M76" s="243"/>
      <c r="N76" s="243"/>
      <c r="O76" s="245"/>
      <c r="P76" s="243"/>
      <c r="Q76" s="243"/>
      <c r="R76" s="243"/>
      <c r="S76" s="243"/>
      <c r="T76" s="243"/>
      <c r="U76" s="243"/>
      <c r="V76" s="243"/>
      <c r="W76" s="243"/>
      <c r="X76" s="243"/>
      <c r="Y76" s="243"/>
      <c r="Z76" s="243"/>
      <c r="AA76" s="243"/>
      <c r="AB76" s="243"/>
      <c r="AC76" s="243"/>
      <c r="AD76" s="243"/>
      <c r="AE76" s="243"/>
      <c r="AF76" s="243"/>
      <c r="AG76" s="243"/>
      <c r="AH76" s="243"/>
      <c r="AI76" s="243"/>
      <c r="AJ76" s="243"/>
      <c r="AK76" s="243"/>
      <c r="AL76" s="243"/>
      <c r="AM76" s="245"/>
      <c r="AN76" s="243"/>
      <c r="AO76" s="243"/>
      <c r="AP76" s="243"/>
      <c r="AQ76" s="243"/>
      <c r="AR76" s="243"/>
      <c r="AS76" s="166"/>
    </row>
    <row r="77" spans="1:45" s="167" customFormat="1" outlineLevel="1" x14ac:dyDescent="0.35">
      <c r="A77" s="313" t="s">
        <v>691</v>
      </c>
      <c r="B77" s="247"/>
      <c r="C77" s="164"/>
      <c r="D77" s="164"/>
      <c r="E77" s="164"/>
      <c r="F77" s="164"/>
      <c r="G77" s="164"/>
      <c r="H77" s="164"/>
      <c r="I77" s="164"/>
      <c r="J77" s="164"/>
      <c r="K77" s="164"/>
      <c r="L77" s="164"/>
      <c r="M77" s="164"/>
      <c r="N77" s="164"/>
      <c r="O77" s="165"/>
      <c r="P77" s="164"/>
      <c r="Q77" s="164"/>
      <c r="R77" s="164"/>
      <c r="S77" s="164"/>
      <c r="T77" s="164"/>
      <c r="U77" s="164"/>
      <c r="V77" s="164"/>
      <c r="W77" s="164"/>
      <c r="X77" s="164"/>
      <c r="Y77" s="164"/>
      <c r="Z77" s="250"/>
      <c r="AA77" s="250"/>
      <c r="AB77" s="250"/>
      <c r="AC77" s="250"/>
      <c r="AD77" s="251">
        <v>1.0680000000000001</v>
      </c>
      <c r="AE77" s="251">
        <v>1.5649999999999999</v>
      </c>
      <c r="AF77" s="251">
        <v>1.794</v>
      </c>
      <c r="AG77" s="251">
        <v>1.796</v>
      </c>
      <c r="AH77" s="251">
        <v>1.641</v>
      </c>
      <c r="AI77" s="251">
        <v>1.46</v>
      </c>
      <c r="AJ77" s="251">
        <v>1.2749999999999999</v>
      </c>
      <c r="AK77" s="251">
        <v>1.3819999999999999</v>
      </c>
      <c r="AL77" s="251">
        <v>2.3319999999999999</v>
      </c>
      <c r="AM77" s="252">
        <v>2.3730000000000002</v>
      </c>
      <c r="AN77" s="250"/>
      <c r="AO77" s="250"/>
      <c r="AP77" s="250"/>
      <c r="AQ77" s="250"/>
      <c r="AR77" s="250"/>
      <c r="AS77" s="166"/>
    </row>
    <row r="78" spans="1:45" s="167" customFormat="1" outlineLevel="1" x14ac:dyDescent="0.35">
      <c r="A78" s="313" t="s">
        <v>692</v>
      </c>
      <c r="B78" s="247"/>
      <c r="C78" s="164"/>
      <c r="D78" s="164"/>
      <c r="E78" s="164"/>
      <c r="F78" s="164"/>
      <c r="G78" s="164"/>
      <c r="H78" s="164"/>
      <c r="I78" s="164"/>
      <c r="J78" s="164"/>
      <c r="K78" s="164"/>
      <c r="L78" s="164"/>
      <c r="M78" s="164"/>
      <c r="N78" s="164"/>
      <c r="O78" s="165"/>
      <c r="P78" s="164"/>
      <c r="Q78" s="164"/>
      <c r="R78" s="164"/>
      <c r="S78" s="164"/>
      <c r="T78" s="164"/>
      <c r="U78" s="164"/>
      <c r="V78" s="164"/>
      <c r="W78" s="164"/>
      <c r="X78" s="164"/>
      <c r="Y78" s="164"/>
      <c r="Z78" s="250"/>
      <c r="AA78" s="250"/>
      <c r="AB78" s="250"/>
      <c r="AC78" s="250"/>
      <c r="AD78" s="250"/>
      <c r="AE78" s="250"/>
      <c r="AF78" s="250"/>
      <c r="AG78" s="250"/>
      <c r="AH78" s="250"/>
      <c r="AI78" s="250"/>
      <c r="AJ78" s="251">
        <v>0</v>
      </c>
      <c r="AK78" s="251">
        <v>1.9690000000000001</v>
      </c>
      <c r="AL78" s="251">
        <v>2.2629999999999999</v>
      </c>
      <c r="AM78" s="252">
        <v>1.5940000000000001</v>
      </c>
      <c r="AN78" s="250"/>
      <c r="AO78" s="250"/>
      <c r="AP78" s="250"/>
      <c r="AQ78" s="250"/>
      <c r="AR78" s="250"/>
      <c r="AS78" s="166"/>
    </row>
    <row r="79" spans="1:45" s="167" customFormat="1" outlineLevel="1" x14ac:dyDescent="0.35">
      <c r="A79" s="313" t="s">
        <v>693</v>
      </c>
      <c r="B79" s="247"/>
      <c r="C79" s="164"/>
      <c r="D79" s="164"/>
      <c r="E79" s="164"/>
      <c r="F79" s="164"/>
      <c r="G79" s="164"/>
      <c r="H79" s="164"/>
      <c r="I79" s="164"/>
      <c r="J79" s="164"/>
      <c r="K79" s="164"/>
      <c r="L79" s="164"/>
      <c r="M79" s="164"/>
      <c r="N79" s="164"/>
      <c r="O79" s="165"/>
      <c r="P79" s="164"/>
      <c r="Q79" s="164"/>
      <c r="R79" s="164"/>
      <c r="S79" s="164"/>
      <c r="T79" s="164"/>
      <c r="U79" s="164"/>
      <c r="V79" s="164"/>
      <c r="W79" s="164"/>
      <c r="X79" s="164"/>
      <c r="Y79" s="164"/>
      <c r="Z79" s="250"/>
      <c r="AA79" s="250"/>
      <c r="AB79" s="250"/>
      <c r="AC79" s="250"/>
      <c r="AD79" s="251">
        <v>9.8000000000000004E-2</v>
      </c>
      <c r="AE79" s="251">
        <v>0.21299999999999999</v>
      </c>
      <c r="AF79" s="251">
        <v>0.35299999999999998</v>
      </c>
      <c r="AG79" s="251">
        <v>0.32700000000000001</v>
      </c>
      <c r="AH79" s="251">
        <v>0.36699999999999999</v>
      </c>
      <c r="AI79" s="251">
        <v>0.29899999999999999</v>
      </c>
      <c r="AJ79" s="251">
        <v>0.245</v>
      </c>
      <c r="AK79" s="251">
        <v>0.23200000000000001</v>
      </c>
      <c r="AL79" s="251">
        <v>0.29699999999999999</v>
      </c>
      <c r="AM79" s="252">
        <v>0.55800000000000005</v>
      </c>
      <c r="AN79" s="250"/>
      <c r="AO79" s="250"/>
      <c r="AP79" s="250"/>
      <c r="AQ79" s="250"/>
      <c r="AR79" s="250"/>
      <c r="AS79" s="166"/>
    </row>
    <row r="80" spans="1:45" s="167" customFormat="1" outlineLevel="1" x14ac:dyDescent="0.35">
      <c r="A80" s="313" t="s">
        <v>694</v>
      </c>
      <c r="B80" s="247"/>
      <c r="C80" s="164"/>
      <c r="D80" s="164"/>
      <c r="E80" s="164"/>
      <c r="F80" s="164"/>
      <c r="G80" s="164"/>
      <c r="H80" s="164"/>
      <c r="I80" s="164"/>
      <c r="J80" s="164"/>
      <c r="K80" s="164"/>
      <c r="L80" s="164"/>
      <c r="M80" s="164"/>
      <c r="N80" s="164"/>
      <c r="O80" s="165"/>
      <c r="P80" s="164"/>
      <c r="Q80" s="164"/>
      <c r="R80" s="164"/>
      <c r="S80" s="164"/>
      <c r="T80" s="164"/>
      <c r="U80" s="164"/>
      <c r="V80" s="164"/>
      <c r="W80" s="164"/>
      <c r="X80" s="164"/>
      <c r="Y80" s="164"/>
      <c r="Z80" s="250"/>
      <c r="AA80" s="250"/>
      <c r="AB80" s="250"/>
      <c r="AC80" s="250"/>
      <c r="AD80" s="251">
        <v>0.17100000000000001</v>
      </c>
      <c r="AE80" s="251">
        <v>0.39800000000000002</v>
      </c>
      <c r="AF80" s="251">
        <v>0.501</v>
      </c>
      <c r="AG80" s="251">
        <v>0.52</v>
      </c>
      <c r="AH80" s="251">
        <v>0.61799999999999999</v>
      </c>
      <c r="AI80" s="251">
        <v>1.123</v>
      </c>
      <c r="AJ80" s="251">
        <v>1.79</v>
      </c>
      <c r="AK80" s="251">
        <v>0</v>
      </c>
      <c r="AL80" s="250"/>
      <c r="AM80" s="264"/>
      <c r="AN80" s="250"/>
      <c r="AO80" s="250"/>
      <c r="AP80" s="250"/>
      <c r="AQ80" s="250"/>
      <c r="AR80" s="250"/>
      <c r="AS80" s="166"/>
    </row>
    <row r="81" spans="1:45" s="167" customFormat="1" outlineLevel="1" x14ac:dyDescent="0.35">
      <c r="A81" s="313" t="s">
        <v>695</v>
      </c>
      <c r="B81" s="247"/>
      <c r="C81" s="164"/>
      <c r="D81" s="164"/>
      <c r="E81" s="164"/>
      <c r="F81" s="164"/>
      <c r="G81" s="164"/>
      <c r="H81" s="164"/>
      <c r="I81" s="164"/>
      <c r="J81" s="164"/>
      <c r="K81" s="164"/>
      <c r="L81" s="164"/>
      <c r="M81" s="164"/>
      <c r="N81" s="164"/>
      <c r="O81" s="165"/>
      <c r="P81" s="164"/>
      <c r="Q81" s="164"/>
      <c r="R81" s="164"/>
      <c r="S81" s="164"/>
      <c r="T81" s="164"/>
      <c r="U81" s="164"/>
      <c r="V81" s="164"/>
      <c r="W81" s="164"/>
      <c r="X81" s="164"/>
      <c r="Y81" s="164"/>
      <c r="Z81" s="250"/>
      <c r="AA81" s="250"/>
      <c r="AB81" s="250"/>
      <c r="AC81" s="250"/>
      <c r="AD81" s="250"/>
      <c r="AE81" s="250"/>
      <c r="AF81" s="250"/>
      <c r="AG81" s="250"/>
      <c r="AH81" s="250"/>
      <c r="AI81" s="250"/>
      <c r="AJ81" s="251">
        <v>0</v>
      </c>
      <c r="AK81" s="251">
        <v>7.2999999999999995E-2</v>
      </c>
      <c r="AL81" s="251">
        <v>0.10199999999999999</v>
      </c>
      <c r="AM81" s="252">
        <v>3.2000000000000001E-2</v>
      </c>
      <c r="AN81" s="250"/>
      <c r="AO81" s="250"/>
      <c r="AP81" s="250"/>
      <c r="AQ81" s="250"/>
      <c r="AR81" s="250"/>
      <c r="AS81" s="166"/>
    </row>
    <row r="82" spans="1:45" s="167" customFormat="1" outlineLevel="1" x14ac:dyDescent="0.35">
      <c r="A82" s="313" t="s">
        <v>696</v>
      </c>
      <c r="B82" s="247"/>
      <c r="C82" s="164"/>
      <c r="D82" s="164"/>
      <c r="E82" s="164"/>
      <c r="F82" s="164"/>
      <c r="G82" s="164"/>
      <c r="H82" s="164"/>
      <c r="I82" s="164"/>
      <c r="J82" s="164"/>
      <c r="K82" s="164"/>
      <c r="L82" s="164"/>
      <c r="M82" s="164"/>
      <c r="N82" s="164"/>
      <c r="O82" s="165"/>
      <c r="P82" s="164"/>
      <c r="Q82" s="164"/>
      <c r="R82" s="164"/>
      <c r="S82" s="164"/>
      <c r="T82" s="164"/>
      <c r="U82" s="164"/>
      <c r="V82" s="164"/>
      <c r="W82" s="164"/>
      <c r="X82" s="164"/>
      <c r="Y82" s="164"/>
      <c r="Z82" s="250"/>
      <c r="AA82" s="250"/>
      <c r="AB82" s="250"/>
      <c r="AC82" s="250"/>
      <c r="AD82" s="251">
        <v>-0.36699999999999999</v>
      </c>
      <c r="AE82" s="251">
        <v>0.157</v>
      </c>
      <c r="AF82" s="251">
        <v>0.23400000000000001</v>
      </c>
      <c r="AG82" s="251">
        <v>0.26200000000000001</v>
      </c>
      <c r="AH82" s="251">
        <v>8.6999999999999994E-2</v>
      </c>
      <c r="AI82" s="251">
        <v>0.4</v>
      </c>
      <c r="AJ82" s="251">
        <v>0.752</v>
      </c>
      <c r="AK82" s="251">
        <v>1.583</v>
      </c>
      <c r="AL82" s="251">
        <v>-6.8000000000000005E-2</v>
      </c>
      <c r="AM82" s="252">
        <v>2.9380000000000002</v>
      </c>
      <c r="AN82" s="250"/>
      <c r="AO82" s="250"/>
      <c r="AP82" s="250"/>
      <c r="AQ82" s="250"/>
      <c r="AR82" s="250"/>
      <c r="AS82" s="166"/>
    </row>
    <row r="83" spans="1:45" s="167" customFormat="1" outlineLevel="1" x14ac:dyDescent="0.35">
      <c r="A83" s="313" t="s">
        <v>697</v>
      </c>
      <c r="B83" s="247"/>
      <c r="C83" s="164"/>
      <c r="D83" s="164"/>
      <c r="E83" s="164"/>
      <c r="F83" s="164"/>
      <c r="G83" s="164"/>
      <c r="H83" s="164"/>
      <c r="I83" s="164"/>
      <c r="J83" s="164"/>
      <c r="K83" s="164"/>
      <c r="L83" s="164"/>
      <c r="M83" s="164"/>
      <c r="N83" s="164"/>
      <c r="O83" s="165"/>
      <c r="P83" s="164"/>
      <c r="Q83" s="164"/>
      <c r="R83" s="164"/>
      <c r="S83" s="164"/>
      <c r="T83" s="164"/>
      <c r="U83" s="164"/>
      <c r="V83" s="164"/>
      <c r="W83" s="164"/>
      <c r="X83" s="164"/>
      <c r="Y83" s="164"/>
      <c r="Z83" s="250"/>
      <c r="AA83" s="250"/>
      <c r="AB83" s="250"/>
      <c r="AC83" s="250"/>
      <c r="AD83" s="251">
        <v>0</v>
      </c>
      <c r="AE83" s="251">
        <v>0</v>
      </c>
      <c r="AF83" s="251">
        <v>0.999</v>
      </c>
      <c r="AG83" s="251">
        <v>3.673</v>
      </c>
      <c r="AH83" s="250"/>
      <c r="AI83" s="250"/>
      <c r="AJ83" s="250"/>
      <c r="AK83" s="250"/>
      <c r="AL83" s="250"/>
      <c r="AM83" s="264"/>
      <c r="AN83" s="250"/>
      <c r="AO83" s="250"/>
      <c r="AP83" s="250"/>
      <c r="AQ83" s="250"/>
      <c r="AR83" s="250"/>
      <c r="AS83" s="166"/>
    </row>
    <row r="84" spans="1:45" s="167" customFormat="1" outlineLevel="1" x14ac:dyDescent="0.35">
      <c r="A84" s="313" t="s">
        <v>698</v>
      </c>
      <c r="B84" s="247"/>
      <c r="C84" s="164"/>
      <c r="D84" s="164"/>
      <c r="E84" s="164"/>
      <c r="F84" s="164"/>
      <c r="G84" s="164"/>
      <c r="H84" s="164"/>
      <c r="I84" s="164"/>
      <c r="J84" s="164"/>
      <c r="K84" s="164"/>
      <c r="L84" s="164"/>
      <c r="M84" s="164"/>
      <c r="N84" s="164"/>
      <c r="O84" s="165"/>
      <c r="P84" s="164"/>
      <c r="Q84" s="164"/>
      <c r="R84" s="164"/>
      <c r="S84" s="164"/>
      <c r="T84" s="164"/>
      <c r="U84" s="164"/>
      <c r="V84" s="164"/>
      <c r="W84" s="164"/>
      <c r="X84" s="164"/>
      <c r="Y84" s="164"/>
      <c r="Z84" s="250"/>
      <c r="AA84" s="250"/>
      <c r="AB84" s="250"/>
      <c r="AC84" s="250"/>
      <c r="AD84" s="250"/>
      <c r="AE84" s="250"/>
      <c r="AF84" s="251">
        <v>204.941</v>
      </c>
      <c r="AG84" s="251">
        <v>212.06800000000001</v>
      </c>
      <c r="AH84" s="251">
        <v>241.41</v>
      </c>
      <c r="AI84" s="251">
        <v>307.62799999999999</v>
      </c>
      <c r="AJ84" s="251">
        <v>368.30399999999997</v>
      </c>
      <c r="AK84" s="251">
        <v>377.55200000000002</v>
      </c>
      <c r="AL84" s="251">
        <v>476.44200000000001</v>
      </c>
      <c r="AM84" s="252">
        <v>705.53899999999999</v>
      </c>
      <c r="AN84" s="250"/>
      <c r="AO84" s="250"/>
      <c r="AP84" s="250"/>
      <c r="AQ84" s="250"/>
      <c r="AR84" s="250"/>
      <c r="AS84" s="166"/>
    </row>
    <row r="85" spans="1:45" s="167" customFormat="1" outlineLevel="1" x14ac:dyDescent="0.35">
      <c r="A85" s="313" t="s">
        <v>699</v>
      </c>
      <c r="B85" s="247"/>
      <c r="C85" s="164"/>
      <c r="D85" s="164"/>
      <c r="E85" s="164"/>
      <c r="F85" s="164"/>
      <c r="G85" s="164"/>
      <c r="H85" s="164"/>
      <c r="I85" s="164"/>
      <c r="J85" s="164"/>
      <c r="K85" s="164"/>
      <c r="L85" s="164"/>
      <c r="M85" s="164"/>
      <c r="N85" s="164"/>
      <c r="O85" s="165"/>
      <c r="P85" s="164"/>
      <c r="Q85" s="164"/>
      <c r="R85" s="164"/>
      <c r="S85" s="164"/>
      <c r="T85" s="164"/>
      <c r="U85" s="164"/>
      <c r="V85" s="164"/>
      <c r="W85" s="164"/>
      <c r="X85" s="164"/>
      <c r="Y85" s="164"/>
      <c r="Z85" s="250"/>
      <c r="AA85" s="250"/>
      <c r="AB85" s="250"/>
      <c r="AC85" s="250"/>
      <c r="AD85" s="250"/>
      <c r="AE85" s="250"/>
      <c r="AF85" s="250"/>
      <c r="AG85" s="250"/>
      <c r="AH85" s="250"/>
      <c r="AI85" s="250"/>
      <c r="AJ85" s="250"/>
      <c r="AK85" s="251">
        <v>0.66400000000000003</v>
      </c>
      <c r="AL85" s="251">
        <v>0.55200000000000005</v>
      </c>
      <c r="AM85" s="252">
        <v>1.544</v>
      </c>
      <c r="AN85" s="250"/>
      <c r="AO85" s="250"/>
      <c r="AP85" s="250"/>
      <c r="AQ85" s="250"/>
      <c r="AR85" s="250"/>
      <c r="AS85" s="166"/>
    </row>
    <row r="86" spans="1:45" s="167" customFormat="1" x14ac:dyDescent="0.35">
      <c r="A86" s="263"/>
      <c r="B86" s="247"/>
      <c r="C86" s="164"/>
      <c r="D86" s="164"/>
      <c r="E86" s="164"/>
      <c r="F86" s="164"/>
      <c r="G86" s="164"/>
      <c r="H86" s="164"/>
      <c r="I86" s="164"/>
      <c r="J86" s="164"/>
      <c r="K86" s="164"/>
      <c r="L86" s="164"/>
      <c r="M86" s="164"/>
      <c r="N86" s="164"/>
      <c r="O86" s="165"/>
      <c r="P86" s="164"/>
      <c r="Q86" s="164"/>
      <c r="R86" s="164"/>
      <c r="S86" s="164"/>
      <c r="T86" s="164"/>
      <c r="U86" s="164"/>
      <c r="V86" s="164"/>
      <c r="W86" s="164"/>
      <c r="X86" s="164"/>
      <c r="Y86" s="164"/>
      <c r="Z86" s="250"/>
      <c r="AA86" s="250"/>
      <c r="AB86" s="250"/>
      <c r="AC86" s="250"/>
      <c r="AD86" s="250"/>
      <c r="AE86" s="250"/>
      <c r="AF86" s="250"/>
      <c r="AG86" s="250"/>
      <c r="AH86" s="250"/>
      <c r="AI86" s="250"/>
      <c r="AJ86" s="250"/>
      <c r="AK86" s="250"/>
      <c r="AL86" s="250"/>
      <c r="AM86" s="264"/>
      <c r="AN86" s="250"/>
      <c r="AO86" s="250"/>
      <c r="AP86" s="250"/>
      <c r="AQ86" s="250"/>
      <c r="AR86" s="250"/>
      <c r="AS86" s="166"/>
    </row>
    <row r="87" spans="1:45" s="167" customFormat="1" x14ac:dyDescent="0.35">
      <c r="A87" s="242" t="s">
        <v>700</v>
      </c>
      <c r="B87" s="243"/>
      <c r="C87" s="243"/>
      <c r="D87" s="243"/>
      <c r="E87" s="243"/>
      <c r="F87" s="243"/>
      <c r="G87" s="243"/>
      <c r="H87" s="243"/>
      <c r="I87" s="243"/>
      <c r="J87" s="243"/>
      <c r="K87" s="243"/>
      <c r="L87" s="243"/>
      <c r="M87" s="243"/>
      <c r="N87" s="243"/>
      <c r="O87" s="245"/>
      <c r="P87" s="243"/>
      <c r="Q87" s="243"/>
      <c r="R87" s="243"/>
      <c r="S87" s="243"/>
      <c r="T87" s="243"/>
      <c r="U87" s="243"/>
      <c r="V87" s="243"/>
      <c r="W87" s="243"/>
      <c r="X87" s="243"/>
      <c r="Y87" s="243"/>
      <c r="Z87" s="243"/>
      <c r="AA87" s="243"/>
      <c r="AB87" s="243"/>
      <c r="AC87" s="243"/>
      <c r="AD87" s="243"/>
      <c r="AE87" s="243"/>
      <c r="AF87" s="243"/>
      <c r="AG87" s="243"/>
      <c r="AH87" s="243"/>
      <c r="AI87" s="243"/>
      <c r="AJ87" s="243"/>
      <c r="AK87" s="243"/>
      <c r="AL87" s="243"/>
      <c r="AM87" s="245"/>
      <c r="AN87" s="243"/>
      <c r="AO87" s="243"/>
      <c r="AP87" s="243"/>
      <c r="AQ87" s="243"/>
      <c r="AR87" s="243"/>
      <c r="AS87" s="166"/>
    </row>
    <row r="88" spans="1:45" s="167" customFormat="1" outlineLevel="1" x14ac:dyDescent="0.35">
      <c r="A88" s="314" t="s">
        <v>701</v>
      </c>
      <c r="B88" s="315"/>
      <c r="C88" s="166">
        <f t="shared" ref="C88:O88" si="47">C329-C324+C228</f>
        <v>23.452999999999999</v>
      </c>
      <c r="D88" s="166">
        <f t="shared" si="47"/>
        <v>25.310999999999996</v>
      </c>
      <c r="E88" s="166">
        <f t="shared" si="47"/>
        <v>24.901999999999997</v>
      </c>
      <c r="F88" s="166">
        <f t="shared" si="47"/>
        <v>41.565000000000019</v>
      </c>
      <c r="G88" s="166">
        <f t="shared" si="47"/>
        <v>35.012000000000008</v>
      </c>
      <c r="H88" s="166">
        <f t="shared" si="47"/>
        <v>42.864000000000011</v>
      </c>
      <c r="I88" s="166">
        <f t="shared" si="47"/>
        <v>40.417999999999999</v>
      </c>
      <c r="J88" s="166">
        <f t="shared" si="47"/>
        <v>41.912000000000006</v>
      </c>
      <c r="K88" s="166">
        <f t="shared" si="47"/>
        <v>50.309999999999988</v>
      </c>
      <c r="L88" s="166">
        <f t="shared" si="47"/>
        <v>57.022999999999989</v>
      </c>
      <c r="M88" s="166">
        <f t="shared" si="47"/>
        <v>54.509000000000007</v>
      </c>
      <c r="N88" s="166">
        <f t="shared" si="47"/>
        <v>49.255000000000024</v>
      </c>
      <c r="O88" s="311">
        <f t="shared" si="47"/>
        <v>74.304999999999993</v>
      </c>
      <c r="P88" s="164"/>
      <c r="Q88" s="164"/>
      <c r="R88" s="164"/>
      <c r="S88" s="164"/>
      <c r="T88" s="164"/>
      <c r="U88" s="164"/>
      <c r="V88" s="164"/>
      <c r="W88" s="164"/>
      <c r="X88" s="164"/>
      <c r="Y88" s="164"/>
      <c r="Z88" s="250"/>
      <c r="AA88" s="250"/>
      <c r="AB88" s="250"/>
      <c r="AC88" s="250"/>
      <c r="AD88" s="250">
        <f t="shared" ref="AD88:AM88" si="48">AD329-AD324+AD228</f>
        <v>19.759999999999994</v>
      </c>
      <c r="AE88" s="304">
        <f t="shared" si="48"/>
        <v>43.865999999999993</v>
      </c>
      <c r="AF88" s="304">
        <f t="shared" si="48"/>
        <v>52.225000000000001</v>
      </c>
      <c r="AG88" s="304">
        <f t="shared" si="48"/>
        <v>36.055</v>
      </c>
      <c r="AH88" s="304">
        <f t="shared" si="48"/>
        <v>48.763999999999996</v>
      </c>
      <c r="AI88" s="304">
        <f t="shared" si="48"/>
        <v>66.467000000000013</v>
      </c>
      <c r="AJ88" s="304">
        <f t="shared" si="48"/>
        <v>77.876000000000019</v>
      </c>
      <c r="AK88" s="304">
        <f t="shared" si="48"/>
        <v>82.330000000000013</v>
      </c>
      <c r="AL88" s="304">
        <f t="shared" si="48"/>
        <v>107.33299999999998</v>
      </c>
      <c r="AM88" s="312">
        <f t="shared" si="48"/>
        <v>103.764</v>
      </c>
      <c r="AN88" s="250"/>
      <c r="AO88" s="250"/>
      <c r="AP88" s="250"/>
      <c r="AQ88" s="250"/>
      <c r="AR88" s="250"/>
      <c r="AS88" s="166"/>
    </row>
    <row r="89" spans="1:45" s="167" customFormat="1" outlineLevel="1" x14ac:dyDescent="0.35">
      <c r="A89" s="314" t="s">
        <v>702</v>
      </c>
      <c r="B89" s="315"/>
      <c r="C89" s="166">
        <f t="shared" ref="C89:O89" si="49">C138</f>
        <v>20.892000000000003</v>
      </c>
      <c r="D89" s="166">
        <f t="shared" si="49"/>
        <v>29.269999999999989</v>
      </c>
      <c r="E89" s="166">
        <f t="shared" si="49"/>
        <v>24.109999999999978</v>
      </c>
      <c r="F89" s="166">
        <f t="shared" si="49"/>
        <v>43.912000000000027</v>
      </c>
      <c r="G89" s="166">
        <f t="shared" si="49"/>
        <v>33.854000000000028</v>
      </c>
      <c r="H89" s="166">
        <f t="shared" si="49"/>
        <v>50.632000000000005</v>
      </c>
      <c r="I89" s="166">
        <f t="shared" si="49"/>
        <v>40.478000000000023</v>
      </c>
      <c r="J89" s="166">
        <f t="shared" si="49"/>
        <v>53.254999999999896</v>
      </c>
      <c r="K89" s="166">
        <f t="shared" si="49"/>
        <v>57.06400000000005</v>
      </c>
      <c r="L89" s="166">
        <f t="shared" si="49"/>
        <v>62.35199999999989</v>
      </c>
      <c r="M89" s="166">
        <f t="shared" si="49"/>
        <v>64.133000000000067</v>
      </c>
      <c r="N89" s="166">
        <f t="shared" si="49"/>
        <v>72.011999999999858</v>
      </c>
      <c r="O89" s="311">
        <f t="shared" si="49"/>
        <v>63.07099999999997</v>
      </c>
      <c r="P89" s="164"/>
      <c r="Q89" s="164"/>
      <c r="R89" s="164"/>
      <c r="S89" s="164"/>
      <c r="T89" s="164"/>
      <c r="U89" s="164"/>
      <c r="V89" s="164"/>
      <c r="W89" s="164"/>
      <c r="X89" s="164"/>
      <c r="Y89" s="164"/>
      <c r="Z89" s="250"/>
      <c r="AA89" s="250"/>
      <c r="AB89" s="250"/>
      <c r="AC89" s="250"/>
      <c r="AD89" s="250">
        <f t="shared" ref="AD89:AM89" si="50">AD138</f>
        <v>27.367999999999967</v>
      </c>
      <c r="AE89" s="304">
        <f t="shared" si="50"/>
        <v>35.528000000000013</v>
      </c>
      <c r="AF89" s="304">
        <f t="shared" si="50"/>
        <v>39.581999999999923</v>
      </c>
      <c r="AG89" s="304">
        <f t="shared" si="50"/>
        <v>42.189999999999984</v>
      </c>
      <c r="AH89" s="304">
        <f t="shared" si="50"/>
        <v>50.161999999999992</v>
      </c>
      <c r="AI89" s="304">
        <f t="shared" si="50"/>
        <v>68.022000000000006</v>
      </c>
      <c r="AJ89" s="304">
        <f t="shared" si="50"/>
        <v>84.486000000000033</v>
      </c>
      <c r="AK89" s="304">
        <f t="shared" si="50"/>
        <v>93.732999999999919</v>
      </c>
      <c r="AL89" s="304">
        <f t="shared" si="50"/>
        <v>119.41599999999994</v>
      </c>
      <c r="AM89" s="312">
        <f t="shared" si="50"/>
        <v>136.14499999999992</v>
      </c>
      <c r="AN89" s="250"/>
      <c r="AO89" s="250"/>
      <c r="AP89" s="250"/>
      <c r="AQ89" s="250"/>
      <c r="AR89" s="250"/>
      <c r="AS89" s="166"/>
    </row>
    <row r="90" spans="1:45" s="227" customFormat="1" outlineLevel="1" x14ac:dyDescent="0.35">
      <c r="A90" s="316" t="s">
        <v>703</v>
      </c>
      <c r="B90" s="317"/>
      <c r="C90" s="318">
        <f t="shared" ref="C90:O90" si="51">C88/C89</f>
        <v>1.122582806816006</v>
      </c>
      <c r="D90" s="318">
        <f t="shared" si="51"/>
        <v>0.86474205671335858</v>
      </c>
      <c r="E90" s="318">
        <f t="shared" si="51"/>
        <v>1.0328494400663633</v>
      </c>
      <c r="F90" s="318">
        <f t="shared" si="51"/>
        <v>0.94655219529969015</v>
      </c>
      <c r="G90" s="318">
        <f t="shared" si="51"/>
        <v>1.0342057068588639</v>
      </c>
      <c r="H90" s="318">
        <f t="shared" si="51"/>
        <v>0.84657923842629179</v>
      </c>
      <c r="I90" s="318">
        <f t="shared" si="51"/>
        <v>0.99851771332575667</v>
      </c>
      <c r="J90" s="318">
        <f t="shared" si="51"/>
        <v>0.78700591493756622</v>
      </c>
      <c r="K90" s="318">
        <f t="shared" si="51"/>
        <v>0.88164166549838685</v>
      </c>
      <c r="L90" s="318">
        <f t="shared" si="51"/>
        <v>0.9145336156017464</v>
      </c>
      <c r="M90" s="318">
        <f t="shared" si="51"/>
        <v>0.84993684998362695</v>
      </c>
      <c r="N90" s="318">
        <f t="shared" si="51"/>
        <v>0.6839832250180542</v>
      </c>
      <c r="O90" s="319">
        <f t="shared" si="51"/>
        <v>1.1781167255949649</v>
      </c>
      <c r="P90" s="299"/>
      <c r="Q90" s="299"/>
      <c r="R90" s="299"/>
      <c r="S90" s="299"/>
      <c r="T90" s="299"/>
      <c r="U90" s="299"/>
      <c r="V90" s="299"/>
      <c r="W90" s="299"/>
      <c r="X90" s="299"/>
      <c r="Y90" s="299"/>
      <c r="Z90" s="301"/>
      <c r="AA90" s="301"/>
      <c r="AB90" s="301"/>
      <c r="AC90" s="301"/>
      <c r="AD90" s="301">
        <f t="shared" ref="AD90:AM90" si="52">AD88/AD89</f>
        <v>0.72201110786319855</v>
      </c>
      <c r="AE90" s="320">
        <f t="shared" si="52"/>
        <v>1.2346881333033095</v>
      </c>
      <c r="AF90" s="320">
        <f t="shared" si="52"/>
        <v>1.3194128644333309</v>
      </c>
      <c r="AG90" s="320">
        <f t="shared" si="52"/>
        <v>0.85458639488030375</v>
      </c>
      <c r="AH90" s="320">
        <f t="shared" si="52"/>
        <v>0.97213029783501459</v>
      </c>
      <c r="AI90" s="320">
        <f t="shared" si="52"/>
        <v>0.97713974890476618</v>
      </c>
      <c r="AJ90" s="320">
        <f t="shared" si="52"/>
        <v>0.92176218545084376</v>
      </c>
      <c r="AK90" s="320">
        <f t="shared" si="52"/>
        <v>0.87834594006379918</v>
      </c>
      <c r="AL90" s="320">
        <f t="shared" si="52"/>
        <v>0.89881590406645706</v>
      </c>
      <c r="AM90" s="321">
        <f t="shared" si="52"/>
        <v>0.76215799331595024</v>
      </c>
      <c r="AN90" s="301"/>
      <c r="AO90" s="301"/>
      <c r="AP90" s="301"/>
      <c r="AQ90" s="301"/>
      <c r="AR90" s="301"/>
      <c r="AS90" s="226"/>
    </row>
    <row r="91" spans="1:45" s="167" customFormat="1" x14ac:dyDescent="0.35">
      <c r="A91" s="322"/>
      <c r="B91" s="315"/>
      <c r="C91" s="164"/>
      <c r="D91" s="164"/>
      <c r="E91" s="164"/>
      <c r="F91" s="164"/>
      <c r="G91" s="164"/>
      <c r="H91" s="164"/>
      <c r="I91" s="164"/>
      <c r="J91" s="164"/>
      <c r="K91" s="164"/>
      <c r="L91" s="164"/>
      <c r="M91" s="164"/>
      <c r="N91" s="164"/>
      <c r="O91" s="165"/>
      <c r="P91" s="164"/>
      <c r="Q91" s="164"/>
      <c r="R91" s="164"/>
      <c r="S91" s="164"/>
      <c r="T91" s="164"/>
      <c r="U91" s="164"/>
      <c r="V91" s="164"/>
      <c r="W91" s="164"/>
      <c r="X91" s="164"/>
      <c r="Y91" s="164"/>
      <c r="Z91" s="250"/>
      <c r="AA91" s="250"/>
      <c r="AB91" s="250"/>
      <c r="AC91" s="250"/>
      <c r="AD91" s="250"/>
      <c r="AE91" s="250"/>
      <c r="AF91" s="250"/>
      <c r="AG91" s="250"/>
      <c r="AH91" s="250"/>
      <c r="AI91" s="250"/>
      <c r="AJ91" s="250"/>
      <c r="AK91" s="250"/>
      <c r="AL91" s="250"/>
      <c r="AM91" s="264"/>
      <c r="AN91" s="250"/>
      <c r="AO91" s="250"/>
      <c r="AP91" s="250"/>
      <c r="AQ91" s="250"/>
      <c r="AR91" s="250"/>
      <c r="AS91" s="166"/>
    </row>
    <row r="92" spans="1:45" s="167" customFormat="1" x14ac:dyDescent="0.35">
      <c r="A92" s="242" t="s">
        <v>704</v>
      </c>
      <c r="B92" s="243"/>
      <c r="C92" s="243"/>
      <c r="D92" s="243"/>
      <c r="E92" s="243"/>
      <c r="F92" s="243"/>
      <c r="G92" s="243"/>
      <c r="H92" s="243"/>
      <c r="I92" s="243"/>
      <c r="J92" s="243"/>
      <c r="K92" s="243"/>
      <c r="L92" s="243"/>
      <c r="M92" s="243"/>
      <c r="N92" s="243"/>
      <c r="O92" s="245"/>
      <c r="P92" s="243"/>
      <c r="Q92" s="243"/>
      <c r="R92" s="243"/>
      <c r="S92" s="243"/>
      <c r="T92" s="243"/>
      <c r="U92" s="243"/>
      <c r="V92" s="243"/>
      <c r="W92" s="243"/>
      <c r="X92" s="243"/>
      <c r="Y92" s="243"/>
      <c r="Z92" s="243"/>
      <c r="AA92" s="243"/>
      <c r="AB92" s="243"/>
      <c r="AC92" s="243"/>
      <c r="AD92" s="243"/>
      <c r="AE92" s="243"/>
      <c r="AF92" s="243"/>
      <c r="AG92" s="243"/>
      <c r="AH92" s="243"/>
      <c r="AI92" s="243"/>
      <c r="AJ92" s="243"/>
      <c r="AK92" s="243"/>
      <c r="AL92" s="243"/>
      <c r="AM92" s="245"/>
      <c r="AN92" s="243"/>
      <c r="AO92" s="243"/>
      <c r="AP92" s="243"/>
      <c r="AQ92" s="243"/>
      <c r="AR92" s="243"/>
      <c r="AS92" s="166"/>
    </row>
    <row r="93" spans="1:45" s="167" customFormat="1" outlineLevel="1" x14ac:dyDescent="0.35">
      <c r="A93" s="323" t="s">
        <v>705</v>
      </c>
      <c r="B93" s="315"/>
      <c r="C93" s="164"/>
      <c r="D93" s="164"/>
      <c r="E93" s="164"/>
      <c r="F93" s="164"/>
      <c r="G93" s="248">
        <v>9.1</v>
      </c>
      <c r="H93" s="166">
        <f>AJ93</f>
        <v>9.1999999999999993</v>
      </c>
      <c r="I93" s="248">
        <v>9.5</v>
      </c>
      <c r="J93" s="166">
        <f>AK93</f>
        <v>9.5</v>
      </c>
      <c r="K93" s="248">
        <v>9.6</v>
      </c>
      <c r="L93" s="166">
        <f>AL93</f>
        <v>9.6999999999999993</v>
      </c>
      <c r="M93" s="248">
        <v>9.6999999999999993</v>
      </c>
      <c r="N93" s="166">
        <f>AM93</f>
        <v>9.9</v>
      </c>
      <c r="O93" s="249">
        <v>10</v>
      </c>
      <c r="P93" s="164"/>
      <c r="Q93" s="164"/>
      <c r="R93" s="164"/>
      <c r="S93" s="164"/>
      <c r="T93" s="164"/>
      <c r="U93" s="164"/>
      <c r="V93" s="164"/>
      <c r="W93" s="164"/>
      <c r="X93" s="164"/>
      <c r="Y93" s="164"/>
      <c r="Z93" s="250"/>
      <c r="AA93" s="250"/>
      <c r="AB93" s="250"/>
      <c r="AC93" s="250"/>
      <c r="AD93" s="250"/>
      <c r="AE93" s="250"/>
      <c r="AF93" s="250"/>
      <c r="AG93" s="251">
        <v>7.7</v>
      </c>
      <c r="AH93" s="251">
        <v>8.3000000000000007</v>
      </c>
      <c r="AI93" s="251">
        <v>8.8000000000000007</v>
      </c>
      <c r="AJ93" s="251">
        <v>9.1999999999999993</v>
      </c>
      <c r="AK93" s="251">
        <v>9.5</v>
      </c>
      <c r="AL93" s="251">
        <v>9.6999999999999993</v>
      </c>
      <c r="AM93" s="252">
        <v>9.9</v>
      </c>
      <c r="AN93" s="250"/>
      <c r="AO93" s="250"/>
      <c r="AP93" s="250"/>
      <c r="AQ93" s="250"/>
      <c r="AR93" s="250"/>
      <c r="AS93" s="166"/>
    </row>
    <row r="94" spans="1:45" s="167" customFormat="1" outlineLevel="1" x14ac:dyDescent="0.35">
      <c r="A94" s="323" t="s">
        <v>706</v>
      </c>
      <c r="B94" s="315"/>
      <c r="C94" s="164"/>
      <c r="D94" s="164"/>
      <c r="E94" s="164"/>
      <c r="F94" s="164"/>
      <c r="G94" s="166">
        <f t="shared" ref="G94:O94" si="53">(G136+F136)/G93</f>
        <v>21.428571428571434</v>
      </c>
      <c r="H94" s="166">
        <f t="shared" si="53"/>
        <v>22.950326086956526</v>
      </c>
      <c r="I94" s="166">
        <f t="shared" si="53"/>
        <v>24.01505263157895</v>
      </c>
      <c r="J94" s="166">
        <f t="shared" si="53"/>
        <v>24.811052631578939</v>
      </c>
      <c r="K94" s="166">
        <f t="shared" si="53"/>
        <v>26.926770833333329</v>
      </c>
      <c r="L94" s="166">
        <f t="shared" si="53"/>
        <v>28.490515463917522</v>
      </c>
      <c r="M94" s="166">
        <f t="shared" si="53"/>
        <v>30.113917525773193</v>
      </c>
      <c r="N94" s="166">
        <f t="shared" si="53"/>
        <v>33.05151515151514</v>
      </c>
      <c r="O94" s="311">
        <f t="shared" si="53"/>
        <v>35.405299999999983</v>
      </c>
      <c r="P94" s="164"/>
      <c r="Q94" s="164"/>
      <c r="R94" s="164"/>
      <c r="S94" s="164"/>
      <c r="T94" s="164"/>
      <c r="U94" s="164"/>
      <c r="V94" s="164"/>
      <c r="W94" s="164"/>
      <c r="X94" s="164"/>
      <c r="Y94" s="164"/>
      <c r="Z94" s="250"/>
      <c r="AA94" s="250"/>
      <c r="AB94" s="250"/>
      <c r="AC94" s="250"/>
      <c r="AD94" s="250"/>
      <c r="AE94" s="250"/>
      <c r="AF94" s="250"/>
      <c r="AG94" s="250">
        <f t="shared" ref="AG94:AM94" si="54">AG136/AG93</f>
        <v>15.677532467532465</v>
      </c>
      <c r="AH94" s="250">
        <f t="shared" si="54"/>
        <v>16.423253012048189</v>
      </c>
      <c r="AI94" s="304">
        <f t="shared" si="54"/>
        <v>19.904886363636365</v>
      </c>
      <c r="AJ94" s="304">
        <f t="shared" si="54"/>
        <v>22.950326086956526</v>
      </c>
      <c r="AK94" s="304">
        <f t="shared" si="54"/>
        <v>24.811052631578939</v>
      </c>
      <c r="AL94" s="304">
        <f t="shared" si="54"/>
        <v>28.490515463917522</v>
      </c>
      <c r="AM94" s="312">
        <f t="shared" si="54"/>
        <v>33.05151515151514</v>
      </c>
      <c r="AN94" s="250"/>
      <c r="AO94" s="250"/>
      <c r="AP94" s="250"/>
      <c r="AQ94" s="250"/>
      <c r="AR94" s="250"/>
      <c r="AS94" s="166"/>
    </row>
    <row r="95" spans="1:45" s="207" customFormat="1" x14ac:dyDescent="0.35">
      <c r="A95" s="234"/>
      <c r="B95" s="209"/>
      <c r="C95" s="210"/>
      <c r="D95" s="210"/>
      <c r="E95" s="210"/>
      <c r="F95" s="210"/>
      <c r="G95" s="210"/>
      <c r="H95" s="210"/>
      <c r="I95" s="210"/>
      <c r="J95" s="210"/>
      <c r="K95" s="210"/>
      <c r="L95" s="210"/>
      <c r="M95" s="210"/>
      <c r="N95" s="210"/>
      <c r="O95" s="235"/>
      <c r="P95" s="210"/>
      <c r="Q95" s="210"/>
      <c r="R95" s="210"/>
      <c r="S95" s="210"/>
      <c r="T95" s="210"/>
      <c r="U95" s="210"/>
      <c r="V95" s="210"/>
      <c r="W95" s="210"/>
      <c r="X95" s="210"/>
      <c r="Y95" s="210"/>
      <c r="Z95" s="214"/>
      <c r="AA95" s="214"/>
      <c r="AB95" s="214"/>
      <c r="AC95" s="214"/>
      <c r="AD95" s="214"/>
      <c r="AE95" s="214"/>
      <c r="AF95" s="214"/>
      <c r="AG95" s="214"/>
      <c r="AH95" s="214"/>
      <c r="AI95" s="214"/>
      <c r="AJ95" s="214"/>
      <c r="AK95" s="214"/>
      <c r="AL95" s="214"/>
      <c r="AM95" s="237"/>
      <c r="AN95" s="214"/>
      <c r="AO95" s="214"/>
      <c r="AP95" s="214"/>
      <c r="AQ95" s="214"/>
      <c r="AR95" s="214"/>
      <c r="AS95" s="206"/>
    </row>
    <row r="96" spans="1:45" s="167" customFormat="1" x14ac:dyDescent="0.35">
      <c r="A96" s="242" t="s">
        <v>707</v>
      </c>
      <c r="B96" s="243"/>
      <c r="C96" s="243"/>
      <c r="D96" s="243"/>
      <c r="E96" s="243"/>
      <c r="F96" s="243"/>
      <c r="G96" s="243"/>
      <c r="H96" s="243"/>
      <c r="I96" s="243"/>
      <c r="J96" s="243"/>
      <c r="K96" s="243"/>
      <c r="L96" s="243"/>
      <c r="M96" s="243"/>
      <c r="N96" s="243"/>
      <c r="O96" s="245"/>
      <c r="P96" s="243"/>
      <c r="Q96" s="243"/>
      <c r="R96" s="243"/>
      <c r="S96" s="243"/>
      <c r="T96" s="243"/>
      <c r="U96" s="243"/>
      <c r="V96" s="243"/>
      <c r="W96" s="243"/>
      <c r="X96" s="243"/>
      <c r="Y96" s="243"/>
      <c r="Z96" s="243"/>
      <c r="AA96" s="243"/>
      <c r="AB96" s="243"/>
      <c r="AC96" s="243"/>
      <c r="AD96" s="243"/>
      <c r="AE96" s="243"/>
      <c r="AF96" s="243"/>
      <c r="AG96" s="243"/>
      <c r="AH96" s="243"/>
      <c r="AI96" s="243"/>
      <c r="AJ96" s="243"/>
      <c r="AK96" s="243"/>
      <c r="AL96" s="243"/>
      <c r="AM96" s="245"/>
      <c r="AN96" s="243"/>
      <c r="AO96" s="243"/>
      <c r="AP96" s="243"/>
      <c r="AQ96" s="243"/>
      <c r="AR96" s="243"/>
      <c r="AS96" s="166"/>
    </row>
    <row r="97" spans="1:45" s="332" customFormat="1" outlineLevel="1" x14ac:dyDescent="0.35">
      <c r="A97" s="324" t="s">
        <v>708</v>
      </c>
      <c r="B97" s="325"/>
      <c r="C97" s="326"/>
      <c r="D97" s="326"/>
      <c r="E97" s="326"/>
      <c r="F97" s="326"/>
      <c r="G97" s="326"/>
      <c r="H97" s="326"/>
      <c r="I97" s="326"/>
      <c r="J97" s="326"/>
      <c r="K97" s="326"/>
      <c r="L97" s="326"/>
      <c r="M97" s="326"/>
      <c r="N97" s="326"/>
      <c r="O97" s="327"/>
      <c r="P97" s="326"/>
      <c r="Q97" s="326"/>
      <c r="R97" s="326"/>
      <c r="S97" s="326"/>
      <c r="T97" s="326"/>
      <c r="U97" s="326"/>
      <c r="V97" s="326"/>
      <c r="W97" s="326"/>
      <c r="X97" s="326"/>
      <c r="Y97" s="326"/>
      <c r="Z97" s="328"/>
      <c r="AA97" s="328"/>
      <c r="AB97" s="328"/>
      <c r="AC97" s="328"/>
      <c r="AD97" s="328"/>
      <c r="AE97" s="328"/>
      <c r="AF97" s="329">
        <v>500</v>
      </c>
      <c r="AG97" s="329">
        <v>616</v>
      </c>
      <c r="AH97" s="329">
        <v>714</v>
      </c>
      <c r="AI97" s="329">
        <v>799</v>
      </c>
      <c r="AJ97" s="329">
        <v>897</v>
      </c>
      <c r="AK97" s="329">
        <v>979</v>
      </c>
      <c r="AL97" s="329">
        <v>1068</v>
      </c>
      <c r="AM97" s="330">
        <v>1141</v>
      </c>
      <c r="AN97" s="328"/>
      <c r="AO97" s="328"/>
      <c r="AP97" s="328"/>
      <c r="AQ97" s="328"/>
      <c r="AR97" s="328"/>
      <c r="AS97" s="331"/>
    </row>
    <row r="98" spans="1:45" s="332" customFormat="1" outlineLevel="1" x14ac:dyDescent="0.35">
      <c r="A98" s="324" t="s">
        <v>709</v>
      </c>
      <c r="B98" s="325"/>
      <c r="C98" s="326"/>
      <c r="D98" s="326"/>
      <c r="E98" s="326"/>
      <c r="F98" s="326"/>
      <c r="G98" s="326"/>
      <c r="H98" s="326"/>
      <c r="I98" s="326"/>
      <c r="J98" s="326"/>
      <c r="K98" s="326"/>
      <c r="L98" s="326"/>
      <c r="M98" s="326"/>
      <c r="N98" s="326"/>
      <c r="O98" s="327"/>
      <c r="P98" s="326"/>
      <c r="Q98" s="326"/>
      <c r="R98" s="326"/>
      <c r="S98" s="326"/>
      <c r="T98" s="326"/>
      <c r="U98" s="326"/>
      <c r="V98" s="326"/>
      <c r="W98" s="326"/>
      <c r="X98" s="326"/>
      <c r="Y98" s="326"/>
      <c r="Z98" s="328"/>
      <c r="AA98" s="328"/>
      <c r="AB98" s="328"/>
      <c r="AC98" s="328"/>
      <c r="AD98" s="328"/>
      <c r="AE98" s="328"/>
      <c r="AF98" s="329">
        <v>97</v>
      </c>
      <c r="AG98" s="329">
        <v>114</v>
      </c>
      <c r="AH98" s="329">
        <v>147</v>
      </c>
      <c r="AI98" s="329">
        <v>148</v>
      </c>
      <c r="AJ98" s="329">
        <v>209</v>
      </c>
      <c r="AK98" s="329">
        <v>255</v>
      </c>
      <c r="AL98" s="329">
        <v>286</v>
      </c>
      <c r="AM98" s="330">
        <v>332</v>
      </c>
      <c r="AN98" s="328"/>
      <c r="AO98" s="328"/>
      <c r="AP98" s="328"/>
      <c r="AQ98" s="328"/>
      <c r="AR98" s="328"/>
      <c r="AS98" s="331"/>
    </row>
    <row r="99" spans="1:45" s="332" customFormat="1" outlineLevel="1" x14ac:dyDescent="0.35">
      <c r="A99" s="324" t="s">
        <v>710</v>
      </c>
      <c r="B99" s="325"/>
      <c r="C99" s="326"/>
      <c r="D99" s="326"/>
      <c r="E99" s="326"/>
      <c r="F99" s="326"/>
      <c r="G99" s="326"/>
      <c r="H99" s="326"/>
      <c r="I99" s="326"/>
      <c r="J99" s="326"/>
      <c r="K99" s="326"/>
      <c r="L99" s="326"/>
      <c r="M99" s="326"/>
      <c r="N99" s="326"/>
      <c r="O99" s="327"/>
      <c r="P99" s="326"/>
      <c r="Q99" s="326"/>
      <c r="R99" s="326"/>
      <c r="S99" s="326"/>
      <c r="T99" s="326"/>
      <c r="U99" s="326"/>
      <c r="V99" s="326"/>
      <c r="W99" s="326"/>
      <c r="X99" s="326"/>
      <c r="Y99" s="326"/>
      <c r="Z99" s="328"/>
      <c r="AA99" s="328"/>
      <c r="AB99" s="328"/>
      <c r="AC99" s="328"/>
      <c r="AD99" s="328"/>
      <c r="AE99" s="328"/>
      <c r="AF99" s="329">
        <v>125</v>
      </c>
      <c r="AG99" s="329">
        <v>143</v>
      </c>
      <c r="AH99" s="329">
        <v>166</v>
      </c>
      <c r="AI99" s="329">
        <v>181</v>
      </c>
      <c r="AJ99" s="329">
        <v>194</v>
      </c>
      <c r="AK99" s="329">
        <v>241</v>
      </c>
      <c r="AL99" s="329">
        <v>282</v>
      </c>
      <c r="AM99" s="330">
        <v>323</v>
      </c>
      <c r="AN99" s="328"/>
      <c r="AO99" s="328"/>
      <c r="AP99" s="328"/>
      <c r="AQ99" s="328"/>
      <c r="AR99" s="328"/>
      <c r="AS99" s="331"/>
    </row>
    <row r="100" spans="1:45" s="342" customFormat="1" outlineLevel="1" x14ac:dyDescent="0.35">
      <c r="A100" s="333" t="s">
        <v>711</v>
      </c>
      <c r="B100" s="334"/>
      <c r="C100" s="335"/>
      <c r="D100" s="335"/>
      <c r="E100" s="335"/>
      <c r="F100" s="335"/>
      <c r="G100" s="335"/>
      <c r="H100" s="335"/>
      <c r="I100" s="335"/>
      <c r="J100" s="335"/>
      <c r="K100" s="335"/>
      <c r="L100" s="335"/>
      <c r="M100" s="335"/>
      <c r="N100" s="335"/>
      <c r="O100" s="336"/>
      <c r="P100" s="335"/>
      <c r="Q100" s="335"/>
      <c r="R100" s="335"/>
      <c r="S100" s="335"/>
      <c r="T100" s="335"/>
      <c r="U100" s="335"/>
      <c r="V100" s="335"/>
      <c r="W100" s="335"/>
      <c r="X100" s="335"/>
      <c r="Y100" s="335"/>
      <c r="Z100" s="337"/>
      <c r="AA100" s="337"/>
      <c r="AB100" s="337"/>
      <c r="AC100" s="337"/>
      <c r="AD100" s="338">
        <v>488</v>
      </c>
      <c r="AE100" s="338">
        <v>602</v>
      </c>
      <c r="AF100" s="339">
        <f t="shared" ref="AF100:AM100" si="55">SUM(AF97:AF99)</f>
        <v>722</v>
      </c>
      <c r="AG100" s="339">
        <f t="shared" si="55"/>
        <v>873</v>
      </c>
      <c r="AH100" s="339">
        <f t="shared" si="55"/>
        <v>1027</v>
      </c>
      <c r="AI100" s="339">
        <f t="shared" si="55"/>
        <v>1128</v>
      </c>
      <c r="AJ100" s="339">
        <f t="shared" si="55"/>
        <v>1300</v>
      </c>
      <c r="AK100" s="339">
        <f t="shared" si="55"/>
        <v>1475</v>
      </c>
      <c r="AL100" s="339">
        <f t="shared" si="55"/>
        <v>1636</v>
      </c>
      <c r="AM100" s="340">
        <f t="shared" si="55"/>
        <v>1796</v>
      </c>
      <c r="AN100" s="337"/>
      <c r="AO100" s="337"/>
      <c r="AP100" s="337"/>
      <c r="AQ100" s="337"/>
      <c r="AR100" s="337"/>
      <c r="AS100" s="341"/>
    </row>
    <row r="101" spans="1:45" s="342" customFormat="1" outlineLevel="1" x14ac:dyDescent="0.35">
      <c r="A101" s="343"/>
      <c r="B101" s="344"/>
      <c r="C101" s="345"/>
      <c r="D101" s="345"/>
      <c r="E101" s="345"/>
      <c r="F101" s="345"/>
      <c r="G101" s="345"/>
      <c r="H101" s="345"/>
      <c r="I101" s="345"/>
      <c r="J101" s="345"/>
      <c r="K101" s="345"/>
      <c r="L101" s="345"/>
      <c r="M101" s="345"/>
      <c r="N101" s="345"/>
      <c r="O101" s="346"/>
      <c r="P101" s="345"/>
      <c r="Q101" s="345"/>
      <c r="R101" s="345"/>
      <c r="S101" s="345"/>
      <c r="T101" s="345"/>
      <c r="U101" s="345"/>
      <c r="V101" s="345"/>
      <c r="W101" s="345"/>
      <c r="X101" s="345"/>
      <c r="Y101" s="345"/>
      <c r="Z101" s="347"/>
      <c r="AA101" s="347"/>
      <c r="AB101" s="347"/>
      <c r="AC101" s="347"/>
      <c r="AD101" s="347"/>
      <c r="AE101" s="347"/>
      <c r="AF101" s="347"/>
      <c r="AG101" s="347"/>
      <c r="AH101" s="347"/>
      <c r="AI101" s="347"/>
      <c r="AJ101" s="347"/>
      <c r="AK101" s="347"/>
      <c r="AL101" s="347"/>
      <c r="AM101" s="348"/>
      <c r="AN101" s="347"/>
      <c r="AO101" s="347"/>
      <c r="AP101" s="347"/>
      <c r="AQ101" s="347"/>
      <c r="AR101" s="347"/>
      <c r="AS101" s="341"/>
    </row>
    <row r="102" spans="1:45" s="332" customFormat="1" outlineLevel="1" x14ac:dyDescent="0.35">
      <c r="A102" s="349" t="s">
        <v>712</v>
      </c>
      <c r="B102" s="325"/>
      <c r="C102" s="326"/>
      <c r="D102" s="326"/>
      <c r="E102" s="326"/>
      <c r="F102" s="326"/>
      <c r="G102" s="331">
        <f>AI102+127</f>
        <v>1315</v>
      </c>
      <c r="H102" s="326">
        <f>AJ102</f>
        <v>1330</v>
      </c>
      <c r="I102" s="331">
        <f>K102-177</f>
        <v>1481</v>
      </c>
      <c r="J102" s="326">
        <f>AK102</f>
        <v>1534</v>
      </c>
      <c r="K102" s="350">
        <v>1658</v>
      </c>
      <c r="L102" s="326">
        <f>AL102</f>
        <v>1681</v>
      </c>
      <c r="M102" s="350">
        <v>1779</v>
      </c>
      <c r="N102" s="326">
        <f>AM102</f>
        <v>1921</v>
      </c>
      <c r="O102" s="351">
        <v>2154</v>
      </c>
      <c r="P102" s="326"/>
      <c r="Q102" s="326"/>
      <c r="R102" s="326"/>
      <c r="S102" s="326"/>
      <c r="T102" s="326"/>
      <c r="U102" s="326"/>
      <c r="V102" s="326"/>
      <c r="W102" s="326"/>
      <c r="X102" s="326"/>
      <c r="Y102" s="326"/>
      <c r="Z102" s="328"/>
      <c r="AA102" s="328"/>
      <c r="AB102" s="328"/>
      <c r="AC102" s="328"/>
      <c r="AD102" s="329">
        <v>558</v>
      </c>
      <c r="AE102" s="329">
        <v>673</v>
      </c>
      <c r="AF102" s="329">
        <v>794</v>
      </c>
      <c r="AG102" s="329">
        <v>927</v>
      </c>
      <c r="AH102" s="329">
        <v>1046</v>
      </c>
      <c r="AI102" s="329">
        <v>1188</v>
      </c>
      <c r="AJ102" s="329">
        <v>1330</v>
      </c>
      <c r="AK102" s="329">
        <v>1534</v>
      </c>
      <c r="AL102" s="329">
        <v>1681</v>
      </c>
      <c r="AM102" s="330">
        <v>1921</v>
      </c>
      <c r="AN102" s="328"/>
      <c r="AO102" s="328"/>
      <c r="AP102" s="328"/>
      <c r="AQ102" s="328"/>
      <c r="AR102" s="328"/>
      <c r="AS102" s="331"/>
    </row>
    <row r="103" spans="1:45" s="332" customFormat="1" outlineLevel="1" x14ac:dyDescent="0.35">
      <c r="A103" s="352"/>
      <c r="B103" s="325"/>
      <c r="C103" s="326"/>
      <c r="D103" s="326"/>
      <c r="E103" s="326"/>
      <c r="F103" s="326"/>
      <c r="G103" s="326"/>
      <c r="H103" s="326"/>
      <c r="I103" s="326"/>
      <c r="J103" s="326"/>
      <c r="K103" s="326"/>
      <c r="L103" s="326"/>
      <c r="M103" s="326"/>
      <c r="N103" s="326"/>
      <c r="O103" s="327"/>
      <c r="P103" s="326"/>
      <c r="Q103" s="326"/>
      <c r="R103" s="326"/>
      <c r="S103" s="326"/>
      <c r="T103" s="326"/>
      <c r="U103" s="326"/>
      <c r="V103" s="326"/>
      <c r="W103" s="326"/>
      <c r="X103" s="326"/>
      <c r="Y103" s="326"/>
      <c r="Z103" s="328"/>
      <c r="AA103" s="328"/>
      <c r="AB103" s="328"/>
      <c r="AC103" s="328"/>
      <c r="AD103" s="328"/>
      <c r="AE103" s="328"/>
      <c r="AF103" s="328"/>
      <c r="AG103" s="328"/>
      <c r="AH103" s="328"/>
      <c r="AI103" s="328"/>
      <c r="AJ103" s="328"/>
      <c r="AK103" s="328"/>
      <c r="AL103" s="328"/>
      <c r="AM103" s="353"/>
      <c r="AN103" s="328"/>
      <c r="AO103" s="328"/>
      <c r="AP103" s="328"/>
      <c r="AQ103" s="328"/>
      <c r="AR103" s="328"/>
      <c r="AS103" s="331"/>
    </row>
    <row r="104" spans="1:45" s="167" customFormat="1" outlineLevel="1" x14ac:dyDescent="0.35">
      <c r="A104" s="314" t="s">
        <v>713</v>
      </c>
      <c r="B104" s="315"/>
      <c r="C104" s="164"/>
      <c r="D104" s="164"/>
      <c r="E104" s="164"/>
      <c r="F104" s="164"/>
      <c r="G104" s="164"/>
      <c r="H104" s="164"/>
      <c r="I104" s="164"/>
      <c r="J104" s="164"/>
      <c r="K104" s="164"/>
      <c r="L104" s="164"/>
      <c r="M104" s="164"/>
      <c r="N104" s="164"/>
      <c r="O104" s="165"/>
      <c r="P104" s="164"/>
      <c r="Q104" s="164"/>
      <c r="R104" s="164"/>
      <c r="S104" s="164"/>
      <c r="T104" s="164"/>
      <c r="U104" s="164"/>
      <c r="V104" s="164"/>
      <c r="W104" s="164"/>
      <c r="X104" s="164"/>
      <c r="Y104" s="164"/>
      <c r="Z104" s="250"/>
      <c r="AA104" s="250"/>
      <c r="AB104" s="250"/>
      <c r="AC104" s="250"/>
      <c r="AD104" s="251">
        <v>14.53</v>
      </c>
      <c r="AE104" s="251">
        <v>17.681999999999999</v>
      </c>
      <c r="AF104" s="251">
        <v>21.289000000000001</v>
      </c>
      <c r="AG104" s="251">
        <v>52.185000000000002</v>
      </c>
      <c r="AH104" s="251">
        <v>59.817</v>
      </c>
      <c r="AI104" s="251">
        <v>73.325000000000003</v>
      </c>
      <c r="AJ104" s="251">
        <v>85.438000000000002</v>
      </c>
      <c r="AK104" s="251">
        <v>96.745999999999995</v>
      </c>
      <c r="AL104" s="251">
        <v>110.47</v>
      </c>
      <c r="AM104" s="252">
        <v>131.29599999999999</v>
      </c>
      <c r="AN104" s="250"/>
      <c r="AO104" s="250"/>
      <c r="AP104" s="250"/>
      <c r="AQ104" s="250"/>
      <c r="AR104" s="250"/>
      <c r="AS104" s="166"/>
    </row>
    <row r="105" spans="1:45" s="167" customFormat="1" outlineLevel="1" x14ac:dyDescent="0.35">
      <c r="A105" s="314" t="s">
        <v>714</v>
      </c>
      <c r="B105" s="315"/>
      <c r="C105" s="164"/>
      <c r="D105" s="164"/>
      <c r="E105" s="164"/>
      <c r="F105" s="164"/>
      <c r="G105" s="164"/>
      <c r="H105" s="164"/>
      <c r="I105" s="164"/>
      <c r="J105" s="164"/>
      <c r="K105" s="164"/>
      <c r="L105" s="164"/>
      <c r="M105" s="164"/>
      <c r="N105" s="164"/>
      <c r="O105" s="165"/>
      <c r="P105" s="164"/>
      <c r="Q105" s="164"/>
      <c r="R105" s="164"/>
      <c r="S105" s="164"/>
      <c r="T105" s="164"/>
      <c r="U105" s="164"/>
      <c r="V105" s="164"/>
      <c r="W105" s="164"/>
      <c r="X105" s="164"/>
      <c r="Y105" s="164"/>
      <c r="Z105" s="250"/>
      <c r="AA105" s="250"/>
      <c r="AB105" s="250"/>
      <c r="AC105" s="250"/>
      <c r="AD105" s="251">
        <v>3.69</v>
      </c>
      <c r="AE105" s="251">
        <v>4.617</v>
      </c>
      <c r="AF105" s="251">
        <v>5.2</v>
      </c>
      <c r="AG105" s="251">
        <v>6.4669999999999996</v>
      </c>
      <c r="AH105" s="251">
        <v>7.2309999999999999</v>
      </c>
      <c r="AI105" s="251">
        <v>8.7629999999999999</v>
      </c>
      <c r="AJ105" s="251">
        <v>10.696999999999999</v>
      </c>
      <c r="AK105" s="251">
        <v>12.23</v>
      </c>
      <c r="AL105" s="251">
        <v>14.862</v>
      </c>
      <c r="AM105" s="252">
        <v>16.204999999999998</v>
      </c>
      <c r="AN105" s="250"/>
      <c r="AO105" s="250"/>
      <c r="AP105" s="250"/>
      <c r="AQ105" s="250"/>
      <c r="AR105" s="250"/>
      <c r="AS105" s="166"/>
    </row>
    <row r="106" spans="1:45" s="167" customFormat="1" outlineLevel="1" x14ac:dyDescent="0.35">
      <c r="A106" s="314" t="s">
        <v>715</v>
      </c>
      <c r="B106" s="315"/>
      <c r="C106" s="164"/>
      <c r="D106" s="164"/>
      <c r="E106" s="164"/>
      <c r="F106" s="164"/>
      <c r="G106" s="164"/>
      <c r="H106" s="164"/>
      <c r="I106" s="164"/>
      <c r="J106" s="164"/>
      <c r="K106" s="164"/>
      <c r="L106" s="164"/>
      <c r="M106" s="164"/>
      <c r="N106" s="164"/>
      <c r="O106" s="165"/>
      <c r="P106" s="164"/>
      <c r="Q106" s="164"/>
      <c r="R106" s="164"/>
      <c r="S106" s="164"/>
      <c r="T106" s="164"/>
      <c r="U106" s="164"/>
      <c r="V106" s="164"/>
      <c r="W106" s="164"/>
      <c r="X106" s="164"/>
      <c r="Y106" s="164"/>
      <c r="Z106" s="250"/>
      <c r="AA106" s="250"/>
      <c r="AB106" s="250"/>
      <c r="AC106" s="250"/>
      <c r="AD106" s="251">
        <v>0.36699999999999999</v>
      </c>
      <c r="AE106" s="251">
        <v>0.46200000000000002</v>
      </c>
      <c r="AF106" s="251">
        <v>0.55400000000000005</v>
      </c>
      <c r="AG106" s="251">
        <v>0.69199999999999995</v>
      </c>
      <c r="AH106" s="251">
        <v>0.81299999999999994</v>
      </c>
      <c r="AI106" s="251">
        <v>0.997</v>
      </c>
      <c r="AJ106" s="251">
        <v>1.456</v>
      </c>
      <c r="AK106" s="251">
        <v>2.2210000000000001</v>
      </c>
      <c r="AL106" s="251">
        <v>2.484</v>
      </c>
      <c r="AM106" s="252">
        <v>2.8130000000000002</v>
      </c>
      <c r="AN106" s="250"/>
      <c r="AO106" s="250"/>
      <c r="AP106" s="250"/>
      <c r="AQ106" s="250"/>
      <c r="AR106" s="250"/>
      <c r="AS106" s="166"/>
    </row>
    <row r="107" spans="1:45" s="167" customFormat="1" outlineLevel="1" x14ac:dyDescent="0.35">
      <c r="A107" s="314" t="s">
        <v>716</v>
      </c>
      <c r="B107" s="315"/>
      <c r="C107" s="164"/>
      <c r="D107" s="164"/>
      <c r="E107" s="164"/>
      <c r="F107" s="164"/>
      <c r="G107" s="164"/>
      <c r="H107" s="164"/>
      <c r="I107" s="164"/>
      <c r="J107" s="164"/>
      <c r="K107" s="164"/>
      <c r="L107" s="164"/>
      <c r="M107" s="164"/>
      <c r="N107" s="164"/>
      <c r="O107" s="165"/>
      <c r="P107" s="164"/>
      <c r="Q107" s="164"/>
      <c r="R107" s="164"/>
      <c r="S107" s="164"/>
      <c r="T107" s="164"/>
      <c r="U107" s="164"/>
      <c r="V107" s="164"/>
      <c r="W107" s="164"/>
      <c r="X107" s="164"/>
      <c r="Y107" s="164"/>
      <c r="Z107" s="250"/>
      <c r="AA107" s="250"/>
      <c r="AB107" s="250"/>
      <c r="AC107" s="250"/>
      <c r="AD107" s="251">
        <v>0.73499999999999999</v>
      </c>
      <c r="AE107" s="251">
        <v>0</v>
      </c>
      <c r="AF107" s="251">
        <v>5.0000000000000001E-3</v>
      </c>
      <c r="AG107" s="251">
        <v>0.57199999999999995</v>
      </c>
      <c r="AH107" s="251">
        <v>1.07</v>
      </c>
      <c r="AI107" s="251">
        <v>1.7589999999999999</v>
      </c>
      <c r="AJ107" s="251">
        <v>1.732</v>
      </c>
      <c r="AK107" s="251">
        <v>1.958</v>
      </c>
      <c r="AL107" s="251">
        <v>2.2669999999999999</v>
      </c>
      <c r="AM107" s="252">
        <v>2.5409999999999999</v>
      </c>
      <c r="AN107" s="250"/>
      <c r="AO107" s="250"/>
      <c r="AP107" s="250"/>
      <c r="AQ107" s="250"/>
      <c r="AR107" s="250"/>
      <c r="AS107" s="166"/>
    </row>
    <row r="108" spans="1:45" s="262" customFormat="1" outlineLevel="1" x14ac:dyDescent="0.35">
      <c r="A108" s="354" t="s">
        <v>717</v>
      </c>
      <c r="B108" s="355"/>
      <c r="C108" s="255"/>
      <c r="D108" s="255"/>
      <c r="E108" s="255"/>
      <c r="F108" s="255"/>
      <c r="G108" s="255"/>
      <c r="H108" s="255"/>
      <c r="I108" s="255"/>
      <c r="J108" s="255"/>
      <c r="K108" s="255"/>
      <c r="L108" s="255"/>
      <c r="M108" s="255"/>
      <c r="N108" s="255"/>
      <c r="O108" s="356"/>
      <c r="P108" s="255"/>
      <c r="Q108" s="255"/>
      <c r="R108" s="255"/>
      <c r="S108" s="255"/>
      <c r="T108" s="255"/>
      <c r="U108" s="255"/>
      <c r="V108" s="255"/>
      <c r="W108" s="255"/>
      <c r="X108" s="255"/>
      <c r="Y108" s="255"/>
      <c r="Z108" s="258"/>
      <c r="AA108" s="258"/>
      <c r="AB108" s="258"/>
      <c r="AC108" s="258"/>
      <c r="AD108" s="258">
        <f>SUM(AD104:AD107)</f>
        <v>19.321999999999999</v>
      </c>
      <c r="AE108" s="259">
        <f>SUM(AE104:AE107)</f>
        <v>22.760999999999999</v>
      </c>
      <c r="AF108" s="259">
        <f>SUM(AF104:AF107)</f>
        <v>27.047999999999998</v>
      </c>
      <c r="AG108" s="259">
        <f>SUM(AG104:AG107)</f>
        <v>59.916000000000004</v>
      </c>
      <c r="AH108" s="259">
        <f>SUM(AH104:AH107)</f>
        <v>68.930999999999997</v>
      </c>
      <c r="AI108" s="357">
        <v>84.843999999999994</v>
      </c>
      <c r="AJ108" s="259">
        <f>SUM(AJ104:AJ107)</f>
        <v>99.323000000000008</v>
      </c>
      <c r="AK108" s="259">
        <f>SUM(AK104:AK107)</f>
        <v>113.155</v>
      </c>
      <c r="AL108" s="259">
        <f>SUM(AL104:AL107)</f>
        <v>130.083</v>
      </c>
      <c r="AM108" s="358">
        <f>SUM(AM104:AM107)</f>
        <v>152.85499999999996</v>
      </c>
      <c r="AN108" s="258"/>
      <c r="AO108" s="258"/>
      <c r="AP108" s="258"/>
      <c r="AQ108" s="258"/>
      <c r="AR108" s="258"/>
      <c r="AS108" s="261"/>
    </row>
    <row r="109" spans="1:45" s="167" customFormat="1" x14ac:dyDescent="0.35">
      <c r="A109" s="322"/>
      <c r="B109" s="315"/>
      <c r="C109" s="164"/>
      <c r="D109" s="164"/>
      <c r="E109" s="164"/>
      <c r="F109" s="164"/>
      <c r="G109" s="164"/>
      <c r="H109" s="164"/>
      <c r="I109" s="164"/>
      <c r="J109" s="164"/>
      <c r="K109" s="164"/>
      <c r="L109" s="164"/>
      <c r="M109" s="164"/>
      <c r="N109" s="164"/>
      <c r="O109" s="165"/>
      <c r="P109" s="164"/>
      <c r="Q109" s="164"/>
      <c r="R109" s="164"/>
      <c r="S109" s="164"/>
      <c r="T109" s="164"/>
      <c r="U109" s="164"/>
      <c r="V109" s="164"/>
      <c r="W109" s="164"/>
      <c r="X109" s="164"/>
      <c r="Y109" s="164"/>
      <c r="Z109" s="250"/>
      <c r="AA109" s="250"/>
      <c r="AB109" s="250"/>
      <c r="AC109" s="250"/>
      <c r="AD109" s="250"/>
      <c r="AE109" s="250"/>
      <c r="AF109" s="250"/>
      <c r="AG109" s="250"/>
      <c r="AH109" s="250"/>
      <c r="AI109" s="250"/>
      <c r="AJ109" s="250"/>
      <c r="AK109" s="250"/>
      <c r="AL109" s="250"/>
      <c r="AM109" s="264"/>
      <c r="AN109" s="250"/>
      <c r="AO109" s="250"/>
      <c r="AP109" s="250"/>
      <c r="AQ109" s="250"/>
      <c r="AR109" s="250"/>
      <c r="AS109" s="166"/>
    </row>
    <row r="110" spans="1:45" s="207" customFormat="1" x14ac:dyDescent="0.35">
      <c r="A110" s="203" t="s">
        <v>718</v>
      </c>
      <c r="B110" s="204"/>
      <c r="C110" s="204"/>
      <c r="D110" s="204"/>
      <c r="E110" s="204"/>
      <c r="F110" s="204"/>
      <c r="G110" s="204"/>
      <c r="H110" s="204"/>
      <c r="I110" s="204"/>
      <c r="J110" s="204"/>
      <c r="K110" s="204"/>
      <c r="L110" s="204"/>
      <c r="M110" s="204"/>
      <c r="N110" s="204"/>
      <c r="O110" s="205"/>
      <c r="P110" s="204"/>
      <c r="Q110" s="204"/>
      <c r="R110" s="204"/>
      <c r="S110" s="204"/>
      <c r="T110" s="204"/>
      <c r="U110" s="204"/>
      <c r="V110" s="204"/>
      <c r="W110" s="204"/>
      <c r="X110" s="204"/>
      <c r="Y110" s="204"/>
      <c r="Z110" s="204"/>
      <c r="AA110" s="204"/>
      <c r="AB110" s="204"/>
      <c r="AC110" s="204"/>
      <c r="AD110" s="204"/>
      <c r="AE110" s="204"/>
      <c r="AF110" s="204"/>
      <c r="AG110" s="204"/>
      <c r="AH110" s="204"/>
      <c r="AI110" s="204"/>
      <c r="AJ110" s="204"/>
      <c r="AK110" s="204"/>
      <c r="AL110" s="204"/>
      <c r="AM110" s="205"/>
      <c r="AN110" s="204"/>
      <c r="AO110" s="204"/>
      <c r="AP110" s="204"/>
      <c r="AQ110" s="204"/>
      <c r="AR110" s="204"/>
      <c r="AS110" s="206"/>
    </row>
    <row r="111" spans="1:45" s="167" customFormat="1" outlineLevel="1" x14ac:dyDescent="0.35">
      <c r="A111" s="359" t="s">
        <v>719</v>
      </c>
      <c r="B111" s="315"/>
      <c r="C111" s="164">
        <f t="shared" ref="C111:R112" si="56">C316</f>
        <v>0.82399999999999995</v>
      </c>
      <c r="D111" s="164">
        <f t="shared" si="56"/>
        <v>0.81700000000000006</v>
      </c>
      <c r="E111" s="164">
        <f t="shared" si="56"/>
        <v>0.745</v>
      </c>
      <c r="F111" s="164">
        <f t="shared" si="56"/>
        <v>0.71499999999999997</v>
      </c>
      <c r="G111" s="164">
        <f t="shared" si="56"/>
        <v>0.64600000000000002</v>
      </c>
      <c r="H111" s="164">
        <f t="shared" si="56"/>
        <v>0.62899999999999989</v>
      </c>
      <c r="I111" s="164">
        <f t="shared" si="56"/>
        <v>0.58199999999999996</v>
      </c>
      <c r="J111" s="164">
        <f t="shared" si="56"/>
        <v>0.79999999999999993</v>
      </c>
      <c r="K111" s="164">
        <f t="shared" si="56"/>
        <v>1.1739999999999999</v>
      </c>
      <c r="L111" s="164">
        <f t="shared" si="56"/>
        <v>1.1579999999999999</v>
      </c>
      <c r="M111" s="164">
        <f t="shared" si="56"/>
        <v>1.1819999999999999</v>
      </c>
      <c r="N111" s="164">
        <f t="shared" si="56"/>
        <v>1.1910000000000003</v>
      </c>
      <c r="O111" s="165">
        <f t="shared" si="56"/>
        <v>1.155</v>
      </c>
      <c r="P111" s="164">
        <f t="shared" si="56"/>
        <v>1.1074224657534246</v>
      </c>
      <c r="Q111" s="164">
        <f t="shared" si="56"/>
        <v>1.1832886701100382</v>
      </c>
      <c r="R111" s="164">
        <f t="shared" si="56"/>
        <v>1.2228101493294263</v>
      </c>
      <c r="S111" s="164"/>
      <c r="T111" s="164"/>
      <c r="U111" s="164"/>
      <c r="V111" s="164"/>
      <c r="W111" s="164"/>
      <c r="X111" s="164"/>
      <c r="Y111" s="164"/>
      <c r="Z111" s="250"/>
      <c r="AA111" s="250"/>
      <c r="AB111" s="250"/>
      <c r="AC111" s="250"/>
      <c r="AD111" s="250">
        <f t="shared" ref="AD111:AR112" si="57">AD316</f>
        <v>1.0680000000000001</v>
      </c>
      <c r="AE111" s="250">
        <f t="shared" si="57"/>
        <v>1.5649999999999999</v>
      </c>
      <c r="AF111" s="250">
        <f t="shared" si="57"/>
        <v>1.794</v>
      </c>
      <c r="AG111" s="250">
        <f t="shared" si="57"/>
        <v>1.796</v>
      </c>
      <c r="AH111" s="250">
        <f t="shared" si="57"/>
        <v>1.641</v>
      </c>
      <c r="AI111" s="250">
        <f t="shared" si="57"/>
        <v>1.46</v>
      </c>
      <c r="AJ111" s="250">
        <f t="shared" si="57"/>
        <v>1.2749999999999999</v>
      </c>
      <c r="AK111" s="250">
        <f t="shared" si="57"/>
        <v>1.3819999999999999</v>
      </c>
      <c r="AL111" s="250">
        <f t="shared" si="57"/>
        <v>2.3319999999999999</v>
      </c>
      <c r="AM111" s="264">
        <f t="shared" si="57"/>
        <v>2.3730000000000002</v>
      </c>
      <c r="AN111" s="250">
        <f t="shared" si="57"/>
        <v>2.2624224657534246</v>
      </c>
      <c r="AO111" s="250">
        <f t="shared" si="57"/>
        <v>2.4060988194394648</v>
      </c>
      <c r="AP111" s="250">
        <f t="shared" si="57"/>
        <v>2.556495742961423</v>
      </c>
      <c r="AQ111" s="250">
        <f t="shared" si="57"/>
        <v>2.7291965943691383</v>
      </c>
      <c r="AR111" s="250">
        <f t="shared" si="57"/>
        <v>2.8673572754953107</v>
      </c>
      <c r="AS111" s="166"/>
    </row>
    <row r="112" spans="1:45" s="167" customFormat="1" outlineLevel="1" x14ac:dyDescent="0.35">
      <c r="A112" s="360" t="s">
        <v>692</v>
      </c>
      <c r="B112" s="361"/>
      <c r="C112" s="362">
        <f t="shared" si="56"/>
        <v>0</v>
      </c>
      <c r="D112" s="362">
        <f t="shared" si="56"/>
        <v>0</v>
      </c>
      <c r="E112" s="362">
        <f t="shared" si="56"/>
        <v>0</v>
      </c>
      <c r="F112" s="362">
        <f t="shared" si="56"/>
        <v>0</v>
      </c>
      <c r="G112" s="362">
        <f t="shared" si="56"/>
        <v>0</v>
      </c>
      <c r="H112" s="362">
        <f t="shared" si="56"/>
        <v>0</v>
      </c>
      <c r="I112" s="362">
        <f t="shared" si="56"/>
        <v>0.95699999999999996</v>
      </c>
      <c r="J112" s="362">
        <f t="shared" si="56"/>
        <v>1.0129999999999999</v>
      </c>
      <c r="K112" s="362">
        <f t="shared" si="56"/>
        <v>1.1259999999999999</v>
      </c>
      <c r="L112" s="362">
        <f t="shared" si="56"/>
        <v>1.137</v>
      </c>
      <c r="M112" s="362">
        <f t="shared" si="56"/>
        <v>1.206</v>
      </c>
      <c r="N112" s="362">
        <f t="shared" si="56"/>
        <v>0.38800000000000012</v>
      </c>
      <c r="O112" s="363">
        <f t="shared" si="56"/>
        <v>1.0589999999999999</v>
      </c>
      <c r="P112" s="362">
        <f t="shared" si="56"/>
        <v>0.58009260273972607</v>
      </c>
      <c r="Q112" s="362">
        <f t="shared" si="56"/>
        <v>0.62234697841143027</v>
      </c>
      <c r="R112" s="362">
        <f t="shared" si="56"/>
        <v>0.67769505595683965</v>
      </c>
      <c r="S112" s="362"/>
      <c r="T112" s="362"/>
      <c r="U112" s="362"/>
      <c r="V112" s="362"/>
      <c r="W112" s="362"/>
      <c r="X112" s="362"/>
      <c r="Y112" s="362"/>
      <c r="Z112" s="364"/>
      <c r="AA112" s="364"/>
      <c r="AB112" s="364"/>
      <c r="AC112" s="364"/>
      <c r="AD112" s="364">
        <f t="shared" si="57"/>
        <v>0</v>
      </c>
      <c r="AE112" s="364">
        <f t="shared" si="57"/>
        <v>0</v>
      </c>
      <c r="AF112" s="364">
        <f t="shared" si="57"/>
        <v>0</v>
      </c>
      <c r="AG112" s="364">
        <f t="shared" si="57"/>
        <v>0</v>
      </c>
      <c r="AH112" s="364">
        <f t="shared" si="57"/>
        <v>0</v>
      </c>
      <c r="AI112" s="364">
        <f t="shared" si="57"/>
        <v>0</v>
      </c>
      <c r="AJ112" s="364">
        <f t="shared" si="57"/>
        <v>0</v>
      </c>
      <c r="AK112" s="364">
        <f t="shared" si="57"/>
        <v>1.97</v>
      </c>
      <c r="AL112" s="364">
        <f t="shared" si="57"/>
        <v>2.2629999999999999</v>
      </c>
      <c r="AM112" s="365">
        <f t="shared" si="57"/>
        <v>1.5940000000000001</v>
      </c>
      <c r="AN112" s="364">
        <f t="shared" si="57"/>
        <v>1.6390926027397259</v>
      </c>
      <c r="AO112" s="364">
        <f t="shared" si="57"/>
        <v>1.3000420343682699</v>
      </c>
      <c r="AP112" s="364">
        <f t="shared" si="57"/>
        <v>1.4268563500394633</v>
      </c>
      <c r="AQ112" s="364">
        <f t="shared" si="57"/>
        <v>1.5932811524181927</v>
      </c>
      <c r="AR112" s="364">
        <f t="shared" si="57"/>
        <v>1.7350543950305655</v>
      </c>
      <c r="AS112" s="166"/>
    </row>
    <row r="113" spans="1:45" s="167" customFormat="1" outlineLevel="1" x14ac:dyDescent="0.35">
      <c r="A113" s="303" t="s">
        <v>720</v>
      </c>
      <c r="B113" s="315"/>
      <c r="C113" s="164">
        <f t="shared" ref="C113:R113" si="58">SUM(C111,C112)</f>
        <v>0.82399999999999995</v>
      </c>
      <c r="D113" s="164">
        <f t="shared" si="58"/>
        <v>0.81700000000000006</v>
      </c>
      <c r="E113" s="164">
        <f t="shared" si="58"/>
        <v>0.745</v>
      </c>
      <c r="F113" s="164">
        <f t="shared" si="58"/>
        <v>0.71499999999999997</v>
      </c>
      <c r="G113" s="164">
        <f t="shared" si="58"/>
        <v>0.64600000000000002</v>
      </c>
      <c r="H113" s="164">
        <f t="shared" si="58"/>
        <v>0.62899999999999989</v>
      </c>
      <c r="I113" s="164">
        <f t="shared" si="58"/>
        <v>1.5389999999999999</v>
      </c>
      <c r="J113" s="164">
        <f t="shared" si="58"/>
        <v>1.8129999999999997</v>
      </c>
      <c r="K113" s="164">
        <f t="shared" si="58"/>
        <v>2.2999999999999998</v>
      </c>
      <c r="L113" s="164">
        <f t="shared" si="58"/>
        <v>2.2949999999999999</v>
      </c>
      <c r="M113" s="164">
        <f t="shared" si="58"/>
        <v>2.3879999999999999</v>
      </c>
      <c r="N113" s="164">
        <f t="shared" si="58"/>
        <v>1.5790000000000004</v>
      </c>
      <c r="O113" s="165">
        <f t="shared" si="58"/>
        <v>2.214</v>
      </c>
      <c r="P113" s="164">
        <f t="shared" si="58"/>
        <v>1.6875150684931506</v>
      </c>
      <c r="Q113" s="164">
        <f t="shared" si="58"/>
        <v>1.8056356485214686</v>
      </c>
      <c r="R113" s="164">
        <f t="shared" si="58"/>
        <v>1.9005052052862661</v>
      </c>
      <c r="S113" s="164"/>
      <c r="T113" s="164"/>
      <c r="U113" s="164"/>
      <c r="V113" s="164"/>
      <c r="W113" s="164"/>
      <c r="X113" s="164"/>
      <c r="Y113" s="164"/>
      <c r="Z113" s="250"/>
      <c r="AA113" s="250"/>
      <c r="AB113" s="250"/>
      <c r="AC113" s="250"/>
      <c r="AD113" s="250">
        <f t="shared" ref="AD113:AR113" si="59">SUM(AD111,AD112)</f>
        <v>1.0680000000000001</v>
      </c>
      <c r="AE113" s="250">
        <f t="shared" si="59"/>
        <v>1.5649999999999999</v>
      </c>
      <c r="AF113" s="250">
        <f t="shared" si="59"/>
        <v>1.794</v>
      </c>
      <c r="AG113" s="250">
        <f t="shared" si="59"/>
        <v>1.796</v>
      </c>
      <c r="AH113" s="250">
        <f t="shared" si="59"/>
        <v>1.641</v>
      </c>
      <c r="AI113" s="250">
        <f t="shared" si="59"/>
        <v>1.46</v>
      </c>
      <c r="AJ113" s="250">
        <f t="shared" si="59"/>
        <v>1.2749999999999999</v>
      </c>
      <c r="AK113" s="250">
        <f t="shared" si="59"/>
        <v>3.3519999999999999</v>
      </c>
      <c r="AL113" s="250">
        <f t="shared" si="59"/>
        <v>4.5949999999999998</v>
      </c>
      <c r="AM113" s="264">
        <f t="shared" si="59"/>
        <v>3.9670000000000005</v>
      </c>
      <c r="AN113" s="250">
        <f t="shared" si="59"/>
        <v>3.9015150684931506</v>
      </c>
      <c r="AO113" s="250">
        <f t="shared" si="59"/>
        <v>3.7061408538077347</v>
      </c>
      <c r="AP113" s="250">
        <f t="shared" si="59"/>
        <v>3.9833520930008861</v>
      </c>
      <c r="AQ113" s="250">
        <f t="shared" si="59"/>
        <v>4.3224777467873308</v>
      </c>
      <c r="AR113" s="250">
        <f t="shared" si="59"/>
        <v>4.6024116705258766</v>
      </c>
      <c r="AS113" s="166"/>
    </row>
    <row r="114" spans="1:45" s="167" customFormat="1" outlineLevel="1" x14ac:dyDescent="0.35">
      <c r="A114" s="366" t="s">
        <v>721</v>
      </c>
      <c r="B114" s="361"/>
      <c r="C114" s="362">
        <f t="shared" ref="C114:R114" si="60">C318</f>
        <v>0.16500000000000001</v>
      </c>
      <c r="D114" s="362">
        <f t="shared" si="60"/>
        <v>0.20199999999999999</v>
      </c>
      <c r="E114" s="362">
        <f t="shared" si="60"/>
        <v>0.154</v>
      </c>
      <c r="F114" s="362">
        <f t="shared" si="60"/>
        <v>0.14499999999999999</v>
      </c>
      <c r="G114" s="362">
        <f t="shared" si="60"/>
        <v>0.121</v>
      </c>
      <c r="H114" s="362">
        <f t="shared" si="60"/>
        <v>0.124</v>
      </c>
      <c r="I114" s="362">
        <f t="shared" si="60"/>
        <v>6.9000000000000006E-2</v>
      </c>
      <c r="J114" s="362">
        <f t="shared" si="60"/>
        <v>0.16300000000000001</v>
      </c>
      <c r="K114" s="362">
        <f t="shared" si="60"/>
        <v>0.17499999999999999</v>
      </c>
      <c r="L114" s="362">
        <f t="shared" si="60"/>
        <v>0.122</v>
      </c>
      <c r="M114" s="362">
        <f t="shared" si="60"/>
        <v>7.8E-2</v>
      </c>
      <c r="N114" s="362">
        <f t="shared" si="60"/>
        <v>0.48000000000000004</v>
      </c>
      <c r="O114" s="363">
        <f t="shared" si="60"/>
        <v>0.76300000000000001</v>
      </c>
      <c r="P114" s="362">
        <f t="shared" si="60"/>
        <v>0.93909246575342464</v>
      </c>
      <c r="Q114" s="362">
        <f t="shared" si="60"/>
        <v>0.99615231304738383</v>
      </c>
      <c r="R114" s="362">
        <f t="shared" si="60"/>
        <v>1.0218548157501728</v>
      </c>
      <c r="S114" s="362"/>
      <c r="T114" s="362"/>
      <c r="U114" s="362"/>
      <c r="V114" s="362"/>
      <c r="W114" s="362"/>
      <c r="X114" s="362"/>
      <c r="Y114" s="362"/>
      <c r="Z114" s="364"/>
      <c r="AA114" s="364"/>
      <c r="AB114" s="364"/>
      <c r="AC114" s="364"/>
      <c r="AD114" s="364">
        <f t="shared" ref="AD114:AR114" si="61">AD318</f>
        <v>9.8000000000000004E-2</v>
      </c>
      <c r="AE114" s="364">
        <f t="shared" si="61"/>
        <v>0.21299999999999999</v>
      </c>
      <c r="AF114" s="364">
        <f t="shared" si="61"/>
        <v>0.35299999999999998</v>
      </c>
      <c r="AG114" s="364">
        <f t="shared" si="61"/>
        <v>0.32700000000000001</v>
      </c>
      <c r="AH114" s="364">
        <f t="shared" si="61"/>
        <v>0.36699999999999999</v>
      </c>
      <c r="AI114" s="364">
        <f t="shared" si="61"/>
        <v>0.29899999999999999</v>
      </c>
      <c r="AJ114" s="364">
        <f t="shared" si="61"/>
        <v>0.245</v>
      </c>
      <c r="AK114" s="364">
        <f t="shared" si="61"/>
        <v>0.23200000000000001</v>
      </c>
      <c r="AL114" s="364">
        <f t="shared" si="61"/>
        <v>0.29699999999999999</v>
      </c>
      <c r="AM114" s="365">
        <f t="shared" si="61"/>
        <v>0.55800000000000005</v>
      </c>
      <c r="AN114" s="364">
        <f t="shared" si="61"/>
        <v>1.7020924657534247</v>
      </c>
      <c r="AO114" s="364">
        <f t="shared" si="61"/>
        <v>2.0180071287975565</v>
      </c>
      <c r="AP114" s="364">
        <f t="shared" si="61"/>
        <v>2.121975101362255</v>
      </c>
      <c r="AQ114" s="364">
        <f t="shared" si="61"/>
        <v>2.2364813260216914</v>
      </c>
      <c r="AR114" s="364">
        <f t="shared" si="61"/>
        <v>2.3223609945162687</v>
      </c>
      <c r="AS114" s="166"/>
    </row>
    <row r="115" spans="1:45" s="262" customFormat="1" outlineLevel="1" x14ac:dyDescent="0.35">
      <c r="A115" s="367" t="s">
        <v>722</v>
      </c>
      <c r="B115" s="368"/>
      <c r="C115" s="307">
        <f t="shared" ref="C115:R115" si="62">SUM(C113,C114)</f>
        <v>0.98899999999999999</v>
      </c>
      <c r="D115" s="307">
        <f t="shared" si="62"/>
        <v>1.0190000000000001</v>
      </c>
      <c r="E115" s="307">
        <f t="shared" si="62"/>
        <v>0.89900000000000002</v>
      </c>
      <c r="F115" s="307">
        <f t="shared" si="62"/>
        <v>0.86</v>
      </c>
      <c r="G115" s="307">
        <f t="shared" si="62"/>
        <v>0.76700000000000002</v>
      </c>
      <c r="H115" s="307">
        <f t="shared" si="62"/>
        <v>0.75299999999999989</v>
      </c>
      <c r="I115" s="307">
        <f t="shared" si="62"/>
        <v>1.6079999999999999</v>
      </c>
      <c r="J115" s="307">
        <f t="shared" si="62"/>
        <v>1.9759999999999998</v>
      </c>
      <c r="K115" s="307">
        <f t="shared" si="62"/>
        <v>2.4749999999999996</v>
      </c>
      <c r="L115" s="307">
        <f t="shared" si="62"/>
        <v>2.4169999999999998</v>
      </c>
      <c r="M115" s="307">
        <f t="shared" si="62"/>
        <v>2.4659999999999997</v>
      </c>
      <c r="N115" s="307">
        <f t="shared" si="62"/>
        <v>2.0590000000000006</v>
      </c>
      <c r="O115" s="308">
        <f t="shared" si="62"/>
        <v>2.9769999999999999</v>
      </c>
      <c r="P115" s="307">
        <f t="shared" si="62"/>
        <v>2.6266075342465753</v>
      </c>
      <c r="Q115" s="307">
        <f t="shared" si="62"/>
        <v>2.8017879615688526</v>
      </c>
      <c r="R115" s="307">
        <f t="shared" si="62"/>
        <v>2.9223600210364387</v>
      </c>
      <c r="S115" s="307"/>
      <c r="T115" s="307"/>
      <c r="U115" s="307"/>
      <c r="V115" s="307"/>
      <c r="W115" s="307"/>
      <c r="X115" s="307"/>
      <c r="Y115" s="307"/>
      <c r="Z115" s="309"/>
      <c r="AA115" s="309"/>
      <c r="AB115" s="309"/>
      <c r="AC115" s="309"/>
      <c r="AD115" s="309">
        <f t="shared" ref="AD115:AR115" si="63">SUM(AD113,AD114)</f>
        <v>1.1660000000000001</v>
      </c>
      <c r="AE115" s="309">
        <f t="shared" si="63"/>
        <v>1.778</v>
      </c>
      <c r="AF115" s="309">
        <f t="shared" si="63"/>
        <v>2.1470000000000002</v>
      </c>
      <c r="AG115" s="309">
        <f t="shared" si="63"/>
        <v>2.1230000000000002</v>
      </c>
      <c r="AH115" s="309">
        <f t="shared" si="63"/>
        <v>2.008</v>
      </c>
      <c r="AI115" s="309">
        <f t="shared" si="63"/>
        <v>1.7589999999999999</v>
      </c>
      <c r="AJ115" s="309">
        <f t="shared" si="63"/>
        <v>1.52</v>
      </c>
      <c r="AK115" s="309">
        <f t="shared" si="63"/>
        <v>3.5840000000000001</v>
      </c>
      <c r="AL115" s="309">
        <f t="shared" si="63"/>
        <v>4.8919999999999995</v>
      </c>
      <c r="AM115" s="310">
        <f t="shared" si="63"/>
        <v>4.5250000000000004</v>
      </c>
      <c r="AN115" s="309">
        <f t="shared" si="63"/>
        <v>5.6036075342465752</v>
      </c>
      <c r="AO115" s="309">
        <f t="shared" si="63"/>
        <v>5.7241479826052917</v>
      </c>
      <c r="AP115" s="309">
        <f t="shared" si="63"/>
        <v>6.1053271943631415</v>
      </c>
      <c r="AQ115" s="309">
        <f t="shared" si="63"/>
        <v>6.5589590728090226</v>
      </c>
      <c r="AR115" s="309">
        <f t="shared" si="63"/>
        <v>6.9247726650421448</v>
      </c>
      <c r="AS115" s="261"/>
    </row>
    <row r="116" spans="1:45" s="167" customFormat="1" x14ac:dyDescent="0.35">
      <c r="A116" s="322"/>
      <c r="B116" s="315"/>
      <c r="C116" s="164"/>
      <c r="D116" s="164"/>
      <c r="E116" s="164"/>
      <c r="F116" s="164"/>
      <c r="G116" s="164"/>
      <c r="H116" s="164"/>
      <c r="I116" s="164"/>
      <c r="J116" s="164"/>
      <c r="K116" s="164"/>
      <c r="L116" s="164"/>
      <c r="M116" s="164"/>
      <c r="N116" s="164"/>
      <c r="O116" s="165"/>
      <c r="P116" s="164"/>
      <c r="Q116" s="164"/>
      <c r="R116" s="164"/>
      <c r="S116" s="164"/>
      <c r="T116" s="164"/>
      <c r="U116" s="164"/>
      <c r="V116" s="164"/>
      <c r="W116" s="164"/>
      <c r="X116" s="164"/>
      <c r="Y116" s="164"/>
      <c r="Z116" s="250"/>
      <c r="AA116" s="250"/>
      <c r="AB116" s="250"/>
      <c r="AC116" s="250"/>
      <c r="AD116" s="250"/>
      <c r="AE116" s="250"/>
      <c r="AF116" s="250"/>
      <c r="AG116" s="250"/>
      <c r="AH116" s="250"/>
      <c r="AI116" s="250"/>
      <c r="AJ116" s="250"/>
      <c r="AK116" s="250"/>
      <c r="AL116" s="250"/>
      <c r="AM116" s="264"/>
      <c r="AN116" s="250"/>
      <c r="AO116" s="250"/>
      <c r="AP116" s="250"/>
      <c r="AQ116" s="250"/>
      <c r="AR116" s="250"/>
      <c r="AS116" s="166"/>
    </row>
    <row r="117" spans="1:45" s="207" customFormat="1" x14ac:dyDescent="0.35">
      <c r="A117" s="203" t="s">
        <v>723</v>
      </c>
      <c r="B117" s="204"/>
      <c r="C117" s="204"/>
      <c r="D117" s="204"/>
      <c r="E117" s="204"/>
      <c r="F117" s="204"/>
      <c r="G117" s="204"/>
      <c r="H117" s="204"/>
      <c r="I117" s="204"/>
      <c r="J117" s="204"/>
      <c r="K117" s="204"/>
      <c r="L117" s="204"/>
      <c r="M117" s="204"/>
      <c r="N117" s="204"/>
      <c r="O117" s="205"/>
      <c r="P117" s="204"/>
      <c r="Q117" s="204"/>
      <c r="R117" s="204"/>
      <c r="S117" s="204"/>
      <c r="T117" s="204"/>
      <c r="U117" s="204"/>
      <c r="V117" s="204"/>
      <c r="W117" s="204"/>
      <c r="X117" s="204"/>
      <c r="Y117" s="204"/>
      <c r="Z117" s="204"/>
      <c r="AA117" s="204"/>
      <c r="AB117" s="204"/>
      <c r="AC117" s="204"/>
      <c r="AD117" s="204"/>
      <c r="AE117" s="204"/>
      <c r="AF117" s="204"/>
      <c r="AG117" s="204"/>
      <c r="AH117" s="204"/>
      <c r="AI117" s="204"/>
      <c r="AJ117" s="204"/>
      <c r="AK117" s="204"/>
      <c r="AL117" s="204"/>
      <c r="AM117" s="205"/>
      <c r="AN117" s="204"/>
      <c r="AO117" s="204"/>
      <c r="AP117" s="204"/>
      <c r="AQ117" s="204"/>
      <c r="AR117" s="204"/>
      <c r="AS117" s="206"/>
    </row>
    <row r="118" spans="1:45" s="227" customFormat="1" x14ac:dyDescent="0.35">
      <c r="A118" s="1530" t="s">
        <v>724</v>
      </c>
      <c r="B118" s="1531"/>
      <c r="C118" s="1532">
        <f t="shared" ref="C118:R118" si="64">C174/C171</f>
        <v>0.83815563482626498</v>
      </c>
      <c r="D118" s="1532">
        <f t="shared" si="64"/>
        <v>0.8346761049784599</v>
      </c>
      <c r="E118" s="1532">
        <f t="shared" si="64"/>
        <v>0.79114104224345816</v>
      </c>
      <c r="F118" s="1532">
        <f t="shared" si="64"/>
        <v>0.77141242731895809</v>
      </c>
      <c r="G118" s="1532">
        <f t="shared" si="64"/>
        <v>0.78184667142890052</v>
      </c>
      <c r="H118" s="1532">
        <f t="shared" si="64"/>
        <v>0.79122533739395107</v>
      </c>
      <c r="I118" s="1532">
        <f t="shared" si="64"/>
        <v>0.78694567183314634</v>
      </c>
      <c r="J118" s="1532">
        <f t="shared" si="64"/>
        <v>0.77570034305100211</v>
      </c>
      <c r="K118" s="1532">
        <f t="shared" si="64"/>
        <v>0.76695529196447754</v>
      </c>
      <c r="L118" s="1532">
        <f t="shared" si="64"/>
        <v>0.75521969917833853</v>
      </c>
      <c r="M118" s="1532">
        <f t="shared" si="64"/>
        <v>0.7400384202692879</v>
      </c>
      <c r="N118" s="1532">
        <f t="shared" si="64"/>
        <v>0.64609118502137486</v>
      </c>
      <c r="O118" s="369">
        <f t="shared" si="64"/>
        <v>0.65446473004752104</v>
      </c>
      <c r="P118" s="1533">
        <f t="shared" si="64"/>
        <v>0.78499999999999992</v>
      </c>
      <c r="Q118" s="1533">
        <f t="shared" si="64"/>
        <v>0.78500000000000003</v>
      </c>
      <c r="R118" s="1533">
        <f t="shared" si="64"/>
        <v>0.78500000000000003</v>
      </c>
      <c r="S118" s="1533"/>
      <c r="T118" s="1533"/>
      <c r="U118" s="1533"/>
      <c r="V118" s="1533"/>
      <c r="W118" s="1533"/>
      <c r="X118" s="1533"/>
      <c r="Y118" s="1533"/>
      <c r="Z118" s="1534"/>
      <c r="AA118" s="1534"/>
      <c r="AB118" s="1534"/>
      <c r="AC118" s="1534"/>
      <c r="AD118" s="1534">
        <f t="shared" ref="AD118:AR118" si="65">AD174/AD171</f>
        <v>0.82183213899473417</v>
      </c>
      <c r="AE118" s="1535">
        <f t="shared" si="65"/>
        <v>0.82464040000237715</v>
      </c>
      <c r="AF118" s="1535">
        <f t="shared" si="65"/>
        <v>0.82758302521121196</v>
      </c>
      <c r="AG118" s="1535">
        <f t="shared" si="65"/>
        <v>0.82045538714153765</v>
      </c>
      <c r="AH118" s="1535">
        <f t="shared" si="65"/>
        <v>0.83625790703987812</v>
      </c>
      <c r="AI118" s="1535">
        <f t="shared" si="65"/>
        <v>0.78027942519392679</v>
      </c>
      <c r="AJ118" s="1535">
        <f t="shared" si="65"/>
        <v>0.7871218300366285</v>
      </c>
      <c r="AK118" s="1535">
        <f t="shared" si="65"/>
        <v>0.78117250797723947</v>
      </c>
      <c r="AL118" s="1535">
        <f t="shared" si="65"/>
        <v>0.76107384407093837</v>
      </c>
      <c r="AM118" s="370">
        <f t="shared" si="65"/>
        <v>0.69645047154495687</v>
      </c>
      <c r="AN118" s="1535">
        <f t="shared" si="65"/>
        <v>0.71904934154424738</v>
      </c>
      <c r="AO118" s="1534">
        <f t="shared" si="65"/>
        <v>0.78500000000000003</v>
      </c>
      <c r="AP118" s="1534">
        <f t="shared" si="65"/>
        <v>0.79</v>
      </c>
      <c r="AQ118" s="1534">
        <f t="shared" si="65"/>
        <v>0.79</v>
      </c>
      <c r="AR118" s="1534">
        <f t="shared" si="65"/>
        <v>0.79</v>
      </c>
      <c r="AS118" s="226"/>
    </row>
    <row r="119" spans="1:45" s="227" customFormat="1" x14ac:dyDescent="0.35">
      <c r="A119" s="228" t="s">
        <v>725</v>
      </c>
      <c r="B119" s="229"/>
      <c r="C119" s="371">
        <f t="shared" ref="C119:O119" si="66">1-C118</f>
        <v>0.16184436517373502</v>
      </c>
      <c r="D119" s="371">
        <f t="shared" si="66"/>
        <v>0.1653238950215401</v>
      </c>
      <c r="E119" s="371">
        <f t="shared" si="66"/>
        <v>0.20885895775654184</v>
      </c>
      <c r="F119" s="371">
        <f t="shared" si="66"/>
        <v>0.22858757268104191</v>
      </c>
      <c r="G119" s="371">
        <f t="shared" si="66"/>
        <v>0.21815332857109948</v>
      </c>
      <c r="H119" s="371">
        <f t="shared" si="66"/>
        <v>0.20877466260604893</v>
      </c>
      <c r="I119" s="371">
        <f t="shared" si="66"/>
        <v>0.21305432816685366</v>
      </c>
      <c r="J119" s="371">
        <f t="shared" si="66"/>
        <v>0.22429965694899789</v>
      </c>
      <c r="K119" s="371">
        <f t="shared" si="66"/>
        <v>0.23304470803552246</v>
      </c>
      <c r="L119" s="371">
        <f t="shared" si="66"/>
        <v>0.24478030082166147</v>
      </c>
      <c r="M119" s="371">
        <f t="shared" si="66"/>
        <v>0.2599615797307121</v>
      </c>
      <c r="N119" s="371">
        <f t="shared" si="66"/>
        <v>0.35390881497862514</v>
      </c>
      <c r="O119" s="372">
        <f t="shared" si="66"/>
        <v>0.34553526995247896</v>
      </c>
      <c r="P119" s="373">
        <v>0.215</v>
      </c>
      <c r="Q119" s="373">
        <v>0.215</v>
      </c>
      <c r="R119" s="373">
        <v>0.215</v>
      </c>
      <c r="S119" s="373"/>
      <c r="T119" s="373"/>
      <c r="U119" s="373"/>
      <c r="V119" s="373"/>
      <c r="W119" s="373"/>
      <c r="X119" s="373"/>
      <c r="Y119" s="374"/>
      <c r="Z119" s="232"/>
      <c r="AA119" s="232"/>
      <c r="AB119" s="232"/>
      <c r="AC119" s="232"/>
      <c r="AD119" s="232">
        <f t="shared" ref="AD119:AO119" si="67">1-AD118</f>
        <v>0.17816786100526583</v>
      </c>
      <c r="AE119" s="375">
        <f t="shared" si="67"/>
        <v>0.17535959999762285</v>
      </c>
      <c r="AF119" s="375">
        <f t="shared" si="67"/>
        <v>0.17241697478878804</v>
      </c>
      <c r="AG119" s="375">
        <f t="shared" si="67"/>
        <v>0.17954461285846235</v>
      </c>
      <c r="AH119" s="375">
        <f t="shared" si="67"/>
        <v>0.16374209296012188</v>
      </c>
      <c r="AI119" s="375">
        <f t="shared" si="67"/>
        <v>0.21972057480607321</v>
      </c>
      <c r="AJ119" s="375">
        <f t="shared" si="67"/>
        <v>0.2128781699633715</v>
      </c>
      <c r="AK119" s="375">
        <f t="shared" si="67"/>
        <v>0.21882749202276053</v>
      </c>
      <c r="AL119" s="375">
        <f t="shared" si="67"/>
        <v>0.23892615592906163</v>
      </c>
      <c r="AM119" s="376">
        <f t="shared" si="67"/>
        <v>0.30354952845504313</v>
      </c>
      <c r="AN119" s="375">
        <f t="shared" si="67"/>
        <v>0.28095065845575262</v>
      </c>
      <c r="AO119" s="232">
        <f t="shared" si="67"/>
        <v>0.21499999999999997</v>
      </c>
      <c r="AP119" s="377">
        <v>0.21</v>
      </c>
      <c r="AQ119" s="377">
        <v>0.21</v>
      </c>
      <c r="AR119" s="377">
        <v>0.21</v>
      </c>
      <c r="AS119" s="226"/>
    </row>
    <row r="120" spans="1:45" s="385" customFormat="1" x14ac:dyDescent="0.35">
      <c r="A120" s="378" t="s">
        <v>726</v>
      </c>
      <c r="B120" s="379"/>
      <c r="C120" s="267"/>
      <c r="D120" s="267"/>
      <c r="E120" s="267"/>
      <c r="F120" s="267"/>
      <c r="G120" s="267"/>
      <c r="H120" s="267"/>
      <c r="I120" s="267"/>
      <c r="J120" s="267"/>
      <c r="K120" s="380"/>
      <c r="L120" s="267"/>
      <c r="M120" s="380"/>
      <c r="N120" s="267"/>
      <c r="O120" s="381"/>
      <c r="P120" s="382" t="str">
        <f ca="1">IFERROR(VLOOKUP($A120,tb_ConsensusEstimate,MATCH(P$5,OFFSET(tb_ConsensusEstimate,0,0,1,COLUMNS(tb_ConsensusEstimate)),0),FALSE),"-")</f>
        <v>N/A</v>
      </c>
      <c r="Q120" s="382" t="str">
        <f ca="1">IFERROR(VLOOKUP($A120,tb_ConsensusEstimate,MATCH(Q$5,OFFSET(tb_ConsensusEstimate,0,0,1,COLUMNS(tb_ConsensusEstimate)),0),FALSE),"-")</f>
        <v>N/A</v>
      </c>
      <c r="R120" s="382" t="str">
        <f ca="1">IFERROR(VLOOKUP($A120,tb_ConsensusEstimate,MATCH(R$5,OFFSET(tb_ConsensusEstimate,0,0,1,COLUMNS(tb_ConsensusEstimate)),0),FALSE),"-")</f>
        <v>N/A</v>
      </c>
      <c r="S120" s="382"/>
      <c r="T120" s="382"/>
      <c r="U120" s="382"/>
      <c r="V120" s="382"/>
      <c r="W120" s="382"/>
      <c r="X120" s="382"/>
      <c r="Y120" s="382"/>
      <c r="Z120" s="270"/>
      <c r="AA120" s="270"/>
      <c r="AB120" s="270"/>
      <c r="AC120" s="270"/>
      <c r="AD120" s="270"/>
      <c r="AE120" s="270"/>
      <c r="AF120" s="270"/>
      <c r="AG120" s="270"/>
      <c r="AH120" s="270"/>
      <c r="AI120" s="270"/>
      <c r="AJ120" s="270"/>
      <c r="AK120" s="270"/>
      <c r="AL120" s="270"/>
      <c r="AM120" s="383"/>
      <c r="AN120" s="384" t="str">
        <f ca="1">IFERROR(VLOOKUP($A120,tb_ConsensusEstimate,MATCH(AN$5,OFFSET(tb_ConsensusEstimate,0,0,1,COLUMNS(tb_ConsensusEstimate)),0),FALSE),"-")</f>
        <v>N/A</v>
      </c>
      <c r="AO120" s="384" t="str">
        <f ca="1">IFERROR(VLOOKUP($A120,tb_ConsensusEstimate,MATCH(AO$5,OFFSET(tb_ConsensusEstimate,0,0,1,COLUMNS(tb_ConsensusEstimate)),0),FALSE),"-")</f>
        <v>N/A</v>
      </c>
      <c r="AP120" s="384" t="str">
        <f ca="1">IFERROR(VLOOKUP($A120,tb_ConsensusEstimate,MATCH(AP$5,OFFSET(tb_ConsensusEstimate,0,0,1,COLUMNS(tb_ConsensusEstimate)),0),FALSE),"-")</f>
        <v>N/A</v>
      </c>
      <c r="AQ120" s="384" t="str">
        <f ca="1">IFERROR(VLOOKUP($A120,tb_ConsensusEstimate,MATCH(AQ$5,OFFSET(tb_ConsensusEstimate,0,0,1,COLUMNS(tb_ConsensusEstimate)),0),FALSE),"-")</f>
        <v>N/A</v>
      </c>
      <c r="AR120" s="384" t="str">
        <f ca="1">IFERROR(VLOOKUP($A120,tb_ConsensusEstimate,MATCH(AR$5,OFFSET(tb_ConsensusEstimate,0,0,1,COLUMNS(tb_ConsensusEstimate)),0),FALSE),"-")</f>
        <v>N/A</v>
      </c>
      <c r="AS120" s="267"/>
    </row>
    <row r="121" spans="1:45" s="227" customFormat="1" x14ac:dyDescent="0.35">
      <c r="A121" s="386"/>
      <c r="B121" s="229"/>
      <c r="C121" s="230"/>
      <c r="D121" s="230"/>
      <c r="E121" s="230"/>
      <c r="F121" s="230"/>
      <c r="G121" s="230"/>
      <c r="H121" s="230"/>
      <c r="I121" s="230"/>
      <c r="J121" s="230"/>
      <c r="K121" s="230"/>
      <c r="L121" s="230"/>
      <c r="M121" s="230"/>
      <c r="N121" s="230"/>
      <c r="O121" s="231"/>
      <c r="P121" s="230"/>
      <c r="Q121" s="230"/>
      <c r="R121" s="230"/>
      <c r="S121" s="230"/>
      <c r="T121" s="230"/>
      <c r="U121" s="230"/>
      <c r="V121" s="230"/>
      <c r="W121" s="230"/>
      <c r="X121" s="230"/>
      <c r="Y121" s="230"/>
      <c r="Z121" s="232"/>
      <c r="AA121" s="232"/>
      <c r="AB121" s="232"/>
      <c r="AC121" s="232"/>
      <c r="AD121" s="232"/>
      <c r="AE121" s="232"/>
      <c r="AF121" s="232"/>
      <c r="AG121" s="232"/>
      <c r="AH121" s="232"/>
      <c r="AI121" s="232"/>
      <c r="AJ121" s="232"/>
      <c r="AK121" s="232"/>
      <c r="AL121" s="232"/>
      <c r="AM121" s="233"/>
      <c r="AN121" s="232"/>
      <c r="AO121" s="232"/>
      <c r="AP121" s="232"/>
      <c r="AQ121" s="232"/>
      <c r="AR121" s="232"/>
      <c r="AS121" s="226"/>
    </row>
    <row r="122" spans="1:45" s="227" customFormat="1" x14ac:dyDescent="0.35">
      <c r="A122" s="386" t="s">
        <v>727</v>
      </c>
      <c r="B122" s="229"/>
      <c r="C122" s="230">
        <f t="shared" ref="C122:O122" si="68">C177/C$171</f>
        <v>0.10664024309684238</v>
      </c>
      <c r="D122" s="230">
        <f t="shared" si="68"/>
        <v>0.10085764124430661</v>
      </c>
      <c r="E122" s="230">
        <f t="shared" si="68"/>
        <v>0.14156972849870503</v>
      </c>
      <c r="F122" s="230">
        <f t="shared" si="68"/>
        <v>0.1285383591856078</v>
      </c>
      <c r="G122" s="230">
        <f t="shared" si="68"/>
        <v>0.14014332787980735</v>
      </c>
      <c r="H122" s="230">
        <f t="shared" si="68"/>
        <v>0.11801663084647387</v>
      </c>
      <c r="I122" s="230">
        <f t="shared" si="68"/>
        <v>0.13582804856643543</v>
      </c>
      <c r="J122" s="230">
        <f t="shared" si="68"/>
        <v>0.1279940106224649</v>
      </c>
      <c r="K122" s="230">
        <f t="shared" si="68"/>
        <v>0.13414490422677769</v>
      </c>
      <c r="L122" s="230">
        <f t="shared" si="68"/>
        <v>0.13721732200062453</v>
      </c>
      <c r="M122" s="230">
        <f t="shared" si="68"/>
        <v>0.14897026755737081</v>
      </c>
      <c r="N122" s="230">
        <f t="shared" si="68"/>
        <v>0.20992109988282959</v>
      </c>
      <c r="O122" s="231">
        <f t="shared" si="68"/>
        <v>0.22244708775285177</v>
      </c>
      <c r="P122" s="373">
        <v>0.13</v>
      </c>
      <c r="Q122" s="373">
        <v>0.13</v>
      </c>
      <c r="R122" s="373">
        <v>0.13</v>
      </c>
      <c r="S122" s="373"/>
      <c r="T122" s="373"/>
      <c r="U122" s="373"/>
      <c r="V122" s="373"/>
      <c r="W122" s="373"/>
      <c r="X122" s="373"/>
      <c r="Y122" s="374"/>
      <c r="Z122" s="232"/>
      <c r="AA122" s="232"/>
      <c r="AB122" s="232"/>
      <c r="AC122" s="232"/>
      <c r="AD122" s="232">
        <f t="shared" ref="AD122:AO122" si="69">AD177/AD$171</f>
        <v>0.10901414002567239</v>
      </c>
      <c r="AE122" s="232">
        <f t="shared" si="69"/>
        <v>0.1049788330754739</v>
      </c>
      <c r="AF122" s="232">
        <f t="shared" si="69"/>
        <v>0.10601358197837889</v>
      </c>
      <c r="AG122" s="232">
        <f t="shared" si="69"/>
        <v>0.11679465041325142</v>
      </c>
      <c r="AH122" s="232">
        <f t="shared" si="69"/>
        <v>0.10348642499693689</v>
      </c>
      <c r="AI122" s="232">
        <f t="shared" si="69"/>
        <v>0.1343952895605664</v>
      </c>
      <c r="AJ122" s="232">
        <f t="shared" si="69"/>
        <v>0.12769786530006078</v>
      </c>
      <c r="AK122" s="232">
        <f t="shared" si="69"/>
        <v>0.13180618441465122</v>
      </c>
      <c r="AL122" s="232">
        <f t="shared" si="69"/>
        <v>0.13568468712256856</v>
      </c>
      <c r="AM122" s="233">
        <f t="shared" si="69"/>
        <v>0.1772491386395979</v>
      </c>
      <c r="AN122" s="232">
        <f t="shared" si="69"/>
        <v>0.17670727161966954</v>
      </c>
      <c r="AO122" s="232">
        <f t="shared" si="69"/>
        <v>0.13000000000000003</v>
      </c>
      <c r="AP122" s="377">
        <v>0.13000000000000003</v>
      </c>
      <c r="AQ122" s="377">
        <v>0.13000000000000003</v>
      </c>
      <c r="AR122" s="377">
        <v>0.13000000000000003</v>
      </c>
      <c r="AS122" s="226"/>
    </row>
    <row r="123" spans="1:45" s="207" customFormat="1" x14ac:dyDescent="0.35">
      <c r="A123" s="217" t="s">
        <v>728</v>
      </c>
      <c r="B123" s="218"/>
      <c r="C123" s="220">
        <f t="shared" ref="C123:R123" si="70">C178/C171</f>
        <v>5.5204122076892598E-2</v>
      </c>
      <c r="D123" s="220">
        <f t="shared" si="70"/>
        <v>6.4466253777233501E-2</v>
      </c>
      <c r="E123" s="220">
        <f t="shared" si="70"/>
        <v>6.7289229257836869E-2</v>
      </c>
      <c r="F123" s="220">
        <f t="shared" si="70"/>
        <v>0.10004921349543415</v>
      </c>
      <c r="G123" s="220">
        <f t="shared" si="70"/>
        <v>7.8010000691292089E-2</v>
      </c>
      <c r="H123" s="220">
        <f t="shared" si="70"/>
        <v>9.0758031759575114E-2</v>
      </c>
      <c r="I123" s="220">
        <f t="shared" si="70"/>
        <v>7.7226279600418238E-2</v>
      </c>
      <c r="J123" s="220">
        <f t="shared" si="70"/>
        <v>9.6305646326533018E-2</v>
      </c>
      <c r="K123" s="220">
        <f t="shared" si="70"/>
        <v>9.8899803808744802E-2</v>
      </c>
      <c r="L123" s="220">
        <f t="shared" si="70"/>
        <v>0.10756297882103699</v>
      </c>
      <c r="M123" s="220">
        <f t="shared" si="70"/>
        <v>0.11099131217334128</v>
      </c>
      <c r="N123" s="220">
        <f t="shared" si="70"/>
        <v>0.14398771509579561</v>
      </c>
      <c r="O123" s="222">
        <f t="shared" si="70"/>
        <v>0.12308818219962719</v>
      </c>
      <c r="P123" s="219">
        <f t="shared" si="70"/>
        <v>8.4999999999999992E-2</v>
      </c>
      <c r="Q123" s="219">
        <f t="shared" si="70"/>
        <v>8.4999999999999978E-2</v>
      </c>
      <c r="R123" s="219">
        <f t="shared" si="70"/>
        <v>8.4999999999999978E-2</v>
      </c>
      <c r="S123" s="219"/>
      <c r="T123" s="219"/>
      <c r="U123" s="219"/>
      <c r="V123" s="219"/>
      <c r="W123" s="219"/>
      <c r="X123" s="219"/>
      <c r="Y123" s="219"/>
      <c r="Z123" s="223"/>
      <c r="AA123" s="223"/>
      <c r="AB123" s="223"/>
      <c r="AC123" s="223"/>
      <c r="AD123" s="223">
        <f t="shared" ref="AD123:AR123" si="71">AD178/AD171</f>
        <v>6.9153720979593408E-2</v>
      </c>
      <c r="AE123" s="224">
        <f t="shared" si="71"/>
        <v>7.0380766922148924E-2</v>
      </c>
      <c r="AF123" s="224">
        <f t="shared" si="71"/>
        <v>6.6403392810409148E-2</v>
      </c>
      <c r="AG123" s="224">
        <f t="shared" si="71"/>
        <v>6.2749962445210888E-2</v>
      </c>
      <c r="AH123" s="224">
        <f t="shared" si="71"/>
        <v>6.0255667963184954E-2</v>
      </c>
      <c r="AI123" s="224">
        <f t="shared" si="71"/>
        <v>8.5325285245506824E-2</v>
      </c>
      <c r="AJ123" s="224">
        <f t="shared" si="71"/>
        <v>8.5180304663310669E-2</v>
      </c>
      <c r="AK123" s="224">
        <f t="shared" si="71"/>
        <v>8.7021307608109277E-2</v>
      </c>
      <c r="AL123" s="224">
        <f t="shared" si="71"/>
        <v>0.1032414688064931</v>
      </c>
      <c r="AM123" s="225">
        <f t="shared" si="71"/>
        <v>0.12630038981544525</v>
      </c>
      <c r="AN123" s="224">
        <f t="shared" si="71"/>
        <v>0.1042433868360831</v>
      </c>
      <c r="AO123" s="223">
        <f t="shared" si="71"/>
        <v>8.4999999999999937E-2</v>
      </c>
      <c r="AP123" s="223">
        <f t="shared" si="71"/>
        <v>7.9999999999999946E-2</v>
      </c>
      <c r="AQ123" s="223">
        <f t="shared" si="71"/>
        <v>7.9999999999999946E-2</v>
      </c>
      <c r="AR123" s="223">
        <f t="shared" si="71"/>
        <v>7.999999999999996E-2</v>
      </c>
      <c r="AS123" s="226"/>
    </row>
    <row r="124" spans="1:45" s="207" customFormat="1" x14ac:dyDescent="0.35">
      <c r="A124" s="387" t="s">
        <v>729</v>
      </c>
      <c r="B124" s="229"/>
      <c r="C124" s="371">
        <f t="shared" ref="C124:R124" si="72">C179/C171</f>
        <v>5.6456599286563623E-2</v>
      </c>
      <c r="D124" s="371">
        <f t="shared" si="72"/>
        <v>6.6289897717361587E-2</v>
      </c>
      <c r="E124" s="371">
        <f t="shared" si="72"/>
        <v>6.7289229257836869E-2</v>
      </c>
      <c r="F124" s="371">
        <f t="shared" si="72"/>
        <v>0.10004921349543415</v>
      </c>
      <c r="G124" s="371">
        <f t="shared" si="72"/>
        <v>7.8010000691292089E-2</v>
      </c>
      <c r="H124" s="371">
        <f t="shared" si="72"/>
        <v>9.0758031759575114E-2</v>
      </c>
      <c r="I124" s="371">
        <f t="shared" si="72"/>
        <v>7.7226279600418238E-2</v>
      </c>
      <c r="J124" s="371">
        <f t="shared" si="72"/>
        <v>9.6305646326533018E-2</v>
      </c>
      <c r="K124" s="371">
        <f t="shared" si="72"/>
        <v>9.8899803808744802E-2</v>
      </c>
      <c r="L124" s="371">
        <f t="shared" si="72"/>
        <v>0.10756297882103699</v>
      </c>
      <c r="M124" s="371">
        <f t="shared" si="72"/>
        <v>0.11099131217334128</v>
      </c>
      <c r="N124" s="371">
        <f t="shared" si="72"/>
        <v>0.14398771509579561</v>
      </c>
      <c r="O124" s="372">
        <f t="shared" si="72"/>
        <v>0.12308818219962719</v>
      </c>
      <c r="P124" s="230">
        <f t="shared" si="72"/>
        <v>8.4999999999999992E-2</v>
      </c>
      <c r="Q124" s="230">
        <f t="shared" si="72"/>
        <v>8.4999999999999978E-2</v>
      </c>
      <c r="R124" s="230">
        <f t="shared" si="72"/>
        <v>8.4999999999999978E-2</v>
      </c>
      <c r="S124" s="230"/>
      <c r="T124" s="230"/>
      <c r="U124" s="230"/>
      <c r="V124" s="230"/>
      <c r="W124" s="230"/>
      <c r="X124" s="230"/>
      <c r="Y124" s="230"/>
      <c r="Z124" s="232"/>
      <c r="AA124" s="232"/>
      <c r="AB124" s="232"/>
      <c r="AC124" s="232"/>
      <c r="AD124" s="232">
        <f t="shared" ref="AD124:AR124" si="73">AD179/AD171</f>
        <v>7.1010925924054141E-2</v>
      </c>
      <c r="AE124" s="375">
        <f t="shared" si="73"/>
        <v>7.0380766922148924E-2</v>
      </c>
      <c r="AF124" s="375">
        <f t="shared" si="73"/>
        <v>6.8087719180518064E-2</v>
      </c>
      <c r="AG124" s="375">
        <f t="shared" si="73"/>
        <v>6.9533621575635321E-2</v>
      </c>
      <c r="AH124" s="375">
        <f t="shared" si="73"/>
        <v>6.1819658228486715E-2</v>
      </c>
      <c r="AI124" s="375">
        <f t="shared" si="73"/>
        <v>8.5325285245506824E-2</v>
      </c>
      <c r="AJ124" s="375">
        <f t="shared" si="73"/>
        <v>8.5180304663310669E-2</v>
      </c>
      <c r="AK124" s="375">
        <f t="shared" si="73"/>
        <v>8.7021307608109277E-2</v>
      </c>
      <c r="AL124" s="375">
        <f t="shared" si="73"/>
        <v>0.1032414688064931</v>
      </c>
      <c r="AM124" s="376">
        <f t="shared" si="73"/>
        <v>0.12630038981544525</v>
      </c>
      <c r="AN124" s="375">
        <f t="shared" si="73"/>
        <v>0.10424338683608313</v>
      </c>
      <c r="AO124" s="232">
        <f t="shared" si="73"/>
        <v>8.4999999999999992E-2</v>
      </c>
      <c r="AP124" s="232">
        <f t="shared" si="73"/>
        <v>7.9999999999999946E-2</v>
      </c>
      <c r="AQ124" s="232">
        <f t="shared" si="73"/>
        <v>7.9999999999999946E-2</v>
      </c>
      <c r="AR124" s="232">
        <f t="shared" si="73"/>
        <v>7.999999999999996E-2</v>
      </c>
      <c r="AS124" s="226"/>
    </row>
    <row r="125" spans="1:45" s="207" customFormat="1" x14ac:dyDescent="0.35">
      <c r="A125" s="265" t="s">
        <v>730</v>
      </c>
      <c r="B125" s="388"/>
      <c r="C125" s="382"/>
      <c r="D125" s="382"/>
      <c r="E125" s="382"/>
      <c r="F125" s="382"/>
      <c r="G125" s="382"/>
      <c r="H125" s="382"/>
      <c r="I125" s="382"/>
      <c r="J125" s="382"/>
      <c r="K125" s="382"/>
      <c r="L125" s="382"/>
      <c r="M125" s="382"/>
      <c r="N125" s="382"/>
      <c r="O125" s="389"/>
      <c r="P125" s="382">
        <f ca="1">IFERROR(P180/P172,0)</f>
        <v>0</v>
      </c>
      <c r="Q125" s="382">
        <f ca="1">IFERROR(Q180/Q172,0)</f>
        <v>0</v>
      </c>
      <c r="R125" s="382">
        <f ca="1">IFERROR(R180/R172,0)</f>
        <v>0</v>
      </c>
      <c r="S125" s="382"/>
      <c r="T125" s="382"/>
      <c r="U125" s="382"/>
      <c r="V125" s="382"/>
      <c r="W125" s="382"/>
      <c r="X125" s="382"/>
      <c r="Y125" s="382"/>
      <c r="Z125" s="384"/>
      <c r="AA125" s="384"/>
      <c r="AB125" s="384"/>
      <c r="AC125" s="384"/>
      <c r="AD125" s="384"/>
      <c r="AE125" s="384"/>
      <c r="AF125" s="384"/>
      <c r="AG125" s="384"/>
      <c r="AH125" s="384"/>
      <c r="AI125" s="384"/>
      <c r="AJ125" s="384"/>
      <c r="AK125" s="384"/>
      <c r="AL125" s="384"/>
      <c r="AM125" s="390"/>
      <c r="AN125" s="391">
        <f ca="1">IFERROR(AN180/AN172,0)</f>
        <v>0</v>
      </c>
      <c r="AO125" s="384">
        <f ca="1">IFERROR(AO180/AO172,0)</f>
        <v>0</v>
      </c>
      <c r="AP125" s="384">
        <f ca="1">IFERROR(AP180/AP172,0)</f>
        <v>0</v>
      </c>
      <c r="AQ125" s="384">
        <f ca="1">IFERROR(AQ180/AQ172,0)</f>
        <v>0</v>
      </c>
      <c r="AR125" s="384">
        <f ca="1">IFERROR(AR180/AR172,0)</f>
        <v>0</v>
      </c>
      <c r="AS125" s="226"/>
    </row>
    <row r="126" spans="1:45" s="207" customFormat="1" x14ac:dyDescent="0.35">
      <c r="A126" s="228"/>
      <c r="B126" s="229"/>
      <c r="C126" s="230"/>
      <c r="D126" s="230"/>
      <c r="E126" s="230"/>
      <c r="F126" s="230"/>
      <c r="G126" s="230"/>
      <c r="H126" s="230"/>
      <c r="I126" s="230"/>
      <c r="J126" s="230"/>
      <c r="K126" s="230"/>
      <c r="L126" s="230"/>
      <c r="M126" s="230"/>
      <c r="N126" s="230"/>
      <c r="O126" s="231"/>
      <c r="P126" s="230"/>
      <c r="Q126" s="230"/>
      <c r="R126" s="230"/>
      <c r="S126" s="230"/>
      <c r="T126" s="230"/>
      <c r="U126" s="230"/>
      <c r="V126" s="230"/>
      <c r="W126" s="230"/>
      <c r="X126" s="230"/>
      <c r="Y126" s="230"/>
      <c r="Z126" s="232"/>
      <c r="AA126" s="232"/>
      <c r="AB126" s="232"/>
      <c r="AC126" s="232"/>
      <c r="AD126" s="232"/>
      <c r="AE126" s="232"/>
      <c r="AF126" s="232"/>
      <c r="AG126" s="232"/>
      <c r="AH126" s="232"/>
      <c r="AI126" s="232"/>
      <c r="AJ126" s="232"/>
      <c r="AK126" s="232"/>
      <c r="AL126" s="232"/>
      <c r="AM126" s="233"/>
      <c r="AN126" s="232"/>
      <c r="AO126" s="232"/>
      <c r="AP126" s="232"/>
      <c r="AQ126" s="232"/>
      <c r="AR126" s="232"/>
      <c r="AS126" s="226"/>
    </row>
    <row r="127" spans="1:45" s="207" customFormat="1" x14ac:dyDescent="0.35">
      <c r="A127" s="208" t="s">
        <v>731</v>
      </c>
      <c r="B127" s="209"/>
      <c r="C127" s="211">
        <f t="shared" ref="C127:R127" si="74">C182/C171</f>
        <v>2.6132910556216147E-3</v>
      </c>
      <c r="D127" s="211">
        <f t="shared" si="74"/>
        <v>2.2443154287325236E-3</v>
      </c>
      <c r="E127" s="211">
        <f t="shared" si="74"/>
        <v>2.5090426006966152E-3</v>
      </c>
      <c r="F127" s="211">
        <f t="shared" si="74"/>
        <v>1.9594262070976795E-3</v>
      </c>
      <c r="G127" s="211">
        <f t="shared" si="74"/>
        <v>1.7674032767241974E-3</v>
      </c>
      <c r="H127" s="211">
        <f t="shared" si="74"/>
        <v>1.3497550544114402E-3</v>
      </c>
      <c r="I127" s="211">
        <f t="shared" si="74"/>
        <v>3.0678358021016959E-3</v>
      </c>
      <c r="J127" s="211">
        <f t="shared" si="74"/>
        <v>3.5733725873857776E-3</v>
      </c>
      <c r="K127" s="211">
        <f t="shared" si="74"/>
        <v>4.2895172863213786E-3</v>
      </c>
      <c r="L127" s="211">
        <f t="shared" si="74"/>
        <v>4.1695490090205107E-3</v>
      </c>
      <c r="M127" s="211">
        <f t="shared" si="74"/>
        <v>4.2677650479388037E-3</v>
      </c>
      <c r="N127" s="211">
        <f t="shared" si="74"/>
        <v>4.1169625254435906E-3</v>
      </c>
      <c r="O127" s="213">
        <f t="shared" si="74"/>
        <v>5.8098574369883195E-3</v>
      </c>
      <c r="P127" s="210">
        <f t="shared" si="74"/>
        <v>5.2344603112655054E-3</v>
      </c>
      <c r="Q127" s="210">
        <f t="shared" si="74"/>
        <v>5.1567655390163027E-3</v>
      </c>
      <c r="R127" s="210">
        <f t="shared" si="74"/>
        <v>5.2944122948422063E-3</v>
      </c>
      <c r="S127" s="210"/>
      <c r="T127" s="210"/>
      <c r="U127" s="210"/>
      <c r="V127" s="210"/>
      <c r="W127" s="210"/>
      <c r="X127" s="210"/>
      <c r="Y127" s="210"/>
      <c r="Z127" s="214"/>
      <c r="AA127" s="214"/>
      <c r="AB127" s="214"/>
      <c r="AC127" s="214"/>
      <c r="AD127" s="214">
        <f t="shared" ref="AD127:AR127" si="75">AD182/AD171</f>
        <v>2.9462598166547071E-3</v>
      </c>
      <c r="AE127" s="215">
        <f t="shared" si="75"/>
        <v>3.5222079370519238E-3</v>
      </c>
      <c r="AF127" s="215">
        <f t="shared" si="75"/>
        <v>3.6018413512189564E-3</v>
      </c>
      <c r="AG127" s="215">
        <f t="shared" si="75"/>
        <v>3.1575769203883094E-3</v>
      </c>
      <c r="AH127" s="215">
        <f t="shared" si="75"/>
        <v>2.4120525750583191E-3</v>
      </c>
      <c r="AI127" s="215">
        <f t="shared" si="75"/>
        <v>2.2064505122878848E-3</v>
      </c>
      <c r="AJ127" s="215">
        <f t="shared" si="75"/>
        <v>1.5324913368869656E-3</v>
      </c>
      <c r="AK127" s="215">
        <f t="shared" si="75"/>
        <v>3.3273699387351727E-3</v>
      </c>
      <c r="AL127" s="215">
        <f t="shared" si="75"/>
        <v>4.229393593834699E-3</v>
      </c>
      <c r="AM127" s="216">
        <f t="shared" si="75"/>
        <v>4.1977984054859894E-3</v>
      </c>
      <c r="AN127" s="215">
        <f t="shared" si="75"/>
        <v>5.5251696293584776E-3</v>
      </c>
      <c r="AO127" s="214">
        <f t="shared" si="75"/>
        <v>5.2261323114277053E-3</v>
      </c>
      <c r="AP127" s="214">
        <f t="shared" si="75"/>
        <v>4.8470851708085072E-3</v>
      </c>
      <c r="AQ127" s="214">
        <f t="shared" si="75"/>
        <v>4.7338440148860248E-3</v>
      </c>
      <c r="AR127" s="214">
        <f t="shared" si="75"/>
        <v>4.5435138648410528E-3</v>
      </c>
      <c r="AS127" s="226"/>
    </row>
    <row r="128" spans="1:45" s="207" customFormat="1" x14ac:dyDescent="0.35">
      <c r="A128" s="208" t="s">
        <v>732</v>
      </c>
      <c r="B128" s="209"/>
      <c r="C128" s="211">
        <f t="shared" ref="C128:R128" si="76">C183/C171</f>
        <v>1.1520676443387502E-3</v>
      </c>
      <c r="D128" s="211">
        <f t="shared" si="76"/>
        <v>1.3963650459434937E-3</v>
      </c>
      <c r="E128" s="211">
        <f t="shared" si="76"/>
        <v>2.7602259533803697E-3</v>
      </c>
      <c r="F128" s="211">
        <f t="shared" si="76"/>
        <v>1.7543699761223409E-3</v>
      </c>
      <c r="G128" s="211">
        <f t="shared" si="76"/>
        <v>2.0692674608843928E-3</v>
      </c>
      <c r="H128" s="211">
        <f t="shared" si="76"/>
        <v>1.4949478291887666E-3</v>
      </c>
      <c r="I128" s="211">
        <f t="shared" si="76"/>
        <v>1.8525302013934993E-3</v>
      </c>
      <c r="J128" s="211">
        <f t="shared" si="76"/>
        <v>1.7848779067559529E-3</v>
      </c>
      <c r="K128" s="211">
        <f t="shared" si="76"/>
        <v>1.9289829251214927E-3</v>
      </c>
      <c r="L128" s="211">
        <f t="shared" si="76"/>
        <v>1.9907569534173227E-3</v>
      </c>
      <c r="M128" s="211">
        <f t="shared" si="76"/>
        <v>2.4505901491814058E-3</v>
      </c>
      <c r="N128" s="211">
        <f t="shared" si="76"/>
        <v>2.2494331428480029E-3</v>
      </c>
      <c r="O128" s="213">
        <f t="shared" si="76"/>
        <v>3.1049657985382658E-3</v>
      </c>
      <c r="P128" s="210">
        <f t="shared" si="76"/>
        <v>1.5E-3</v>
      </c>
      <c r="Q128" s="210">
        <f t="shared" si="76"/>
        <v>1.5E-3</v>
      </c>
      <c r="R128" s="210">
        <f t="shared" si="76"/>
        <v>1.5E-3</v>
      </c>
      <c r="S128" s="210"/>
      <c r="T128" s="210"/>
      <c r="U128" s="210"/>
      <c r="V128" s="210"/>
      <c r="W128" s="210"/>
      <c r="X128" s="210"/>
      <c r="Y128" s="210"/>
      <c r="Z128" s="214"/>
      <c r="AA128" s="214"/>
      <c r="AB128" s="214"/>
      <c r="AC128" s="214"/>
      <c r="AD128" s="214">
        <f t="shared" ref="AD128:AR128" si="77">AD183/AD171</f>
        <v>1.8572049444607285E-3</v>
      </c>
      <c r="AE128" s="215">
        <f t="shared" si="77"/>
        <v>0</v>
      </c>
      <c r="AF128" s="215">
        <f t="shared" si="77"/>
        <v>8.3880795324148963E-6</v>
      </c>
      <c r="AG128" s="215">
        <f t="shared" si="77"/>
        <v>8.5074611326524385E-4</v>
      </c>
      <c r="AH128" s="215">
        <f t="shared" si="77"/>
        <v>1.285306900055977E-3</v>
      </c>
      <c r="AI128" s="215">
        <f t="shared" si="77"/>
        <v>2.2064505122878848E-3</v>
      </c>
      <c r="AJ128" s="215">
        <f t="shared" si="77"/>
        <v>1.7462335496633056E-3</v>
      </c>
      <c r="AK128" s="215">
        <f t="shared" si="77"/>
        <v>1.8177986439853425E-3</v>
      </c>
      <c r="AL128" s="215">
        <f t="shared" si="77"/>
        <v>1.9599417982876662E-3</v>
      </c>
      <c r="AM128" s="216">
        <f t="shared" si="77"/>
        <v>2.3572609388596462E-3</v>
      </c>
      <c r="AN128" s="215">
        <f t="shared" si="77"/>
        <v>2.3108808542786591E-3</v>
      </c>
      <c r="AO128" s="214">
        <f t="shared" si="77"/>
        <v>1.5E-3</v>
      </c>
      <c r="AP128" s="214">
        <f t="shared" si="77"/>
        <v>1.4999999999999998E-3</v>
      </c>
      <c r="AQ128" s="214">
        <f t="shared" si="77"/>
        <v>1.5E-3</v>
      </c>
      <c r="AR128" s="214">
        <f t="shared" si="77"/>
        <v>1.4999999999999998E-3</v>
      </c>
      <c r="AS128" s="226"/>
    </row>
    <row r="129" spans="1:45" s="227" customFormat="1" x14ac:dyDescent="0.35">
      <c r="A129" s="217" t="s">
        <v>733</v>
      </c>
      <c r="B129" s="218"/>
      <c r="C129" s="220">
        <f t="shared" ref="C129:R129" si="78">C184/C171</f>
        <v>5.8969480776852962E-2</v>
      </c>
      <c r="D129" s="220">
        <f t="shared" si="78"/>
        <v>6.8106934251909515E-2</v>
      </c>
      <c r="E129" s="220">
        <f t="shared" si="78"/>
        <v>7.2558497811913841E-2</v>
      </c>
      <c r="F129" s="220">
        <f t="shared" si="78"/>
        <v>0.10376300967865418</v>
      </c>
      <c r="G129" s="220">
        <f t="shared" si="78"/>
        <v>8.1846671428900675E-2</v>
      </c>
      <c r="H129" s="220">
        <f t="shared" si="78"/>
        <v>9.3602734643175325E-2</v>
      </c>
      <c r="I129" s="220">
        <f t="shared" si="78"/>
        <v>8.2146645603913437E-2</v>
      </c>
      <c r="J129" s="220">
        <f t="shared" si="78"/>
        <v>0.10166389682067475</v>
      </c>
      <c r="K129" s="220">
        <f t="shared" si="78"/>
        <v>0.10511830402018767</v>
      </c>
      <c r="L129" s="220">
        <f t="shared" si="78"/>
        <v>0.11372328478347482</v>
      </c>
      <c r="M129" s="220">
        <f t="shared" si="78"/>
        <v>0.1177096673704615</v>
      </c>
      <c r="N129" s="220">
        <f t="shared" si="78"/>
        <v>0.1503541107640872</v>
      </c>
      <c r="O129" s="222">
        <f t="shared" si="78"/>
        <v>0.13200300543515378</v>
      </c>
      <c r="P129" s="219">
        <f t="shared" si="78"/>
        <v>9.1734460311265503E-2</v>
      </c>
      <c r="Q129" s="219">
        <f t="shared" si="78"/>
        <v>9.1656765539016277E-2</v>
      </c>
      <c r="R129" s="219">
        <f t="shared" si="78"/>
        <v>9.1794412294842184E-2</v>
      </c>
      <c r="S129" s="219"/>
      <c r="T129" s="219"/>
      <c r="U129" s="219"/>
      <c r="V129" s="219"/>
      <c r="W129" s="219"/>
      <c r="X129" s="219"/>
      <c r="Y129" s="219"/>
      <c r="Z129" s="223"/>
      <c r="AA129" s="223"/>
      <c r="AB129" s="223"/>
      <c r="AC129" s="223"/>
      <c r="AD129" s="223">
        <f t="shared" ref="AD129:AR129" si="79">AD184/AD171</f>
        <v>7.3957185740708836E-2</v>
      </c>
      <c r="AE129" s="224">
        <f t="shared" si="79"/>
        <v>7.3902974859200846E-2</v>
      </c>
      <c r="AF129" s="224">
        <f t="shared" si="79"/>
        <v>7.001362224116052E-2</v>
      </c>
      <c r="AG129" s="224">
        <f t="shared" si="79"/>
        <v>6.6758285478864435E-2</v>
      </c>
      <c r="AH129" s="224">
        <f t="shared" si="79"/>
        <v>6.3953027438299254E-2</v>
      </c>
      <c r="AI129" s="224">
        <f t="shared" si="79"/>
        <v>8.9738186270082593E-2</v>
      </c>
      <c r="AJ129" s="224">
        <f t="shared" si="79"/>
        <v>8.8459029549860943E-2</v>
      </c>
      <c r="AK129" s="224">
        <f t="shared" si="79"/>
        <v>9.2166476190829794E-2</v>
      </c>
      <c r="AL129" s="224">
        <f t="shared" si="79"/>
        <v>0.10943080419861545</v>
      </c>
      <c r="AM129" s="225">
        <f t="shared" si="79"/>
        <v>0.13285544915979089</v>
      </c>
      <c r="AN129" s="224">
        <f t="shared" si="79"/>
        <v>0.11207943731972023</v>
      </c>
      <c r="AO129" s="223">
        <f t="shared" si="79"/>
        <v>9.1726132311427636E-2</v>
      </c>
      <c r="AP129" s="223">
        <f t="shared" si="79"/>
        <v>8.6347085170808455E-2</v>
      </c>
      <c r="AQ129" s="223">
        <f t="shared" si="79"/>
        <v>8.6233844014885971E-2</v>
      </c>
      <c r="AR129" s="223">
        <f t="shared" si="79"/>
        <v>8.604351386484102E-2</v>
      </c>
      <c r="AS129" s="226"/>
    </row>
    <row r="130" spans="1:45" s="227" customFormat="1" x14ac:dyDescent="0.35">
      <c r="A130" s="387" t="s">
        <v>734</v>
      </c>
      <c r="B130" s="229"/>
      <c r="C130" s="371">
        <f t="shared" ref="C130:R130" si="80">C185/C171</f>
        <v>6.0221957986523994E-2</v>
      </c>
      <c r="D130" s="371">
        <f t="shared" si="80"/>
        <v>6.9930578192037601E-2</v>
      </c>
      <c r="E130" s="371">
        <f t="shared" si="80"/>
        <v>7.2558497811913841E-2</v>
      </c>
      <c r="F130" s="371">
        <f t="shared" si="80"/>
        <v>0.10376300967865418</v>
      </c>
      <c r="G130" s="371">
        <f t="shared" si="80"/>
        <v>8.1846671428900675E-2</v>
      </c>
      <c r="H130" s="371">
        <f t="shared" si="80"/>
        <v>9.3602734643175325E-2</v>
      </c>
      <c r="I130" s="371">
        <f t="shared" si="80"/>
        <v>8.2146645603913437E-2</v>
      </c>
      <c r="J130" s="371">
        <f t="shared" si="80"/>
        <v>0.10166389682067475</v>
      </c>
      <c r="K130" s="371">
        <f t="shared" si="80"/>
        <v>0.10511830402018767</v>
      </c>
      <c r="L130" s="371">
        <f t="shared" si="80"/>
        <v>0.11372328478347482</v>
      </c>
      <c r="M130" s="371">
        <f t="shared" si="80"/>
        <v>0.1177096673704615</v>
      </c>
      <c r="N130" s="371">
        <f t="shared" si="80"/>
        <v>0.1503541107640872</v>
      </c>
      <c r="O130" s="372">
        <f t="shared" si="80"/>
        <v>0.13200300543515378</v>
      </c>
      <c r="P130" s="230">
        <f t="shared" si="80"/>
        <v>9.1734460311265503E-2</v>
      </c>
      <c r="Q130" s="230">
        <f t="shared" si="80"/>
        <v>9.1656765539016277E-2</v>
      </c>
      <c r="R130" s="230">
        <f t="shared" si="80"/>
        <v>9.1794412294842184E-2</v>
      </c>
      <c r="S130" s="230"/>
      <c r="T130" s="230"/>
      <c r="U130" s="230"/>
      <c r="V130" s="230"/>
      <c r="W130" s="230"/>
      <c r="X130" s="230"/>
      <c r="Y130" s="230"/>
      <c r="Z130" s="232"/>
      <c r="AA130" s="232"/>
      <c r="AB130" s="232"/>
      <c r="AC130" s="232"/>
      <c r="AD130" s="232">
        <f t="shared" ref="AD130:AR130" si="81">AD185/AD171</f>
        <v>7.5814390685169569E-2</v>
      </c>
      <c r="AE130" s="375">
        <f t="shared" si="81"/>
        <v>7.3902974859200846E-2</v>
      </c>
      <c r="AF130" s="375">
        <f t="shared" si="81"/>
        <v>7.1697948611269435E-2</v>
      </c>
      <c r="AG130" s="375">
        <f t="shared" si="81"/>
        <v>7.3541944609288867E-2</v>
      </c>
      <c r="AH130" s="375">
        <f t="shared" si="81"/>
        <v>6.5517017703601022E-2</v>
      </c>
      <c r="AI130" s="375">
        <f t="shared" si="81"/>
        <v>8.9738186270082593E-2</v>
      </c>
      <c r="AJ130" s="375">
        <f t="shared" si="81"/>
        <v>8.8459029549860943E-2</v>
      </c>
      <c r="AK130" s="375">
        <f t="shared" si="81"/>
        <v>9.2166476190829794E-2</v>
      </c>
      <c r="AL130" s="375">
        <f t="shared" si="81"/>
        <v>0.10943080419861545</v>
      </c>
      <c r="AM130" s="376">
        <f t="shared" si="81"/>
        <v>0.13285544915979089</v>
      </c>
      <c r="AN130" s="375">
        <f t="shared" si="81"/>
        <v>0.11207943731972025</v>
      </c>
      <c r="AO130" s="232">
        <f t="shared" si="81"/>
        <v>9.1726132311427691E-2</v>
      </c>
      <c r="AP130" s="232">
        <f t="shared" si="81"/>
        <v>8.6347085170808455E-2</v>
      </c>
      <c r="AQ130" s="232">
        <f t="shared" si="81"/>
        <v>8.6233844014885971E-2</v>
      </c>
      <c r="AR130" s="232">
        <f t="shared" si="81"/>
        <v>8.604351386484102E-2</v>
      </c>
      <c r="AS130" s="226"/>
    </row>
    <row r="131" spans="1:45" s="385" customFormat="1" x14ac:dyDescent="0.35">
      <c r="A131" s="392" t="s">
        <v>735</v>
      </c>
      <c r="B131" s="379"/>
      <c r="C131" s="267"/>
      <c r="D131" s="267"/>
      <c r="E131" s="267"/>
      <c r="F131" s="267"/>
      <c r="G131" s="267"/>
      <c r="H131" s="267"/>
      <c r="I131" s="267"/>
      <c r="J131" s="267"/>
      <c r="K131" s="380"/>
      <c r="L131" s="267"/>
      <c r="M131" s="380"/>
      <c r="N131" s="267"/>
      <c r="O131" s="381"/>
      <c r="P131" s="382">
        <f ca="1">IFERROR(P186/P172,0)</f>
        <v>0</v>
      </c>
      <c r="Q131" s="382">
        <f ca="1">IFERROR(Q186/Q172,0)</f>
        <v>0</v>
      </c>
      <c r="R131" s="382">
        <f ca="1">IFERROR(R186/R172,0)</f>
        <v>0</v>
      </c>
      <c r="S131" s="382"/>
      <c r="T131" s="382"/>
      <c r="U131" s="382"/>
      <c r="V131" s="382"/>
      <c r="W131" s="382"/>
      <c r="X131" s="382"/>
      <c r="Y131" s="382"/>
      <c r="Z131" s="270"/>
      <c r="AA131" s="270"/>
      <c r="AB131" s="270"/>
      <c r="AC131" s="270"/>
      <c r="AD131" s="270"/>
      <c r="AE131" s="270"/>
      <c r="AF131" s="270"/>
      <c r="AG131" s="270"/>
      <c r="AH131" s="270"/>
      <c r="AI131" s="270"/>
      <c r="AJ131" s="270"/>
      <c r="AK131" s="270"/>
      <c r="AL131" s="270"/>
      <c r="AM131" s="383"/>
      <c r="AN131" s="384">
        <f ca="1">IFERROR(AN186/AN172,0)</f>
        <v>0</v>
      </c>
      <c r="AO131" s="384">
        <f ca="1">IFERROR(AO186/AO172,0)</f>
        <v>0</v>
      </c>
      <c r="AP131" s="384">
        <f ca="1">IFERROR(AP186/AP172,0)</f>
        <v>0</v>
      </c>
      <c r="AQ131" s="384">
        <f ca="1">IFERROR(AQ186/AQ172,0)</f>
        <v>0</v>
      </c>
      <c r="AR131" s="384">
        <f ca="1">IFERROR(AR186/AR172,0)</f>
        <v>0</v>
      </c>
      <c r="AS131" s="267"/>
    </row>
    <row r="132" spans="1:45" s="385" customFormat="1" x14ac:dyDescent="0.35">
      <c r="A132" s="392"/>
      <c r="B132" s="379"/>
      <c r="C132" s="267"/>
      <c r="D132" s="267"/>
      <c r="E132" s="267"/>
      <c r="F132" s="267"/>
      <c r="G132" s="267"/>
      <c r="H132" s="267"/>
      <c r="I132" s="267"/>
      <c r="J132" s="267"/>
      <c r="K132" s="380"/>
      <c r="L132" s="267"/>
      <c r="M132" s="380"/>
      <c r="N132" s="267"/>
      <c r="O132" s="381"/>
      <c r="P132" s="382"/>
      <c r="Q132" s="382"/>
      <c r="R132" s="382"/>
      <c r="S132" s="382"/>
      <c r="T132" s="382"/>
      <c r="U132" s="382"/>
      <c r="V132" s="382"/>
      <c r="W132" s="382"/>
      <c r="X132" s="382"/>
      <c r="Y132" s="382"/>
      <c r="Z132" s="270"/>
      <c r="AA132" s="270"/>
      <c r="AB132" s="270"/>
      <c r="AC132" s="270"/>
      <c r="AD132" s="270"/>
      <c r="AE132" s="270"/>
      <c r="AF132" s="270"/>
      <c r="AG132" s="270"/>
      <c r="AH132" s="270"/>
      <c r="AI132" s="270"/>
      <c r="AJ132" s="270"/>
      <c r="AK132" s="270"/>
      <c r="AL132" s="270"/>
      <c r="AM132" s="383"/>
      <c r="AN132" s="384"/>
      <c r="AO132" s="384"/>
      <c r="AP132" s="384"/>
      <c r="AQ132" s="384"/>
      <c r="AR132" s="384"/>
      <c r="AS132" s="267"/>
    </row>
    <row r="133" spans="1:45" s="167" customFormat="1" x14ac:dyDescent="0.35">
      <c r="A133" s="242" t="s">
        <v>736</v>
      </c>
      <c r="B133" s="243"/>
      <c r="C133" s="243"/>
      <c r="D133" s="243"/>
      <c r="E133" s="243"/>
      <c r="F133" s="243"/>
      <c r="G133" s="243"/>
      <c r="H133" s="243"/>
      <c r="I133" s="243"/>
      <c r="J133" s="243"/>
      <c r="K133" s="243"/>
      <c r="L133" s="243"/>
      <c r="M133" s="244" t="s">
        <v>632</v>
      </c>
      <c r="N133" s="243"/>
      <c r="O133" s="245"/>
      <c r="P133" s="243"/>
      <c r="Q133" s="243"/>
      <c r="R133" s="243"/>
      <c r="S133" s="243"/>
      <c r="T133" s="243"/>
      <c r="U133" s="243"/>
      <c r="V133" s="243"/>
      <c r="W133" s="243"/>
      <c r="X133" s="243"/>
      <c r="Y133" s="243"/>
      <c r="Z133" s="243"/>
      <c r="AA133" s="243"/>
      <c r="AB133" s="243"/>
      <c r="AC133" s="243"/>
      <c r="AD133" s="243"/>
      <c r="AE133" s="243"/>
      <c r="AF133" s="243"/>
      <c r="AG133" s="243"/>
      <c r="AH133" s="243"/>
      <c r="AI133" s="243"/>
      <c r="AJ133" s="243"/>
      <c r="AK133" s="243"/>
      <c r="AL133" s="243"/>
      <c r="AM133" s="245"/>
      <c r="AN133" s="243"/>
      <c r="AO133" s="243"/>
      <c r="AP133" s="243"/>
      <c r="AQ133" s="243"/>
      <c r="AR133" s="243"/>
      <c r="AS133" s="166"/>
    </row>
    <row r="134" spans="1:45" s="262" customFormat="1" outlineLevel="1" x14ac:dyDescent="0.35">
      <c r="A134" s="393" t="s">
        <v>737</v>
      </c>
      <c r="B134" s="368"/>
      <c r="C134" s="394">
        <v>378.45</v>
      </c>
      <c r="D134" s="261">
        <f>AH134-SUM(C134)</f>
        <v>454.036</v>
      </c>
      <c r="E134" s="394">
        <v>358.30399999999997</v>
      </c>
      <c r="F134" s="261">
        <f>AI134-SUM(E134)</f>
        <v>438.904</v>
      </c>
      <c r="G134" s="394">
        <v>433.97</v>
      </c>
      <c r="H134" s="261">
        <f>AJ134-SUM(G134)</f>
        <v>557.87900000000002</v>
      </c>
      <c r="I134" s="394">
        <v>524.14800000000002</v>
      </c>
      <c r="J134" s="261">
        <f>AK134-SUM(I134)</f>
        <v>552.97899999999993</v>
      </c>
      <c r="K134" s="394">
        <v>576.98800000000006</v>
      </c>
      <c r="L134" s="261">
        <f>AL134-SUM(K134)</f>
        <v>579.67899999999986</v>
      </c>
      <c r="M134" s="394">
        <v>577.82000000000005</v>
      </c>
      <c r="N134" s="261">
        <f>AM134-SUM(M134)</f>
        <v>500.12599999999986</v>
      </c>
      <c r="O134" s="395">
        <v>512.40499999999997</v>
      </c>
      <c r="P134" s="307"/>
      <c r="Q134" s="307"/>
      <c r="R134" s="307"/>
      <c r="S134" s="307"/>
      <c r="T134" s="307"/>
      <c r="U134" s="307"/>
      <c r="V134" s="307"/>
      <c r="W134" s="307"/>
      <c r="X134" s="307"/>
      <c r="Y134" s="307"/>
      <c r="Z134" s="309"/>
      <c r="AA134" s="309"/>
      <c r="AB134" s="309"/>
      <c r="AC134" s="309"/>
      <c r="AD134" s="396">
        <v>395.75599999999997</v>
      </c>
      <c r="AE134" s="396">
        <v>504.79700000000003</v>
      </c>
      <c r="AF134" s="396">
        <v>596.08399999999995</v>
      </c>
      <c r="AG134" s="396">
        <v>672.351</v>
      </c>
      <c r="AH134" s="396">
        <v>832.48599999999999</v>
      </c>
      <c r="AI134" s="396">
        <v>797.20799999999997</v>
      </c>
      <c r="AJ134" s="396">
        <v>991.84900000000005</v>
      </c>
      <c r="AK134" s="396">
        <v>1077.127</v>
      </c>
      <c r="AL134" s="396">
        <v>1156.6669999999999</v>
      </c>
      <c r="AM134" s="397">
        <v>1077.9459999999999</v>
      </c>
      <c r="AN134" s="309"/>
      <c r="AO134" s="309"/>
      <c r="AP134" s="309"/>
      <c r="AQ134" s="309"/>
      <c r="AR134" s="309"/>
      <c r="AS134" s="261"/>
    </row>
    <row r="135" spans="1:45" s="167" customFormat="1" outlineLevel="1" x14ac:dyDescent="0.35">
      <c r="A135" s="303" t="s">
        <v>263</v>
      </c>
      <c r="B135" s="315"/>
      <c r="C135" s="248">
        <v>-317.2</v>
      </c>
      <c r="D135" s="166">
        <f>AH135-SUM(C135)</f>
        <v>-378.97300000000001</v>
      </c>
      <c r="E135" s="248">
        <v>-283.46899999999999</v>
      </c>
      <c r="F135" s="166">
        <f>AI135-SUM(E135)</f>
        <v>-338.57599999999996</v>
      </c>
      <c r="G135" s="248">
        <v>-339.298</v>
      </c>
      <c r="H135" s="166">
        <f>AJ135-SUM(G135)</f>
        <v>-441.40800000000002</v>
      </c>
      <c r="I135" s="248">
        <v>-412.476</v>
      </c>
      <c r="J135" s="166">
        <f>AK135-SUM(I135)</f>
        <v>-428.94600000000003</v>
      </c>
      <c r="K135" s="248">
        <v>-442.524</v>
      </c>
      <c r="L135" s="166">
        <f>AL135-SUM(K135)</f>
        <v>-437.78499999999997</v>
      </c>
      <c r="M135" s="248">
        <v>-427.60899999999998</v>
      </c>
      <c r="N135" s="166">
        <f>AM135-SUM(M135)</f>
        <v>-323.12700000000001</v>
      </c>
      <c r="O135" s="249">
        <v>-335.351</v>
      </c>
      <c r="P135" s="164"/>
      <c r="Q135" s="164"/>
      <c r="R135" s="164"/>
      <c r="S135" s="164"/>
      <c r="T135" s="164"/>
      <c r="U135" s="164"/>
      <c r="V135" s="164"/>
      <c r="W135" s="164"/>
      <c r="X135" s="164"/>
      <c r="Y135" s="164"/>
      <c r="Z135" s="250"/>
      <c r="AA135" s="250"/>
      <c r="AB135" s="250"/>
      <c r="AC135" s="250"/>
      <c r="AD135" s="251">
        <v>-325.245</v>
      </c>
      <c r="AE135" s="251">
        <v>-416.27600000000001</v>
      </c>
      <c r="AF135" s="251">
        <v>-493.30900000000003</v>
      </c>
      <c r="AG135" s="251">
        <v>-551.63400000000001</v>
      </c>
      <c r="AH135" s="251">
        <v>-696.173</v>
      </c>
      <c r="AI135" s="251">
        <v>-622.04499999999996</v>
      </c>
      <c r="AJ135" s="251">
        <v>-780.70600000000002</v>
      </c>
      <c r="AK135" s="251">
        <v>-841.42200000000003</v>
      </c>
      <c r="AL135" s="251">
        <v>-880.30899999999997</v>
      </c>
      <c r="AM135" s="252">
        <v>-750.73599999999999</v>
      </c>
      <c r="AN135" s="250"/>
      <c r="AO135" s="250"/>
      <c r="AP135" s="250"/>
      <c r="AQ135" s="250"/>
      <c r="AR135" s="250"/>
      <c r="AS135" s="166"/>
    </row>
    <row r="136" spans="1:45" s="262" customFormat="1" outlineLevel="1" x14ac:dyDescent="0.35">
      <c r="A136" s="253" t="s">
        <v>264</v>
      </c>
      <c r="B136" s="355"/>
      <c r="C136" s="256">
        <f t="shared" ref="C136:O136" si="82">SUM(C134:C135)</f>
        <v>61.25</v>
      </c>
      <c r="D136" s="256">
        <f t="shared" si="82"/>
        <v>75.062999999999988</v>
      </c>
      <c r="E136" s="256">
        <f t="shared" si="82"/>
        <v>74.83499999999998</v>
      </c>
      <c r="F136" s="256">
        <f t="shared" si="82"/>
        <v>100.32800000000003</v>
      </c>
      <c r="G136" s="256">
        <f t="shared" si="82"/>
        <v>94.672000000000025</v>
      </c>
      <c r="H136" s="256">
        <f t="shared" si="82"/>
        <v>116.471</v>
      </c>
      <c r="I136" s="256">
        <f t="shared" si="82"/>
        <v>111.67200000000003</v>
      </c>
      <c r="J136" s="256">
        <f t="shared" si="82"/>
        <v>124.0329999999999</v>
      </c>
      <c r="K136" s="256">
        <f t="shared" si="82"/>
        <v>134.46400000000006</v>
      </c>
      <c r="L136" s="256">
        <f t="shared" si="82"/>
        <v>141.89399999999989</v>
      </c>
      <c r="M136" s="256">
        <f t="shared" si="82"/>
        <v>150.21100000000007</v>
      </c>
      <c r="N136" s="256">
        <f t="shared" si="82"/>
        <v>176.99899999999985</v>
      </c>
      <c r="O136" s="257">
        <f t="shared" si="82"/>
        <v>177.05399999999997</v>
      </c>
      <c r="P136" s="255"/>
      <c r="Q136" s="255"/>
      <c r="R136" s="255"/>
      <c r="S136" s="255"/>
      <c r="T136" s="255"/>
      <c r="U136" s="255"/>
      <c r="V136" s="255"/>
      <c r="W136" s="255"/>
      <c r="X136" s="255"/>
      <c r="Y136" s="255"/>
      <c r="Z136" s="258"/>
      <c r="AA136" s="258"/>
      <c r="AB136" s="258"/>
      <c r="AC136" s="258"/>
      <c r="AD136" s="258">
        <f t="shared" ref="AD136:AM136" si="83">SUM(AD134:AD135)</f>
        <v>70.510999999999967</v>
      </c>
      <c r="AE136" s="259">
        <f t="shared" si="83"/>
        <v>88.521000000000015</v>
      </c>
      <c r="AF136" s="259">
        <f t="shared" si="83"/>
        <v>102.77499999999992</v>
      </c>
      <c r="AG136" s="259">
        <f t="shared" si="83"/>
        <v>120.71699999999998</v>
      </c>
      <c r="AH136" s="259">
        <f t="shared" si="83"/>
        <v>136.31299999999999</v>
      </c>
      <c r="AI136" s="259">
        <f t="shared" si="83"/>
        <v>175.16300000000001</v>
      </c>
      <c r="AJ136" s="259">
        <f t="shared" si="83"/>
        <v>211.14300000000003</v>
      </c>
      <c r="AK136" s="259">
        <f t="shared" si="83"/>
        <v>235.70499999999993</v>
      </c>
      <c r="AL136" s="259">
        <f t="shared" si="83"/>
        <v>276.35799999999995</v>
      </c>
      <c r="AM136" s="260">
        <f t="shared" si="83"/>
        <v>327.20999999999992</v>
      </c>
      <c r="AN136" s="258"/>
      <c r="AO136" s="258"/>
      <c r="AP136" s="258"/>
      <c r="AQ136" s="258"/>
      <c r="AR136" s="258"/>
      <c r="AS136" s="261"/>
    </row>
    <row r="137" spans="1:45" s="167" customFormat="1" outlineLevel="1" x14ac:dyDescent="0.35">
      <c r="A137" s="303" t="s">
        <v>265</v>
      </c>
      <c r="B137" s="315"/>
      <c r="C137" s="248">
        <v>-40.357999999999997</v>
      </c>
      <c r="D137" s="166">
        <f>AH137-SUM(C137)</f>
        <v>-45.792999999999999</v>
      </c>
      <c r="E137" s="248">
        <v>-50.725000000000001</v>
      </c>
      <c r="F137" s="166">
        <f>AI137-SUM(E137)</f>
        <v>-56.416000000000004</v>
      </c>
      <c r="G137" s="248">
        <v>-60.817999999999998</v>
      </c>
      <c r="H137" s="166">
        <f>AJ137-SUM(G137)</f>
        <v>-65.838999999999999</v>
      </c>
      <c r="I137" s="248">
        <v>-71.194000000000003</v>
      </c>
      <c r="J137" s="166">
        <f>AK137-SUM(I137)</f>
        <v>-70.778000000000006</v>
      </c>
      <c r="K137" s="248">
        <v>-77.400000000000006</v>
      </c>
      <c r="L137" s="166">
        <f>AL137-SUM(K137)</f>
        <v>-79.542000000000002</v>
      </c>
      <c r="M137" s="248">
        <v>-86.078000000000003</v>
      </c>
      <c r="N137" s="166">
        <f>AM137-SUM(M137)</f>
        <v>-104.98699999999999</v>
      </c>
      <c r="O137" s="249">
        <v>-113.983</v>
      </c>
      <c r="P137" s="164"/>
      <c r="Q137" s="164"/>
      <c r="R137" s="164"/>
      <c r="S137" s="164"/>
      <c r="T137" s="164"/>
      <c r="U137" s="164"/>
      <c r="V137" s="164"/>
      <c r="W137" s="164"/>
      <c r="X137" s="164"/>
      <c r="Y137" s="164"/>
      <c r="Z137" s="250"/>
      <c r="AA137" s="250"/>
      <c r="AB137" s="250"/>
      <c r="AC137" s="250"/>
      <c r="AD137" s="251">
        <v>-43.143000000000001</v>
      </c>
      <c r="AE137" s="251">
        <v>-52.993000000000002</v>
      </c>
      <c r="AF137" s="251">
        <v>-63.192999999999998</v>
      </c>
      <c r="AG137" s="251">
        <v>-78.527000000000001</v>
      </c>
      <c r="AH137" s="251">
        <v>-86.150999999999996</v>
      </c>
      <c r="AI137" s="251">
        <v>-107.14100000000001</v>
      </c>
      <c r="AJ137" s="251">
        <v>-126.657</v>
      </c>
      <c r="AK137" s="251">
        <v>-141.97200000000001</v>
      </c>
      <c r="AL137" s="251">
        <v>-156.94200000000001</v>
      </c>
      <c r="AM137" s="252">
        <v>-191.065</v>
      </c>
      <c r="AN137" s="250"/>
      <c r="AO137" s="250"/>
      <c r="AP137" s="250"/>
      <c r="AQ137" s="250"/>
      <c r="AR137" s="250"/>
      <c r="AS137" s="166"/>
    </row>
    <row r="138" spans="1:45" s="262" customFormat="1" outlineLevel="1" x14ac:dyDescent="0.35">
      <c r="A138" s="253" t="s">
        <v>231</v>
      </c>
      <c r="B138" s="355"/>
      <c r="C138" s="256">
        <f t="shared" ref="C138:O138" si="84">SUM(C136:C137)</f>
        <v>20.892000000000003</v>
      </c>
      <c r="D138" s="256">
        <f t="shared" si="84"/>
        <v>29.269999999999989</v>
      </c>
      <c r="E138" s="256">
        <f t="shared" si="84"/>
        <v>24.109999999999978</v>
      </c>
      <c r="F138" s="256">
        <f t="shared" si="84"/>
        <v>43.912000000000027</v>
      </c>
      <c r="G138" s="256">
        <f t="shared" si="84"/>
        <v>33.854000000000028</v>
      </c>
      <c r="H138" s="256">
        <f t="shared" si="84"/>
        <v>50.632000000000005</v>
      </c>
      <c r="I138" s="256">
        <f t="shared" si="84"/>
        <v>40.478000000000023</v>
      </c>
      <c r="J138" s="256">
        <f t="shared" si="84"/>
        <v>53.254999999999896</v>
      </c>
      <c r="K138" s="256">
        <f t="shared" si="84"/>
        <v>57.06400000000005</v>
      </c>
      <c r="L138" s="256">
        <f t="shared" si="84"/>
        <v>62.35199999999989</v>
      </c>
      <c r="M138" s="256">
        <f t="shared" si="84"/>
        <v>64.133000000000067</v>
      </c>
      <c r="N138" s="256">
        <f t="shared" si="84"/>
        <v>72.011999999999858</v>
      </c>
      <c r="O138" s="257">
        <f t="shared" si="84"/>
        <v>63.07099999999997</v>
      </c>
      <c r="P138" s="255"/>
      <c r="Q138" s="255"/>
      <c r="R138" s="255"/>
      <c r="S138" s="255"/>
      <c r="T138" s="255"/>
      <c r="U138" s="255"/>
      <c r="V138" s="255"/>
      <c r="W138" s="255"/>
      <c r="X138" s="255"/>
      <c r="Y138" s="255"/>
      <c r="Z138" s="258"/>
      <c r="AA138" s="258"/>
      <c r="AB138" s="258"/>
      <c r="AC138" s="258"/>
      <c r="AD138" s="258">
        <f t="shared" ref="AD138:AM138" si="85">SUM(AD136:AD137)</f>
        <v>27.367999999999967</v>
      </c>
      <c r="AE138" s="259">
        <f t="shared" si="85"/>
        <v>35.528000000000013</v>
      </c>
      <c r="AF138" s="259">
        <f t="shared" si="85"/>
        <v>39.581999999999923</v>
      </c>
      <c r="AG138" s="259">
        <f t="shared" si="85"/>
        <v>42.189999999999984</v>
      </c>
      <c r="AH138" s="259">
        <f t="shared" si="85"/>
        <v>50.161999999999992</v>
      </c>
      <c r="AI138" s="259">
        <f t="shared" si="85"/>
        <v>68.022000000000006</v>
      </c>
      <c r="AJ138" s="259">
        <f t="shared" si="85"/>
        <v>84.486000000000033</v>
      </c>
      <c r="AK138" s="259">
        <f t="shared" si="85"/>
        <v>93.732999999999919</v>
      </c>
      <c r="AL138" s="259">
        <f t="shared" si="85"/>
        <v>119.41599999999994</v>
      </c>
      <c r="AM138" s="260">
        <f t="shared" si="85"/>
        <v>136.14499999999992</v>
      </c>
      <c r="AN138" s="258"/>
      <c r="AO138" s="258"/>
      <c r="AP138" s="258"/>
      <c r="AQ138" s="258"/>
      <c r="AR138" s="258"/>
      <c r="AS138" s="261"/>
    </row>
    <row r="139" spans="1:45" s="167" customFormat="1" outlineLevel="2" x14ac:dyDescent="0.35">
      <c r="A139" s="398" t="s">
        <v>738</v>
      </c>
      <c r="B139" s="361"/>
      <c r="C139" s="399">
        <v>8.7999999999999995E-2</v>
      </c>
      <c r="D139" s="400">
        <f>AH139-SUM(C139)</f>
        <v>5.3999999999999992E-2</v>
      </c>
      <c r="E139" s="399">
        <v>3.7999999999999999E-2</v>
      </c>
      <c r="F139" s="400">
        <f>AI139-SUM(E139)</f>
        <v>7.9000000000000015E-2</v>
      </c>
      <c r="G139" s="399">
        <v>0.11</v>
      </c>
      <c r="H139" s="400">
        <f>AJ139-SUM(G139)</f>
        <v>0.22300000000000003</v>
      </c>
      <c r="I139" s="399">
        <v>0.154</v>
      </c>
      <c r="J139" s="400">
        <f>AK139-SUM(I139)</f>
        <v>4.6000000000000013E-2</v>
      </c>
      <c r="K139" s="399">
        <v>2.4E-2</v>
      </c>
      <c r="L139" s="400">
        <f>AL139-SUM(K139)</f>
        <v>4.0000000000000001E-3</v>
      </c>
      <c r="M139" s="399">
        <v>6.0000000000000001E-3</v>
      </c>
      <c r="N139" s="400">
        <f>AM139-SUM(M139)</f>
        <v>0.246</v>
      </c>
      <c r="O139" s="401">
        <v>0.151</v>
      </c>
      <c r="P139" s="362"/>
      <c r="Q139" s="362"/>
      <c r="R139" s="362"/>
      <c r="S139" s="362"/>
      <c r="T139" s="362"/>
      <c r="U139" s="362"/>
      <c r="V139" s="362"/>
      <c r="W139" s="362"/>
      <c r="X139" s="362"/>
      <c r="Y139" s="362"/>
      <c r="Z139" s="364"/>
      <c r="AA139" s="364"/>
      <c r="AB139" s="364"/>
      <c r="AC139" s="364"/>
      <c r="AD139" s="402">
        <v>8.1000000000000003E-2</v>
      </c>
      <c r="AE139" s="402">
        <v>0.10199999999999999</v>
      </c>
      <c r="AF139" s="402">
        <v>0.19500000000000001</v>
      </c>
      <c r="AG139" s="402">
        <v>0.21299999999999999</v>
      </c>
      <c r="AH139" s="402">
        <v>0.14199999999999999</v>
      </c>
      <c r="AI139" s="402">
        <v>0.11700000000000001</v>
      </c>
      <c r="AJ139" s="402">
        <v>0.33300000000000002</v>
      </c>
      <c r="AK139" s="402">
        <v>0.2</v>
      </c>
      <c r="AL139" s="402">
        <v>2.8000000000000001E-2</v>
      </c>
      <c r="AM139" s="403">
        <v>0.252</v>
      </c>
      <c r="AN139" s="364"/>
      <c r="AO139" s="364"/>
      <c r="AP139" s="364"/>
      <c r="AQ139" s="364"/>
      <c r="AR139" s="364"/>
      <c r="AS139" s="166"/>
    </row>
    <row r="140" spans="1:45" s="167" customFormat="1" outlineLevel="1" x14ac:dyDescent="0.35">
      <c r="A140" s="303" t="s">
        <v>268</v>
      </c>
      <c r="B140" s="315"/>
      <c r="C140" s="166">
        <f t="shared" ref="C140:O140" si="86">SUM(C139)</f>
        <v>8.7999999999999995E-2</v>
      </c>
      <c r="D140" s="166">
        <f t="shared" si="86"/>
        <v>5.3999999999999992E-2</v>
      </c>
      <c r="E140" s="166">
        <f t="shared" si="86"/>
        <v>3.7999999999999999E-2</v>
      </c>
      <c r="F140" s="166">
        <f t="shared" si="86"/>
        <v>7.9000000000000015E-2</v>
      </c>
      <c r="G140" s="166">
        <f t="shared" si="86"/>
        <v>0.11</v>
      </c>
      <c r="H140" s="166">
        <f t="shared" si="86"/>
        <v>0.22300000000000003</v>
      </c>
      <c r="I140" s="166">
        <f t="shared" si="86"/>
        <v>0.154</v>
      </c>
      <c r="J140" s="166">
        <f t="shared" si="86"/>
        <v>4.6000000000000013E-2</v>
      </c>
      <c r="K140" s="166">
        <f t="shared" si="86"/>
        <v>2.4E-2</v>
      </c>
      <c r="L140" s="166">
        <f t="shared" si="86"/>
        <v>4.0000000000000001E-3</v>
      </c>
      <c r="M140" s="166">
        <f t="shared" si="86"/>
        <v>6.0000000000000001E-3</v>
      </c>
      <c r="N140" s="166">
        <f t="shared" si="86"/>
        <v>0.246</v>
      </c>
      <c r="O140" s="311">
        <f t="shared" si="86"/>
        <v>0.151</v>
      </c>
      <c r="P140" s="164"/>
      <c r="Q140" s="164"/>
      <c r="R140" s="164"/>
      <c r="S140" s="164"/>
      <c r="T140" s="164"/>
      <c r="U140" s="164"/>
      <c r="V140" s="164"/>
      <c r="W140" s="164"/>
      <c r="X140" s="164"/>
      <c r="Y140" s="164"/>
      <c r="Z140" s="250"/>
      <c r="AA140" s="250"/>
      <c r="AB140" s="250"/>
      <c r="AC140" s="250"/>
      <c r="AD140" s="250">
        <f t="shared" ref="AD140:AM140" si="87">SUM(AD139)</f>
        <v>8.1000000000000003E-2</v>
      </c>
      <c r="AE140" s="304">
        <f t="shared" si="87"/>
        <v>0.10199999999999999</v>
      </c>
      <c r="AF140" s="304">
        <f t="shared" si="87"/>
        <v>0.19500000000000001</v>
      </c>
      <c r="AG140" s="304">
        <f t="shared" si="87"/>
        <v>0.21299999999999999</v>
      </c>
      <c r="AH140" s="304">
        <f t="shared" si="87"/>
        <v>0.14199999999999999</v>
      </c>
      <c r="AI140" s="304">
        <f t="shared" si="87"/>
        <v>0.11700000000000001</v>
      </c>
      <c r="AJ140" s="304">
        <f t="shared" si="87"/>
        <v>0.33300000000000002</v>
      </c>
      <c r="AK140" s="304">
        <f t="shared" si="87"/>
        <v>0.2</v>
      </c>
      <c r="AL140" s="304">
        <f t="shared" si="87"/>
        <v>2.8000000000000001E-2</v>
      </c>
      <c r="AM140" s="312">
        <f t="shared" si="87"/>
        <v>0.252</v>
      </c>
      <c r="AN140" s="250"/>
      <c r="AO140" s="250"/>
      <c r="AP140" s="250"/>
      <c r="AQ140" s="250"/>
      <c r="AR140" s="250"/>
      <c r="AS140" s="166"/>
    </row>
    <row r="141" spans="1:45" s="167" customFormat="1" outlineLevel="2" x14ac:dyDescent="0.35">
      <c r="A141" s="398" t="s">
        <v>739</v>
      </c>
      <c r="B141" s="361"/>
      <c r="C141" s="362"/>
      <c r="D141" s="400">
        <f>AH141-SUM(C141)</f>
        <v>0</v>
      </c>
      <c r="E141" s="362"/>
      <c r="F141" s="400">
        <f>AI141-SUM(E141)</f>
        <v>0</v>
      </c>
      <c r="G141" s="399">
        <v>0</v>
      </c>
      <c r="H141" s="400">
        <f>AJ141-SUM(G141)</f>
        <v>0</v>
      </c>
      <c r="I141" s="399">
        <v>-0.109</v>
      </c>
      <c r="J141" s="400">
        <f>AK141-SUM(I141)</f>
        <v>-0.20700000000000002</v>
      </c>
      <c r="K141" s="399">
        <v>-0.13800000000000001</v>
      </c>
      <c r="L141" s="400">
        <f>AL141-SUM(K141)</f>
        <v>-0.33899999999999997</v>
      </c>
      <c r="M141" s="399">
        <v>6.6000000000000003E-2</v>
      </c>
      <c r="N141" s="400">
        <f>AM141-SUM(M141)</f>
        <v>-0.31900000000000001</v>
      </c>
      <c r="O141" s="401">
        <v>-9.9000000000000005E-2</v>
      </c>
      <c r="P141" s="362"/>
      <c r="Q141" s="362"/>
      <c r="R141" s="362"/>
      <c r="S141" s="362"/>
      <c r="T141" s="362"/>
      <c r="U141" s="362"/>
      <c r="V141" s="362"/>
      <c r="W141" s="362"/>
      <c r="X141" s="362"/>
      <c r="Y141" s="362"/>
      <c r="Z141" s="364"/>
      <c r="AA141" s="364"/>
      <c r="AB141" s="364"/>
      <c r="AC141" s="364"/>
      <c r="AD141" s="364"/>
      <c r="AE141" s="364"/>
      <c r="AF141" s="364"/>
      <c r="AG141" s="364"/>
      <c r="AH141" s="364"/>
      <c r="AI141" s="364"/>
      <c r="AJ141" s="402">
        <v>0</v>
      </c>
      <c r="AK141" s="402">
        <v>-0.316</v>
      </c>
      <c r="AL141" s="402">
        <v>-0.47699999999999998</v>
      </c>
      <c r="AM141" s="403">
        <v>-0.253</v>
      </c>
      <c r="AN141" s="364"/>
      <c r="AO141" s="364"/>
      <c r="AP141" s="364"/>
      <c r="AQ141" s="364"/>
      <c r="AR141" s="364"/>
      <c r="AS141" s="166"/>
    </row>
    <row r="142" spans="1:45" s="167" customFormat="1" outlineLevel="1" x14ac:dyDescent="0.35">
      <c r="A142" s="303" t="s">
        <v>740</v>
      </c>
      <c r="B142" s="315"/>
      <c r="C142" s="166">
        <f t="shared" ref="C142:O142" si="88">SUM(C141)</f>
        <v>0</v>
      </c>
      <c r="D142" s="166">
        <f t="shared" si="88"/>
        <v>0</v>
      </c>
      <c r="E142" s="166">
        <f t="shared" si="88"/>
        <v>0</v>
      </c>
      <c r="F142" s="166">
        <f t="shared" si="88"/>
        <v>0</v>
      </c>
      <c r="G142" s="166">
        <f t="shared" si="88"/>
        <v>0</v>
      </c>
      <c r="H142" s="166">
        <f t="shared" si="88"/>
        <v>0</v>
      </c>
      <c r="I142" s="166">
        <f t="shared" si="88"/>
        <v>-0.109</v>
      </c>
      <c r="J142" s="166">
        <f t="shared" si="88"/>
        <v>-0.20700000000000002</v>
      </c>
      <c r="K142" s="166">
        <f t="shared" si="88"/>
        <v>-0.13800000000000001</v>
      </c>
      <c r="L142" s="166">
        <f t="shared" si="88"/>
        <v>-0.33899999999999997</v>
      </c>
      <c r="M142" s="166">
        <f t="shared" si="88"/>
        <v>6.6000000000000003E-2</v>
      </c>
      <c r="N142" s="166">
        <f t="shared" si="88"/>
        <v>-0.31900000000000001</v>
      </c>
      <c r="O142" s="311">
        <f t="shared" si="88"/>
        <v>-9.9000000000000005E-2</v>
      </c>
      <c r="P142" s="164"/>
      <c r="Q142" s="164"/>
      <c r="R142" s="164"/>
      <c r="S142" s="164"/>
      <c r="T142" s="164"/>
      <c r="U142" s="164"/>
      <c r="V142" s="164"/>
      <c r="W142" s="164"/>
      <c r="X142" s="164"/>
      <c r="Y142" s="164"/>
      <c r="Z142" s="250"/>
      <c r="AA142" s="250"/>
      <c r="AB142" s="250"/>
      <c r="AC142" s="250"/>
      <c r="AD142" s="250">
        <f t="shared" ref="AD142:AM142" si="89">SUM(AD141)</f>
        <v>0</v>
      </c>
      <c r="AE142" s="304">
        <f t="shared" si="89"/>
        <v>0</v>
      </c>
      <c r="AF142" s="304">
        <f t="shared" si="89"/>
        <v>0</v>
      </c>
      <c r="AG142" s="304">
        <f t="shared" si="89"/>
        <v>0</v>
      </c>
      <c r="AH142" s="304">
        <f t="shared" si="89"/>
        <v>0</v>
      </c>
      <c r="AI142" s="304">
        <f t="shared" si="89"/>
        <v>0</v>
      </c>
      <c r="AJ142" s="304">
        <f t="shared" si="89"/>
        <v>0</v>
      </c>
      <c r="AK142" s="304">
        <f t="shared" si="89"/>
        <v>-0.316</v>
      </c>
      <c r="AL142" s="304">
        <f t="shared" si="89"/>
        <v>-0.47699999999999998</v>
      </c>
      <c r="AM142" s="312">
        <f t="shared" si="89"/>
        <v>-0.253</v>
      </c>
      <c r="AN142" s="250"/>
      <c r="AO142" s="250"/>
      <c r="AP142" s="250"/>
      <c r="AQ142" s="250"/>
      <c r="AR142" s="250"/>
      <c r="AS142" s="166"/>
    </row>
    <row r="143" spans="1:45" s="262" customFormat="1" outlineLevel="1" x14ac:dyDescent="0.35">
      <c r="A143" s="253" t="s">
        <v>272</v>
      </c>
      <c r="B143" s="355"/>
      <c r="C143" s="256">
        <f t="shared" ref="C143:O143" si="90">SUM(C142,C140,C138)</f>
        <v>20.980000000000004</v>
      </c>
      <c r="D143" s="256">
        <f t="shared" si="90"/>
        <v>29.323999999999987</v>
      </c>
      <c r="E143" s="256">
        <f t="shared" si="90"/>
        <v>24.147999999999978</v>
      </c>
      <c r="F143" s="256">
        <f t="shared" si="90"/>
        <v>43.991000000000028</v>
      </c>
      <c r="G143" s="256">
        <f t="shared" si="90"/>
        <v>33.964000000000027</v>
      </c>
      <c r="H143" s="256">
        <f t="shared" si="90"/>
        <v>50.855000000000004</v>
      </c>
      <c r="I143" s="256">
        <f t="shared" si="90"/>
        <v>40.523000000000025</v>
      </c>
      <c r="J143" s="256">
        <f t="shared" si="90"/>
        <v>53.093999999999895</v>
      </c>
      <c r="K143" s="256">
        <f t="shared" si="90"/>
        <v>56.950000000000053</v>
      </c>
      <c r="L143" s="256">
        <f t="shared" si="90"/>
        <v>62.016999999999889</v>
      </c>
      <c r="M143" s="256">
        <f t="shared" si="90"/>
        <v>64.205000000000069</v>
      </c>
      <c r="N143" s="256">
        <f t="shared" si="90"/>
        <v>71.938999999999865</v>
      </c>
      <c r="O143" s="257">
        <f t="shared" si="90"/>
        <v>63.122999999999969</v>
      </c>
      <c r="P143" s="255"/>
      <c r="Q143" s="255"/>
      <c r="R143" s="255"/>
      <c r="S143" s="255"/>
      <c r="T143" s="255"/>
      <c r="U143" s="255"/>
      <c r="V143" s="255"/>
      <c r="W143" s="255"/>
      <c r="X143" s="255"/>
      <c r="Y143" s="255"/>
      <c r="Z143" s="258"/>
      <c r="AA143" s="258"/>
      <c r="AB143" s="258"/>
      <c r="AC143" s="258"/>
      <c r="AD143" s="258">
        <f t="shared" ref="AD143:AM143" si="91">SUM(AD142,AD140,AD138)</f>
        <v>27.448999999999966</v>
      </c>
      <c r="AE143" s="259">
        <f t="shared" si="91"/>
        <v>35.63000000000001</v>
      </c>
      <c r="AF143" s="259">
        <f t="shared" si="91"/>
        <v>39.776999999999923</v>
      </c>
      <c r="AG143" s="259">
        <f t="shared" si="91"/>
        <v>42.402999999999984</v>
      </c>
      <c r="AH143" s="259">
        <f t="shared" si="91"/>
        <v>50.303999999999995</v>
      </c>
      <c r="AI143" s="259">
        <f t="shared" si="91"/>
        <v>68.13900000000001</v>
      </c>
      <c r="AJ143" s="259">
        <f t="shared" si="91"/>
        <v>84.819000000000031</v>
      </c>
      <c r="AK143" s="259">
        <f t="shared" si="91"/>
        <v>93.616999999999919</v>
      </c>
      <c r="AL143" s="259">
        <f t="shared" si="91"/>
        <v>118.96699999999994</v>
      </c>
      <c r="AM143" s="260">
        <f t="shared" si="91"/>
        <v>136.14399999999992</v>
      </c>
      <c r="AN143" s="258"/>
      <c r="AO143" s="258"/>
      <c r="AP143" s="258"/>
      <c r="AQ143" s="258"/>
      <c r="AR143" s="258"/>
      <c r="AS143" s="261"/>
    </row>
    <row r="144" spans="1:45" s="167" customFormat="1" outlineLevel="2" x14ac:dyDescent="0.35">
      <c r="A144" s="404" t="s">
        <v>741</v>
      </c>
      <c r="B144" s="315"/>
      <c r="C144" s="248">
        <v>-4.2430000000000003</v>
      </c>
      <c r="D144" s="166">
        <f>AH144-SUM(C144)</f>
        <v>-6.15</v>
      </c>
      <c r="E144" s="248">
        <v>-4.7220000000000004</v>
      </c>
      <c r="F144" s="166">
        <f>AI144-SUM(E144)</f>
        <v>-8.7929999999999993</v>
      </c>
      <c r="G144" s="248">
        <v>-6.5140000000000002</v>
      </c>
      <c r="H144" s="166">
        <f>AJ144-SUM(G144)</f>
        <v>-10.286999999999999</v>
      </c>
      <c r="I144" s="248">
        <v>-6.7850000000000001</v>
      </c>
      <c r="J144" s="166">
        <f>AK144-SUM(I144)</f>
        <v>-11.369</v>
      </c>
      <c r="K144" s="248">
        <v>-10.849</v>
      </c>
      <c r="L144" s="166">
        <f>AL144-SUM(K144)</f>
        <v>-12.059999999999999</v>
      </c>
      <c r="M144" s="248">
        <v>-12.231999999999999</v>
      </c>
      <c r="N144" s="166">
        <f>AM144-SUM(M144)</f>
        <v>-13.747</v>
      </c>
      <c r="O144" s="249">
        <v>-13.321999999999999</v>
      </c>
      <c r="P144" s="164"/>
      <c r="Q144" s="164"/>
      <c r="R144" s="164"/>
      <c r="S144" s="164"/>
      <c r="T144" s="164"/>
      <c r="U144" s="164"/>
      <c r="V144" s="164"/>
      <c r="W144" s="164"/>
      <c r="X144" s="164"/>
      <c r="Y144" s="164"/>
      <c r="Z144" s="250"/>
      <c r="AA144" s="250"/>
      <c r="AB144" s="250"/>
      <c r="AC144" s="250"/>
      <c r="AD144" s="251">
        <v>-6.4039999999999999</v>
      </c>
      <c r="AE144" s="251">
        <v>-8.1300000000000008</v>
      </c>
      <c r="AF144" s="251">
        <v>-8.9700000000000006</v>
      </c>
      <c r="AG144" s="251">
        <v>-9.1790000000000003</v>
      </c>
      <c r="AH144" s="251">
        <v>-10.393000000000001</v>
      </c>
      <c r="AI144" s="251">
        <v>-13.515000000000001</v>
      </c>
      <c r="AJ144" s="251">
        <v>-16.800999999999998</v>
      </c>
      <c r="AK144" s="251">
        <v>-18.154</v>
      </c>
      <c r="AL144" s="251">
        <v>-22.908999999999999</v>
      </c>
      <c r="AM144" s="252">
        <v>-25.978999999999999</v>
      </c>
      <c r="AN144" s="250"/>
      <c r="AO144" s="250"/>
      <c r="AP144" s="250"/>
      <c r="AQ144" s="250"/>
      <c r="AR144" s="250"/>
      <c r="AS144" s="166"/>
    </row>
    <row r="145" spans="1:45" s="167" customFormat="1" outlineLevel="2" x14ac:dyDescent="0.35">
      <c r="A145" s="404" t="s">
        <v>742</v>
      </c>
      <c r="B145" s="315"/>
      <c r="C145" s="248">
        <v>0</v>
      </c>
      <c r="D145" s="166">
        <f>AH145-SUM(C145)</f>
        <v>-8.7999999999999995E-2</v>
      </c>
      <c r="E145" s="248">
        <v>0</v>
      </c>
      <c r="F145" s="166">
        <f>AI145-SUM(E145)</f>
        <v>0.11899999999999999</v>
      </c>
      <c r="G145" s="164"/>
      <c r="H145" s="166">
        <f>AJ145-SUM(G145)</f>
        <v>-0.01</v>
      </c>
      <c r="I145" s="248">
        <v>0</v>
      </c>
      <c r="J145" s="166">
        <f>AK145-SUM(I145)</f>
        <v>3.5999999999999997E-2</v>
      </c>
      <c r="K145" s="248">
        <v>0.13800000000000001</v>
      </c>
      <c r="L145" s="166">
        <f>AL145-SUM(K145)</f>
        <v>-0.21800000000000003</v>
      </c>
      <c r="M145" s="164"/>
      <c r="N145" s="166">
        <f>AM145-SUM(M145)</f>
        <v>-5.1999999999999998E-2</v>
      </c>
      <c r="O145" s="165"/>
      <c r="P145" s="164"/>
      <c r="Q145" s="164"/>
      <c r="R145" s="164"/>
      <c r="S145" s="164"/>
      <c r="T145" s="164"/>
      <c r="U145" s="164"/>
      <c r="V145" s="164"/>
      <c r="W145" s="164"/>
      <c r="X145" s="164"/>
      <c r="Y145" s="164"/>
      <c r="Z145" s="250"/>
      <c r="AA145" s="250"/>
      <c r="AB145" s="250"/>
      <c r="AC145" s="250"/>
      <c r="AD145" s="251">
        <v>-3.7999999999999999E-2</v>
      </c>
      <c r="AE145" s="251">
        <v>0</v>
      </c>
      <c r="AF145" s="251">
        <v>6.0000000000000001E-3</v>
      </c>
      <c r="AG145" s="251">
        <v>7.0000000000000001E-3</v>
      </c>
      <c r="AH145" s="251">
        <v>-8.7999999999999995E-2</v>
      </c>
      <c r="AI145" s="251">
        <v>0.11899999999999999</v>
      </c>
      <c r="AJ145" s="251">
        <v>-0.01</v>
      </c>
      <c r="AK145" s="251">
        <v>3.5999999999999997E-2</v>
      </c>
      <c r="AL145" s="251">
        <v>-0.08</v>
      </c>
      <c r="AM145" s="252">
        <v>-5.1999999999999998E-2</v>
      </c>
      <c r="AN145" s="250"/>
      <c r="AO145" s="250"/>
      <c r="AP145" s="250"/>
      <c r="AQ145" s="250"/>
      <c r="AR145" s="250"/>
      <c r="AS145" s="166"/>
    </row>
    <row r="146" spans="1:45" s="167" customFormat="1" outlineLevel="2" x14ac:dyDescent="0.35">
      <c r="A146" s="404" t="s">
        <v>743</v>
      </c>
      <c r="B146" s="315"/>
      <c r="C146" s="164"/>
      <c r="D146" s="166">
        <f>AH146-SUM(C146)</f>
        <v>0</v>
      </c>
      <c r="E146" s="164"/>
      <c r="F146" s="166">
        <f>AI146-SUM(E146)</f>
        <v>0</v>
      </c>
      <c r="G146" s="164"/>
      <c r="H146" s="166">
        <f>AJ146-SUM(G146)</f>
        <v>0</v>
      </c>
      <c r="I146" s="248">
        <v>0</v>
      </c>
      <c r="J146" s="166">
        <f>AK146-SUM(I146)</f>
        <v>5.8000000000000003E-2</v>
      </c>
      <c r="K146" s="248">
        <v>0</v>
      </c>
      <c r="L146" s="166">
        <f>AL146-SUM(K146)</f>
        <v>1E-3</v>
      </c>
      <c r="M146" s="164"/>
      <c r="N146" s="166">
        <f>AM146-SUM(M146)</f>
        <v>2E-3</v>
      </c>
      <c r="O146" s="165"/>
      <c r="P146" s="164"/>
      <c r="Q146" s="164"/>
      <c r="R146" s="164"/>
      <c r="S146" s="164"/>
      <c r="T146" s="164"/>
      <c r="U146" s="164"/>
      <c r="V146" s="164"/>
      <c r="W146" s="164"/>
      <c r="X146" s="164"/>
      <c r="Y146" s="164"/>
      <c r="Z146" s="250"/>
      <c r="AA146" s="250"/>
      <c r="AB146" s="250"/>
      <c r="AC146" s="250"/>
      <c r="AD146" s="250"/>
      <c r="AE146" s="250"/>
      <c r="AF146" s="250"/>
      <c r="AG146" s="250"/>
      <c r="AH146" s="250"/>
      <c r="AI146" s="250"/>
      <c r="AJ146" s="251">
        <v>0</v>
      </c>
      <c r="AK146" s="251">
        <v>5.8000000000000003E-2</v>
      </c>
      <c r="AL146" s="251">
        <v>1E-3</v>
      </c>
      <c r="AM146" s="252">
        <v>2E-3</v>
      </c>
      <c r="AN146" s="250"/>
      <c r="AO146" s="250"/>
      <c r="AP146" s="250"/>
      <c r="AQ146" s="250"/>
      <c r="AR146" s="250"/>
      <c r="AS146" s="166"/>
    </row>
    <row r="147" spans="1:45" s="167" customFormat="1" outlineLevel="2" x14ac:dyDescent="0.35">
      <c r="A147" s="404" t="s">
        <v>744</v>
      </c>
      <c r="B147" s="315"/>
      <c r="C147" s="164"/>
      <c r="D147" s="166">
        <f>AH147-SUM(C147)</f>
        <v>0</v>
      </c>
      <c r="E147" s="164"/>
      <c r="F147" s="166">
        <f>AI147-SUM(E147)</f>
        <v>0</v>
      </c>
      <c r="G147" s="164"/>
      <c r="H147" s="166">
        <f>AJ147-SUM(G147)</f>
        <v>0</v>
      </c>
      <c r="I147" s="248">
        <v>0</v>
      </c>
      <c r="J147" s="166">
        <f>AK147-SUM(I147)</f>
        <v>-6.4000000000000001E-2</v>
      </c>
      <c r="K147" s="248">
        <v>0</v>
      </c>
      <c r="L147" s="166">
        <f>AL147-SUM(K147)</f>
        <v>-1E-3</v>
      </c>
      <c r="M147" s="164"/>
      <c r="N147" s="166">
        <f>AM147-SUM(M147)</f>
        <v>-3.0000000000000001E-3</v>
      </c>
      <c r="O147" s="165"/>
      <c r="P147" s="164"/>
      <c r="Q147" s="164"/>
      <c r="R147" s="164"/>
      <c r="S147" s="164"/>
      <c r="T147" s="164"/>
      <c r="U147" s="164"/>
      <c r="V147" s="164"/>
      <c r="W147" s="164"/>
      <c r="X147" s="164"/>
      <c r="Y147" s="164"/>
      <c r="Z147" s="250"/>
      <c r="AA147" s="250"/>
      <c r="AB147" s="250"/>
      <c r="AC147" s="250"/>
      <c r="AD147" s="250"/>
      <c r="AE147" s="250"/>
      <c r="AF147" s="250"/>
      <c r="AG147" s="250"/>
      <c r="AH147" s="250"/>
      <c r="AI147" s="250"/>
      <c r="AJ147" s="251">
        <v>0</v>
      </c>
      <c r="AK147" s="251">
        <v>-6.4000000000000001E-2</v>
      </c>
      <c r="AL147" s="251">
        <v>-1E-3</v>
      </c>
      <c r="AM147" s="252">
        <v>-3.0000000000000001E-3</v>
      </c>
      <c r="AN147" s="250"/>
      <c r="AO147" s="250"/>
      <c r="AP147" s="250"/>
      <c r="AQ147" s="250"/>
      <c r="AR147" s="250"/>
      <c r="AS147" s="166"/>
    </row>
    <row r="148" spans="1:45" s="167" customFormat="1" outlineLevel="2" x14ac:dyDescent="0.35">
      <c r="A148" s="405" t="s">
        <v>745</v>
      </c>
      <c r="B148" s="406"/>
      <c r="C148" s="407">
        <f t="shared" ref="C148:O148" si="92">SUM(C144:C147)</f>
        <v>-4.2430000000000003</v>
      </c>
      <c r="D148" s="407">
        <f t="shared" si="92"/>
        <v>-6.2380000000000004</v>
      </c>
      <c r="E148" s="407">
        <f t="shared" si="92"/>
        <v>-4.7220000000000004</v>
      </c>
      <c r="F148" s="407">
        <f t="shared" si="92"/>
        <v>-8.6739999999999995</v>
      </c>
      <c r="G148" s="407">
        <f t="shared" si="92"/>
        <v>-6.5140000000000002</v>
      </c>
      <c r="H148" s="407">
        <f t="shared" si="92"/>
        <v>-10.296999999999999</v>
      </c>
      <c r="I148" s="407">
        <f t="shared" si="92"/>
        <v>-6.7850000000000001</v>
      </c>
      <c r="J148" s="407">
        <f t="shared" si="92"/>
        <v>-11.339</v>
      </c>
      <c r="K148" s="407">
        <f t="shared" si="92"/>
        <v>-10.711</v>
      </c>
      <c r="L148" s="407">
        <f t="shared" si="92"/>
        <v>-12.277999999999999</v>
      </c>
      <c r="M148" s="407">
        <f t="shared" si="92"/>
        <v>-12.231999999999999</v>
      </c>
      <c r="N148" s="407">
        <f t="shared" si="92"/>
        <v>-13.799999999999999</v>
      </c>
      <c r="O148" s="408">
        <f t="shared" si="92"/>
        <v>-13.321999999999999</v>
      </c>
      <c r="P148" s="409"/>
      <c r="Q148" s="409"/>
      <c r="R148" s="409"/>
      <c r="S148" s="409"/>
      <c r="T148" s="409"/>
      <c r="U148" s="409"/>
      <c r="V148" s="409"/>
      <c r="W148" s="409"/>
      <c r="X148" s="409"/>
      <c r="Y148" s="409"/>
      <c r="Z148" s="410"/>
      <c r="AA148" s="410"/>
      <c r="AB148" s="410"/>
      <c r="AC148" s="410"/>
      <c r="AD148" s="410">
        <f t="shared" ref="AD148:AM148" si="93">SUM(AD144:AD147)</f>
        <v>-6.4420000000000002</v>
      </c>
      <c r="AE148" s="411">
        <f t="shared" si="93"/>
        <v>-8.1300000000000008</v>
      </c>
      <c r="AF148" s="411">
        <f t="shared" si="93"/>
        <v>-8.9640000000000004</v>
      </c>
      <c r="AG148" s="411">
        <f t="shared" si="93"/>
        <v>-9.1720000000000006</v>
      </c>
      <c r="AH148" s="411">
        <f t="shared" si="93"/>
        <v>-10.481</v>
      </c>
      <c r="AI148" s="411">
        <f t="shared" si="93"/>
        <v>-13.396000000000001</v>
      </c>
      <c r="AJ148" s="411">
        <f t="shared" si="93"/>
        <v>-16.811</v>
      </c>
      <c r="AK148" s="411">
        <f t="shared" si="93"/>
        <v>-18.123999999999999</v>
      </c>
      <c r="AL148" s="411">
        <f t="shared" si="93"/>
        <v>-22.988999999999997</v>
      </c>
      <c r="AM148" s="412">
        <f t="shared" si="93"/>
        <v>-26.032</v>
      </c>
      <c r="AN148" s="410"/>
      <c r="AO148" s="410"/>
      <c r="AP148" s="410"/>
      <c r="AQ148" s="410"/>
      <c r="AR148" s="410"/>
      <c r="AS148" s="166"/>
    </row>
    <row r="149" spans="1:45" s="167" customFormat="1" outlineLevel="2" x14ac:dyDescent="0.35">
      <c r="A149" s="404" t="s">
        <v>746</v>
      </c>
      <c r="B149" s="315"/>
      <c r="C149" s="164"/>
      <c r="D149" s="164"/>
      <c r="E149" s="164"/>
      <c r="F149" s="164"/>
      <c r="G149" s="164"/>
      <c r="H149" s="164"/>
      <c r="I149" s="164"/>
      <c r="J149" s="164"/>
      <c r="K149" s="164"/>
      <c r="L149" s="164"/>
      <c r="M149" s="164"/>
      <c r="N149" s="164"/>
      <c r="O149" s="165"/>
      <c r="P149" s="164"/>
      <c r="Q149" s="164"/>
      <c r="R149" s="164"/>
      <c r="S149" s="164"/>
      <c r="T149" s="164"/>
      <c r="U149" s="164"/>
      <c r="V149" s="164"/>
      <c r="W149" s="164"/>
      <c r="X149" s="164"/>
      <c r="Y149" s="164"/>
      <c r="Z149" s="250"/>
      <c r="AA149" s="250"/>
      <c r="AB149" s="250"/>
      <c r="AC149" s="250"/>
      <c r="AD149" s="250"/>
      <c r="AE149" s="250"/>
      <c r="AF149" s="251">
        <v>0.27400000000000002</v>
      </c>
      <c r="AG149" s="251">
        <v>-0.153</v>
      </c>
      <c r="AH149" s="251">
        <v>0.26900000000000002</v>
      </c>
      <c r="AI149" s="251">
        <v>0.33200000000000002</v>
      </c>
      <c r="AJ149" s="251">
        <v>0.50600000000000001</v>
      </c>
      <c r="AK149" s="251">
        <v>1.0999999999999999E-2</v>
      </c>
      <c r="AL149" s="251">
        <v>0.30299999999999999</v>
      </c>
      <c r="AM149" s="252">
        <v>0.11</v>
      </c>
      <c r="AN149" s="250"/>
      <c r="AO149" s="250"/>
      <c r="AP149" s="250"/>
      <c r="AQ149" s="250"/>
      <c r="AR149" s="250"/>
      <c r="AS149" s="166"/>
    </row>
    <row r="150" spans="1:45" s="167" customFormat="1" outlineLevel="2" x14ac:dyDescent="0.35">
      <c r="A150" s="404" t="s">
        <v>747</v>
      </c>
      <c r="B150" s="315"/>
      <c r="C150" s="164"/>
      <c r="D150" s="164"/>
      <c r="E150" s="164"/>
      <c r="F150" s="164"/>
      <c r="G150" s="164"/>
      <c r="H150" s="164"/>
      <c r="I150" s="164"/>
      <c r="J150" s="164"/>
      <c r="K150" s="164"/>
      <c r="L150" s="164"/>
      <c r="M150" s="164"/>
      <c r="N150" s="164"/>
      <c r="O150" s="165"/>
      <c r="P150" s="164"/>
      <c r="Q150" s="164"/>
      <c r="R150" s="164"/>
      <c r="S150" s="164"/>
      <c r="T150" s="164"/>
      <c r="U150" s="164"/>
      <c r="V150" s="164"/>
      <c r="W150" s="164"/>
      <c r="X150" s="164"/>
      <c r="Y150" s="164"/>
      <c r="Z150" s="250"/>
      <c r="AA150" s="250"/>
      <c r="AB150" s="250"/>
      <c r="AC150" s="250"/>
      <c r="AD150" s="250"/>
      <c r="AE150" s="250"/>
      <c r="AF150" s="251">
        <v>3.4000000000000002E-2</v>
      </c>
      <c r="AG150" s="251">
        <v>9.7000000000000003E-2</v>
      </c>
      <c r="AH150" s="251">
        <v>6.0999999999999999E-2</v>
      </c>
      <c r="AI150" s="251">
        <v>-2E-3</v>
      </c>
      <c r="AJ150" s="250"/>
      <c r="AK150" s="250"/>
      <c r="AL150" s="251">
        <v>-0.16800000000000001</v>
      </c>
      <c r="AM150" s="252">
        <v>-7.0000000000000001E-3</v>
      </c>
      <c r="AN150" s="250"/>
      <c r="AO150" s="250"/>
      <c r="AP150" s="250"/>
      <c r="AQ150" s="250"/>
      <c r="AR150" s="250"/>
      <c r="AS150" s="166"/>
    </row>
    <row r="151" spans="1:45" s="167" customFormat="1" outlineLevel="2" x14ac:dyDescent="0.35">
      <c r="A151" s="404" t="s">
        <v>748</v>
      </c>
      <c r="B151" s="315"/>
      <c r="C151" s="164"/>
      <c r="D151" s="164"/>
      <c r="E151" s="164"/>
      <c r="F151" s="164"/>
      <c r="G151" s="164"/>
      <c r="H151" s="164"/>
      <c r="I151" s="164"/>
      <c r="J151" s="164"/>
      <c r="K151" s="164"/>
      <c r="L151" s="164"/>
      <c r="M151" s="164"/>
      <c r="N151" s="164"/>
      <c r="O151" s="165"/>
      <c r="P151" s="164"/>
      <c r="Q151" s="164"/>
      <c r="R151" s="164"/>
      <c r="S151" s="164"/>
      <c r="T151" s="164"/>
      <c r="U151" s="164"/>
      <c r="V151" s="164"/>
      <c r="W151" s="164"/>
      <c r="X151" s="164"/>
      <c r="Y151" s="164"/>
      <c r="Z151" s="250"/>
      <c r="AA151" s="250"/>
      <c r="AB151" s="250"/>
      <c r="AC151" s="250"/>
      <c r="AD151" s="250"/>
      <c r="AE151" s="250"/>
      <c r="AF151" s="251">
        <v>-4.0000000000000001E-3</v>
      </c>
      <c r="AG151" s="251">
        <v>-1.7000000000000001E-2</v>
      </c>
      <c r="AH151" s="251">
        <v>-4.4999999999999998E-2</v>
      </c>
      <c r="AI151" s="251">
        <v>-6.7000000000000004E-2</v>
      </c>
      <c r="AJ151" s="251">
        <v>-5.2999999999999999E-2</v>
      </c>
      <c r="AK151" s="251">
        <v>0.16</v>
      </c>
      <c r="AL151" s="251">
        <v>7.1999999999999995E-2</v>
      </c>
      <c r="AM151" s="252">
        <v>0.19</v>
      </c>
      <c r="AN151" s="250"/>
      <c r="AO151" s="250"/>
      <c r="AP151" s="250"/>
      <c r="AQ151" s="250"/>
      <c r="AR151" s="250"/>
      <c r="AS151" s="166"/>
    </row>
    <row r="152" spans="1:45" s="167" customFormat="1" outlineLevel="2" x14ac:dyDescent="0.35">
      <c r="A152" s="1536" t="s">
        <v>749</v>
      </c>
      <c r="B152" s="1537"/>
      <c r="C152" s="1538">
        <v>8.0000000000000002E-3</v>
      </c>
      <c r="D152" s="1539">
        <f>AH152-SUM(C152)</f>
        <v>0.27700000000000002</v>
      </c>
      <c r="E152" s="1538">
        <v>6.0000000000000001E-3</v>
      </c>
      <c r="F152" s="1539">
        <f>AI152-SUM(E152)</f>
        <v>0.25700000000000001</v>
      </c>
      <c r="G152" s="1538">
        <v>0</v>
      </c>
      <c r="H152" s="1539">
        <f>AJ152-SUM(G152)</f>
        <v>0.45300000000000001</v>
      </c>
      <c r="I152" s="1538">
        <v>-0.70199999999999996</v>
      </c>
      <c r="J152" s="1539">
        <f>AK152-SUM(I152)</f>
        <v>0.873</v>
      </c>
      <c r="K152" s="1538">
        <v>-5.0000000000000001E-3</v>
      </c>
      <c r="L152" s="1539">
        <f>AL152-SUM(K152)</f>
        <v>0.21199999999999997</v>
      </c>
      <c r="M152" s="1538">
        <v>5.0999999999999997E-2</v>
      </c>
      <c r="N152" s="1539">
        <f>AM152-SUM(M152)</f>
        <v>0.24199999999999999</v>
      </c>
      <c r="O152" s="413">
        <v>4.2000000000000003E-2</v>
      </c>
      <c r="P152" s="1540"/>
      <c r="Q152" s="1540"/>
      <c r="R152" s="1540"/>
      <c r="S152" s="1540"/>
      <c r="T152" s="1540"/>
      <c r="U152" s="1540"/>
      <c r="V152" s="1540"/>
      <c r="W152" s="1540"/>
      <c r="X152" s="1540"/>
      <c r="Y152" s="1540"/>
      <c r="Z152" s="1541"/>
      <c r="AA152" s="1541"/>
      <c r="AB152" s="1541"/>
      <c r="AC152" s="1541"/>
      <c r="AD152" s="1542">
        <v>-0.42199999999999999</v>
      </c>
      <c r="AE152" s="1542">
        <v>-0.14799999999999999</v>
      </c>
      <c r="AF152" s="1543">
        <f t="shared" ref="AF152:AM152" si="94">SUM(AF149:AF151)</f>
        <v>0.30400000000000005</v>
      </c>
      <c r="AG152" s="1543">
        <f t="shared" si="94"/>
        <v>-7.2999999999999995E-2</v>
      </c>
      <c r="AH152" s="1543">
        <f t="shared" si="94"/>
        <v>0.28500000000000003</v>
      </c>
      <c r="AI152" s="1543">
        <f t="shared" si="94"/>
        <v>0.26300000000000001</v>
      </c>
      <c r="AJ152" s="1543">
        <f t="shared" si="94"/>
        <v>0.45300000000000001</v>
      </c>
      <c r="AK152" s="1543">
        <f t="shared" si="94"/>
        <v>0.17100000000000001</v>
      </c>
      <c r="AL152" s="1543">
        <f t="shared" si="94"/>
        <v>0.20699999999999996</v>
      </c>
      <c r="AM152" s="414">
        <f t="shared" si="94"/>
        <v>0.29299999999999998</v>
      </c>
      <c r="AN152" s="1541"/>
      <c r="AO152" s="1541"/>
      <c r="AP152" s="1541"/>
      <c r="AQ152" s="1541"/>
      <c r="AR152" s="1541"/>
      <c r="AS152" s="166"/>
    </row>
    <row r="153" spans="1:45" s="167" customFormat="1" outlineLevel="1" x14ac:dyDescent="0.35">
      <c r="A153" s="303" t="s">
        <v>235</v>
      </c>
      <c r="B153" s="315"/>
      <c r="C153" s="166">
        <f t="shared" ref="C153:O153" si="95">SUM(C152,C148)</f>
        <v>-4.2350000000000003</v>
      </c>
      <c r="D153" s="166">
        <f t="shared" si="95"/>
        <v>-5.9610000000000003</v>
      </c>
      <c r="E153" s="166">
        <f t="shared" si="95"/>
        <v>-4.7160000000000002</v>
      </c>
      <c r="F153" s="166">
        <f t="shared" si="95"/>
        <v>-8.4169999999999998</v>
      </c>
      <c r="G153" s="166">
        <f t="shared" si="95"/>
        <v>-6.5140000000000002</v>
      </c>
      <c r="H153" s="166">
        <f t="shared" si="95"/>
        <v>-9.8439999999999994</v>
      </c>
      <c r="I153" s="166">
        <f t="shared" si="95"/>
        <v>-7.4870000000000001</v>
      </c>
      <c r="J153" s="166">
        <f t="shared" si="95"/>
        <v>-10.466000000000001</v>
      </c>
      <c r="K153" s="166">
        <f t="shared" si="95"/>
        <v>-10.716000000000001</v>
      </c>
      <c r="L153" s="166">
        <f t="shared" si="95"/>
        <v>-12.065999999999999</v>
      </c>
      <c r="M153" s="166">
        <f t="shared" si="95"/>
        <v>-12.180999999999999</v>
      </c>
      <c r="N153" s="166">
        <f t="shared" si="95"/>
        <v>-13.558</v>
      </c>
      <c r="O153" s="311">
        <f t="shared" si="95"/>
        <v>-13.28</v>
      </c>
      <c r="P153" s="164"/>
      <c r="Q153" s="164"/>
      <c r="R153" s="164"/>
      <c r="S153" s="164"/>
      <c r="T153" s="164"/>
      <c r="U153" s="164"/>
      <c r="V153" s="164"/>
      <c r="W153" s="164"/>
      <c r="X153" s="164"/>
      <c r="Y153" s="164"/>
      <c r="Z153" s="250"/>
      <c r="AA153" s="250"/>
      <c r="AB153" s="250"/>
      <c r="AC153" s="250"/>
      <c r="AD153" s="250">
        <f t="shared" ref="AD153:AM153" si="96">SUM(AD152,AD148)</f>
        <v>-6.8639999999999999</v>
      </c>
      <c r="AE153" s="304">
        <f t="shared" si="96"/>
        <v>-8.2780000000000005</v>
      </c>
      <c r="AF153" s="304">
        <f t="shared" si="96"/>
        <v>-8.66</v>
      </c>
      <c r="AG153" s="304">
        <f t="shared" si="96"/>
        <v>-9.245000000000001</v>
      </c>
      <c r="AH153" s="304">
        <f t="shared" si="96"/>
        <v>-10.196</v>
      </c>
      <c r="AI153" s="304">
        <f t="shared" si="96"/>
        <v>-13.133000000000001</v>
      </c>
      <c r="AJ153" s="304">
        <f t="shared" si="96"/>
        <v>-16.358000000000001</v>
      </c>
      <c r="AK153" s="304">
        <f t="shared" si="96"/>
        <v>-17.952999999999999</v>
      </c>
      <c r="AL153" s="304">
        <f t="shared" si="96"/>
        <v>-22.781999999999996</v>
      </c>
      <c r="AM153" s="312">
        <f t="shared" si="96"/>
        <v>-25.739000000000001</v>
      </c>
      <c r="AN153" s="250"/>
      <c r="AO153" s="250"/>
      <c r="AP153" s="250"/>
      <c r="AQ153" s="250"/>
      <c r="AR153" s="250"/>
      <c r="AS153" s="166"/>
    </row>
    <row r="154" spans="1:45" s="262" customFormat="1" outlineLevel="1" x14ac:dyDescent="0.35">
      <c r="A154" s="1544" t="s">
        <v>750</v>
      </c>
      <c r="B154" s="1545"/>
      <c r="C154" s="1546">
        <f t="shared" ref="C154:O154" si="97">C143+C153</f>
        <v>16.745000000000005</v>
      </c>
      <c r="D154" s="1546">
        <f t="shared" si="97"/>
        <v>23.362999999999985</v>
      </c>
      <c r="E154" s="1546">
        <f t="shared" si="97"/>
        <v>19.431999999999977</v>
      </c>
      <c r="F154" s="1546">
        <f t="shared" si="97"/>
        <v>35.574000000000026</v>
      </c>
      <c r="G154" s="1546">
        <f t="shared" si="97"/>
        <v>27.450000000000028</v>
      </c>
      <c r="H154" s="1546">
        <f t="shared" si="97"/>
        <v>41.011000000000003</v>
      </c>
      <c r="I154" s="1546">
        <f t="shared" si="97"/>
        <v>33.036000000000023</v>
      </c>
      <c r="J154" s="1546">
        <f t="shared" si="97"/>
        <v>42.627999999999894</v>
      </c>
      <c r="K154" s="1546">
        <f t="shared" si="97"/>
        <v>46.234000000000052</v>
      </c>
      <c r="L154" s="1546">
        <f t="shared" si="97"/>
        <v>49.950999999999894</v>
      </c>
      <c r="M154" s="1546">
        <f t="shared" si="97"/>
        <v>52.024000000000072</v>
      </c>
      <c r="N154" s="1546">
        <f t="shared" si="97"/>
        <v>58.380999999999865</v>
      </c>
      <c r="O154" s="415">
        <f t="shared" si="97"/>
        <v>49.842999999999968</v>
      </c>
      <c r="P154" s="1547"/>
      <c r="Q154" s="1547"/>
      <c r="R154" s="1547"/>
      <c r="S154" s="1547"/>
      <c r="T154" s="1547"/>
      <c r="U154" s="1547"/>
      <c r="V154" s="1547"/>
      <c r="W154" s="1547"/>
      <c r="X154" s="1547"/>
      <c r="Y154" s="1547"/>
      <c r="Z154" s="1548"/>
      <c r="AA154" s="1548"/>
      <c r="AB154" s="1548"/>
      <c r="AC154" s="1548"/>
      <c r="AD154" s="1548">
        <f t="shared" ref="AD154:AM154" si="98">AD143+AD153</f>
        <v>20.584999999999965</v>
      </c>
      <c r="AE154" s="1549">
        <f t="shared" si="98"/>
        <v>27.352000000000011</v>
      </c>
      <c r="AF154" s="1549">
        <f t="shared" si="98"/>
        <v>31.116999999999923</v>
      </c>
      <c r="AG154" s="1549">
        <f t="shared" si="98"/>
        <v>33.157999999999987</v>
      </c>
      <c r="AH154" s="1549">
        <f t="shared" si="98"/>
        <v>40.107999999999997</v>
      </c>
      <c r="AI154" s="1549">
        <f t="shared" si="98"/>
        <v>55.006000000000007</v>
      </c>
      <c r="AJ154" s="1549">
        <f t="shared" si="98"/>
        <v>68.461000000000027</v>
      </c>
      <c r="AK154" s="1549">
        <f t="shared" si="98"/>
        <v>75.663999999999916</v>
      </c>
      <c r="AL154" s="1549">
        <f t="shared" si="98"/>
        <v>96.184999999999945</v>
      </c>
      <c r="AM154" s="416">
        <f t="shared" si="98"/>
        <v>110.40499999999992</v>
      </c>
      <c r="AN154" s="1548"/>
      <c r="AO154" s="1548"/>
      <c r="AP154" s="1548"/>
      <c r="AQ154" s="1548"/>
      <c r="AR154" s="1548"/>
      <c r="AS154" s="261"/>
    </row>
    <row r="155" spans="1:45" s="262" customFormat="1" outlineLevel="1" x14ac:dyDescent="0.35">
      <c r="A155" s="246"/>
      <c r="B155" s="368"/>
      <c r="C155" s="164"/>
      <c r="D155" s="164"/>
      <c r="E155" s="164"/>
      <c r="F155" s="164"/>
      <c r="G155" s="164"/>
      <c r="H155" s="164"/>
      <c r="I155" s="164"/>
      <c r="J155" s="164"/>
      <c r="K155" s="307"/>
      <c r="L155" s="164"/>
      <c r="M155" s="307"/>
      <c r="N155" s="164"/>
      <c r="O155" s="308"/>
      <c r="P155" s="307"/>
      <c r="Q155" s="307"/>
      <c r="R155" s="307"/>
      <c r="S155" s="307"/>
      <c r="T155" s="307"/>
      <c r="U155" s="307"/>
      <c r="V155" s="307"/>
      <c r="W155" s="307"/>
      <c r="X155" s="307"/>
      <c r="Y155" s="307"/>
      <c r="Z155" s="250"/>
      <c r="AA155" s="250"/>
      <c r="AB155" s="250"/>
      <c r="AC155" s="250"/>
      <c r="AD155" s="250"/>
      <c r="AE155" s="250"/>
      <c r="AF155" s="250"/>
      <c r="AG155" s="250"/>
      <c r="AH155" s="250"/>
      <c r="AI155" s="250"/>
      <c r="AJ155" s="250"/>
      <c r="AK155" s="250"/>
      <c r="AL155" s="250"/>
      <c r="AM155" s="264"/>
      <c r="AN155" s="309"/>
      <c r="AO155" s="309"/>
      <c r="AP155" s="309"/>
      <c r="AQ155" s="309"/>
      <c r="AR155" s="309"/>
      <c r="AS155" s="261"/>
    </row>
    <row r="156" spans="1:45" s="167" customFormat="1" outlineLevel="1" x14ac:dyDescent="0.35">
      <c r="A156" s="417" t="s">
        <v>751</v>
      </c>
      <c r="B156" s="417"/>
      <c r="C156" s="418">
        <f t="shared" ref="C156:R156" si="99">IF(ISBLANK(INDEX(MO_IS_FirstRow,0,COLUMN())),0,ROUND(C138-C315,6))</f>
        <v>0</v>
      </c>
      <c r="D156" s="418">
        <f t="shared" si="99"/>
        <v>0</v>
      </c>
      <c r="E156" s="418">
        <f t="shared" si="99"/>
        <v>0</v>
      </c>
      <c r="F156" s="418">
        <f t="shared" si="99"/>
        <v>0</v>
      </c>
      <c r="G156" s="418">
        <f t="shared" si="99"/>
        <v>0</v>
      </c>
      <c r="H156" s="418">
        <f t="shared" si="99"/>
        <v>0</v>
      </c>
      <c r="I156" s="418">
        <f t="shared" si="99"/>
        <v>0</v>
      </c>
      <c r="J156" s="418">
        <f t="shared" si="99"/>
        <v>0</v>
      </c>
      <c r="K156" s="418">
        <f t="shared" si="99"/>
        <v>0</v>
      </c>
      <c r="L156" s="418">
        <f t="shared" si="99"/>
        <v>0</v>
      </c>
      <c r="M156" s="418">
        <f t="shared" si="99"/>
        <v>0</v>
      </c>
      <c r="N156" s="418">
        <f t="shared" si="99"/>
        <v>0</v>
      </c>
      <c r="O156" s="419">
        <f t="shared" si="99"/>
        <v>0</v>
      </c>
      <c r="P156" s="418">
        <f t="shared" si="99"/>
        <v>0</v>
      </c>
      <c r="Q156" s="418">
        <f t="shared" si="99"/>
        <v>0</v>
      </c>
      <c r="R156" s="418">
        <f t="shared" si="99"/>
        <v>0</v>
      </c>
      <c r="S156" s="418"/>
      <c r="T156" s="418"/>
      <c r="U156" s="418"/>
      <c r="V156" s="418"/>
      <c r="W156" s="418"/>
      <c r="X156" s="418"/>
      <c r="Y156" s="418"/>
      <c r="Z156" s="418"/>
      <c r="AA156" s="418"/>
      <c r="AB156" s="418"/>
      <c r="AC156" s="418"/>
      <c r="AD156" s="418">
        <f t="shared" ref="AD156:AR156" si="100">IF(ISBLANK(INDEX(MO_IS_FirstRow,0,COLUMN())),0,ROUND(AD138-AD315,6))</f>
        <v>0</v>
      </c>
      <c r="AE156" s="418">
        <f t="shared" si="100"/>
        <v>0</v>
      </c>
      <c r="AF156" s="418">
        <f t="shared" si="100"/>
        <v>0</v>
      </c>
      <c r="AG156" s="418">
        <f t="shared" si="100"/>
        <v>0</v>
      </c>
      <c r="AH156" s="418">
        <f t="shared" si="100"/>
        <v>0</v>
      </c>
      <c r="AI156" s="418">
        <f t="shared" si="100"/>
        <v>0</v>
      </c>
      <c r="AJ156" s="418">
        <f t="shared" si="100"/>
        <v>0</v>
      </c>
      <c r="AK156" s="418">
        <f t="shared" si="100"/>
        <v>0</v>
      </c>
      <c r="AL156" s="418">
        <f t="shared" si="100"/>
        <v>0</v>
      </c>
      <c r="AM156" s="419">
        <f t="shared" si="100"/>
        <v>0</v>
      </c>
      <c r="AN156" s="418">
        <f t="shared" si="100"/>
        <v>0</v>
      </c>
      <c r="AO156" s="418">
        <f t="shared" si="100"/>
        <v>0</v>
      </c>
      <c r="AP156" s="418">
        <f t="shared" si="100"/>
        <v>0</v>
      </c>
      <c r="AQ156" s="418">
        <f t="shared" si="100"/>
        <v>0</v>
      </c>
      <c r="AR156" s="418">
        <f t="shared" si="100"/>
        <v>0</v>
      </c>
      <c r="AS156" s="166"/>
    </row>
    <row r="157" spans="1:45" s="262" customFormat="1" x14ac:dyDescent="0.35">
      <c r="A157" s="246"/>
      <c r="B157" s="368"/>
      <c r="C157" s="164"/>
      <c r="D157" s="164"/>
      <c r="E157" s="164"/>
      <c r="F157" s="164"/>
      <c r="G157" s="164"/>
      <c r="H157" s="164"/>
      <c r="I157" s="164"/>
      <c r="J157" s="164"/>
      <c r="K157" s="307"/>
      <c r="L157" s="164"/>
      <c r="M157" s="307"/>
      <c r="N157" s="164"/>
      <c r="O157" s="308"/>
      <c r="P157" s="307"/>
      <c r="Q157" s="307"/>
      <c r="R157" s="307"/>
      <c r="S157" s="307"/>
      <c r="T157" s="307"/>
      <c r="U157" s="307"/>
      <c r="V157" s="307"/>
      <c r="W157" s="307"/>
      <c r="X157" s="307"/>
      <c r="Y157" s="307"/>
      <c r="Z157" s="250"/>
      <c r="AA157" s="250"/>
      <c r="AB157" s="250"/>
      <c r="AC157" s="250"/>
      <c r="AD157" s="250"/>
      <c r="AE157" s="250"/>
      <c r="AF157" s="250"/>
      <c r="AG157" s="250"/>
      <c r="AH157" s="250"/>
      <c r="AI157" s="250"/>
      <c r="AJ157" s="250"/>
      <c r="AK157" s="250"/>
      <c r="AL157" s="250"/>
      <c r="AM157" s="264"/>
      <c r="AN157" s="309"/>
      <c r="AO157" s="309"/>
      <c r="AP157" s="309"/>
      <c r="AQ157" s="309"/>
      <c r="AR157" s="309"/>
      <c r="AS157" s="261"/>
    </row>
    <row r="158" spans="1:45" s="167" customFormat="1" x14ac:dyDescent="0.35">
      <c r="A158" s="242" t="s">
        <v>752</v>
      </c>
      <c r="B158" s="243"/>
      <c r="C158" s="243"/>
      <c r="D158" s="243"/>
      <c r="E158" s="243"/>
      <c r="F158" s="243"/>
      <c r="G158" s="243"/>
      <c r="H158" s="243"/>
      <c r="I158" s="243"/>
      <c r="J158" s="243"/>
      <c r="K158" s="243"/>
      <c r="L158" s="243"/>
      <c r="M158" s="243"/>
      <c r="N158" s="243"/>
      <c r="O158" s="245"/>
      <c r="P158" s="243"/>
      <c r="Q158" s="243"/>
      <c r="R158" s="243"/>
      <c r="S158" s="243"/>
      <c r="T158" s="243"/>
      <c r="U158" s="243"/>
      <c r="V158" s="243"/>
      <c r="W158" s="243"/>
      <c r="X158" s="243"/>
      <c r="Y158" s="243"/>
      <c r="Z158" s="243"/>
      <c r="AA158" s="243"/>
      <c r="AB158" s="243"/>
      <c r="AC158" s="243"/>
      <c r="AD158" s="243"/>
      <c r="AE158" s="243"/>
      <c r="AF158" s="243"/>
      <c r="AG158" s="243"/>
      <c r="AH158" s="243"/>
      <c r="AI158" s="243"/>
      <c r="AJ158" s="243"/>
      <c r="AK158" s="243"/>
      <c r="AL158" s="243"/>
      <c r="AM158" s="245"/>
      <c r="AN158" s="243"/>
      <c r="AO158" s="243"/>
      <c r="AP158" s="243"/>
      <c r="AQ158" s="243"/>
      <c r="AR158" s="243"/>
      <c r="AS158" s="166"/>
    </row>
    <row r="159" spans="1:45" s="262" customFormat="1" outlineLevel="1" x14ac:dyDescent="0.35">
      <c r="A159" s="393" t="s">
        <v>231</v>
      </c>
      <c r="B159" s="368"/>
      <c r="C159" s="261">
        <f>C138</f>
        <v>20.892000000000003</v>
      </c>
      <c r="D159" s="261">
        <f>D138</f>
        <v>29.269999999999989</v>
      </c>
      <c r="E159" s="307"/>
      <c r="F159" s="307"/>
      <c r="G159" s="307"/>
      <c r="H159" s="307"/>
      <c r="I159" s="307"/>
      <c r="J159" s="307"/>
      <c r="K159" s="307"/>
      <c r="L159" s="307"/>
      <c r="M159" s="307"/>
      <c r="N159" s="307"/>
      <c r="O159" s="308"/>
      <c r="P159" s="307"/>
      <c r="Q159" s="307"/>
      <c r="R159" s="307"/>
      <c r="S159" s="307"/>
      <c r="T159" s="307"/>
      <c r="U159" s="307"/>
      <c r="V159" s="307"/>
      <c r="W159" s="307"/>
      <c r="X159" s="307"/>
      <c r="Y159" s="307"/>
      <c r="Z159" s="309"/>
      <c r="AA159" s="309"/>
      <c r="AB159" s="309"/>
      <c r="AC159" s="309"/>
      <c r="AD159" s="309">
        <f>AD138</f>
        <v>27.367999999999967</v>
      </c>
      <c r="AE159" s="420">
        <f>AE138</f>
        <v>35.528000000000013</v>
      </c>
      <c r="AF159" s="420">
        <f>AF138</f>
        <v>39.581999999999923</v>
      </c>
      <c r="AG159" s="420">
        <f>AG138</f>
        <v>42.189999999999984</v>
      </c>
      <c r="AH159" s="420">
        <f>AH138</f>
        <v>50.161999999999992</v>
      </c>
      <c r="AI159" s="309"/>
      <c r="AJ159" s="309"/>
      <c r="AK159" s="309"/>
      <c r="AL159" s="309"/>
      <c r="AM159" s="310"/>
      <c r="AN159" s="309"/>
      <c r="AO159" s="309"/>
      <c r="AP159" s="309"/>
      <c r="AQ159" s="309"/>
      <c r="AR159" s="309"/>
      <c r="AS159" s="261"/>
    </row>
    <row r="160" spans="1:45" s="262" customFormat="1" outlineLevel="1" x14ac:dyDescent="0.35">
      <c r="A160" s="303" t="s">
        <v>753</v>
      </c>
      <c r="B160" s="368"/>
      <c r="C160" s="164"/>
      <c r="D160" s="166">
        <f>AH160-SUM(C160)</f>
        <v>0</v>
      </c>
      <c r="E160" s="164"/>
      <c r="F160" s="164"/>
      <c r="G160" s="164"/>
      <c r="H160" s="164"/>
      <c r="I160" s="164"/>
      <c r="J160" s="164"/>
      <c r="K160" s="164"/>
      <c r="L160" s="164"/>
      <c r="M160" s="164"/>
      <c r="N160" s="164"/>
      <c r="O160" s="165"/>
      <c r="P160" s="307"/>
      <c r="Q160" s="307"/>
      <c r="R160" s="307"/>
      <c r="S160" s="307"/>
      <c r="T160" s="307"/>
      <c r="U160" s="307"/>
      <c r="V160" s="307"/>
      <c r="W160" s="307"/>
      <c r="X160" s="307"/>
      <c r="Y160" s="307"/>
      <c r="Z160" s="250"/>
      <c r="AA160" s="250"/>
      <c r="AB160" s="250"/>
      <c r="AC160" s="250"/>
      <c r="AD160" s="251">
        <v>0</v>
      </c>
      <c r="AE160" s="251">
        <v>0</v>
      </c>
      <c r="AF160" s="251">
        <v>0.999</v>
      </c>
      <c r="AG160" s="251">
        <v>3.673</v>
      </c>
      <c r="AH160" s="250"/>
      <c r="AI160" s="250"/>
      <c r="AJ160" s="250"/>
      <c r="AK160" s="250"/>
      <c r="AL160" s="250"/>
      <c r="AM160" s="264"/>
      <c r="AN160" s="309"/>
      <c r="AO160" s="309"/>
      <c r="AP160" s="309"/>
      <c r="AQ160" s="309"/>
      <c r="AR160" s="309"/>
      <c r="AS160" s="261"/>
    </row>
    <row r="161" spans="1:45" s="262" customFormat="1" outlineLevel="1" x14ac:dyDescent="0.35">
      <c r="A161" s="303" t="s">
        <v>267</v>
      </c>
      <c r="B161" s="368"/>
      <c r="C161" s="248">
        <v>0.47399999999999998</v>
      </c>
      <c r="D161" s="166">
        <f>AH161-SUM(C161)</f>
        <v>0.82800000000000007</v>
      </c>
      <c r="E161" s="164"/>
      <c r="F161" s="164"/>
      <c r="G161" s="164"/>
      <c r="H161" s="164"/>
      <c r="I161" s="164"/>
      <c r="J161" s="164"/>
      <c r="K161" s="164"/>
      <c r="L161" s="164"/>
      <c r="M161" s="164"/>
      <c r="N161" s="164"/>
      <c r="O161" s="165"/>
      <c r="P161" s="307"/>
      <c r="Q161" s="307"/>
      <c r="R161" s="307"/>
      <c r="S161" s="307"/>
      <c r="T161" s="307"/>
      <c r="U161" s="307"/>
      <c r="V161" s="307"/>
      <c r="W161" s="307"/>
      <c r="X161" s="307"/>
      <c r="Y161" s="307"/>
      <c r="Z161" s="250"/>
      <c r="AA161" s="250"/>
      <c r="AB161" s="250"/>
      <c r="AC161" s="250"/>
      <c r="AD161" s="251">
        <v>0.73499999999999999</v>
      </c>
      <c r="AE161" s="251">
        <v>0</v>
      </c>
      <c r="AF161" s="251">
        <v>5.0000000000000001E-3</v>
      </c>
      <c r="AG161" s="251">
        <v>0.88800000000000001</v>
      </c>
      <c r="AH161" s="251">
        <v>1.302</v>
      </c>
      <c r="AI161" s="250"/>
      <c r="AJ161" s="250"/>
      <c r="AK161" s="250"/>
      <c r="AL161" s="250"/>
      <c r="AM161" s="264"/>
      <c r="AN161" s="309"/>
      <c r="AO161" s="309"/>
      <c r="AP161" s="309"/>
      <c r="AQ161" s="309"/>
      <c r="AR161" s="309"/>
      <c r="AS161" s="261"/>
    </row>
    <row r="162" spans="1:45" s="262" customFormat="1" outlineLevel="1" x14ac:dyDescent="0.35">
      <c r="A162" s="253" t="s">
        <v>233</v>
      </c>
      <c r="B162" s="355"/>
      <c r="C162" s="256">
        <f>SUM(C159:C161)</f>
        <v>21.366000000000003</v>
      </c>
      <c r="D162" s="256">
        <f>SUM(D159:D161)</f>
        <v>30.097999999999988</v>
      </c>
      <c r="E162" s="255"/>
      <c r="F162" s="255"/>
      <c r="G162" s="255"/>
      <c r="H162" s="255"/>
      <c r="I162" s="255"/>
      <c r="J162" s="255"/>
      <c r="K162" s="255"/>
      <c r="L162" s="255"/>
      <c r="M162" s="255"/>
      <c r="N162" s="255"/>
      <c r="O162" s="356"/>
      <c r="P162" s="255"/>
      <c r="Q162" s="255"/>
      <c r="R162" s="255"/>
      <c r="S162" s="255"/>
      <c r="T162" s="255"/>
      <c r="U162" s="255"/>
      <c r="V162" s="255"/>
      <c r="W162" s="255"/>
      <c r="X162" s="255"/>
      <c r="Y162" s="255"/>
      <c r="Z162" s="258"/>
      <c r="AA162" s="258"/>
      <c r="AB162" s="258"/>
      <c r="AC162" s="258"/>
      <c r="AD162" s="258">
        <f>SUM(AD159:AD161)</f>
        <v>28.102999999999966</v>
      </c>
      <c r="AE162" s="259">
        <f>SUM(AE159:AE161)</f>
        <v>35.528000000000013</v>
      </c>
      <c r="AF162" s="259">
        <f>SUM(AF159:AF161)</f>
        <v>40.585999999999927</v>
      </c>
      <c r="AG162" s="259">
        <f>SUM(AG159:AG161)</f>
        <v>46.750999999999983</v>
      </c>
      <c r="AH162" s="259">
        <f>SUM(AH159:AH161)</f>
        <v>51.463999999999992</v>
      </c>
      <c r="AI162" s="258"/>
      <c r="AJ162" s="258"/>
      <c r="AK162" s="258"/>
      <c r="AL162" s="258"/>
      <c r="AM162" s="358"/>
      <c r="AN162" s="258"/>
      <c r="AO162" s="258"/>
      <c r="AP162" s="258"/>
      <c r="AQ162" s="258"/>
      <c r="AR162" s="258"/>
      <c r="AS162" s="261"/>
    </row>
    <row r="163" spans="1:45" s="262" customFormat="1" outlineLevel="1" x14ac:dyDescent="0.35">
      <c r="A163" s="305"/>
      <c r="B163" s="368"/>
      <c r="C163" s="307"/>
      <c r="D163" s="307"/>
      <c r="E163" s="307"/>
      <c r="F163" s="307"/>
      <c r="G163" s="307"/>
      <c r="H163" s="307"/>
      <c r="I163" s="307"/>
      <c r="J163" s="307"/>
      <c r="K163" s="307"/>
      <c r="L163" s="307"/>
      <c r="M163" s="307"/>
      <c r="N163" s="307"/>
      <c r="O163" s="308"/>
      <c r="P163" s="307"/>
      <c r="Q163" s="307"/>
      <c r="R163" s="307"/>
      <c r="S163" s="307"/>
      <c r="T163" s="307"/>
      <c r="U163" s="307"/>
      <c r="V163" s="307"/>
      <c r="W163" s="307"/>
      <c r="X163" s="307"/>
      <c r="Y163" s="307"/>
      <c r="Z163" s="309"/>
      <c r="AA163" s="309"/>
      <c r="AB163" s="309"/>
      <c r="AC163" s="309"/>
      <c r="AD163" s="309"/>
      <c r="AE163" s="309"/>
      <c r="AF163" s="309"/>
      <c r="AG163" s="309"/>
      <c r="AH163" s="309"/>
      <c r="AI163" s="309"/>
      <c r="AJ163" s="309"/>
      <c r="AK163" s="309"/>
      <c r="AL163" s="309"/>
      <c r="AM163" s="310"/>
      <c r="AN163" s="309"/>
      <c r="AO163" s="309"/>
      <c r="AP163" s="309"/>
      <c r="AQ163" s="309"/>
      <c r="AR163" s="309"/>
      <c r="AS163" s="261"/>
    </row>
    <row r="164" spans="1:45" s="262" customFormat="1" outlineLevel="1" x14ac:dyDescent="0.35">
      <c r="A164" s="393" t="s">
        <v>754</v>
      </c>
      <c r="B164" s="368"/>
      <c r="C164" s="261">
        <f>C154</f>
        <v>16.745000000000005</v>
      </c>
      <c r="D164" s="261">
        <f>D154</f>
        <v>23.362999999999985</v>
      </c>
      <c r="E164" s="307"/>
      <c r="F164" s="307"/>
      <c r="G164" s="307"/>
      <c r="H164" s="307"/>
      <c r="I164" s="307"/>
      <c r="J164" s="307"/>
      <c r="K164" s="307"/>
      <c r="L164" s="307"/>
      <c r="M164" s="307"/>
      <c r="N164" s="307"/>
      <c r="O164" s="308"/>
      <c r="P164" s="307"/>
      <c r="Q164" s="307"/>
      <c r="R164" s="307"/>
      <c r="S164" s="307"/>
      <c r="T164" s="307"/>
      <c r="U164" s="307"/>
      <c r="V164" s="307"/>
      <c r="W164" s="307"/>
      <c r="X164" s="307"/>
      <c r="Y164" s="307"/>
      <c r="Z164" s="309"/>
      <c r="AA164" s="309"/>
      <c r="AB164" s="309"/>
      <c r="AC164" s="309"/>
      <c r="AD164" s="309"/>
      <c r="AE164" s="309"/>
      <c r="AF164" s="420">
        <f>AF154</f>
        <v>31.116999999999923</v>
      </c>
      <c r="AG164" s="420">
        <f>AG154</f>
        <v>33.157999999999987</v>
      </c>
      <c r="AH164" s="420">
        <f>AH154</f>
        <v>40.107999999999997</v>
      </c>
      <c r="AI164" s="309"/>
      <c r="AJ164" s="309"/>
      <c r="AK164" s="309"/>
      <c r="AL164" s="309"/>
      <c r="AM164" s="310"/>
      <c r="AN164" s="309"/>
      <c r="AO164" s="309"/>
      <c r="AP164" s="309"/>
      <c r="AQ164" s="309"/>
      <c r="AR164" s="309"/>
      <c r="AS164" s="261"/>
    </row>
    <row r="165" spans="1:45" s="262" customFormat="1" outlineLevel="1" x14ac:dyDescent="0.35">
      <c r="A165" s="303" t="s">
        <v>753</v>
      </c>
      <c r="B165" s="368"/>
      <c r="C165" s="164"/>
      <c r="D165" s="166">
        <f>AH165-SUM(C165)</f>
        <v>0</v>
      </c>
      <c r="E165" s="164"/>
      <c r="F165" s="164"/>
      <c r="G165" s="164"/>
      <c r="H165" s="164"/>
      <c r="I165" s="164"/>
      <c r="J165" s="164"/>
      <c r="K165" s="164"/>
      <c r="L165" s="164"/>
      <c r="M165" s="164"/>
      <c r="N165" s="164"/>
      <c r="O165" s="165"/>
      <c r="P165" s="307"/>
      <c r="Q165" s="307"/>
      <c r="R165" s="307"/>
      <c r="S165" s="307"/>
      <c r="T165" s="307"/>
      <c r="U165" s="307"/>
      <c r="V165" s="307"/>
      <c r="W165" s="307"/>
      <c r="X165" s="307"/>
      <c r="Y165" s="307"/>
      <c r="Z165" s="250"/>
      <c r="AA165" s="250"/>
      <c r="AB165" s="250"/>
      <c r="AC165" s="250"/>
      <c r="AD165" s="250"/>
      <c r="AE165" s="250"/>
      <c r="AF165" s="251">
        <v>0.999</v>
      </c>
      <c r="AG165" s="251">
        <v>3.673</v>
      </c>
      <c r="AH165" s="250"/>
      <c r="AI165" s="250"/>
      <c r="AJ165" s="250"/>
      <c r="AK165" s="250"/>
      <c r="AL165" s="250"/>
      <c r="AM165" s="264"/>
      <c r="AN165" s="309"/>
      <c r="AO165" s="309"/>
      <c r="AP165" s="309"/>
      <c r="AQ165" s="309"/>
      <c r="AR165" s="309"/>
      <c r="AS165" s="261"/>
    </row>
    <row r="166" spans="1:45" s="262" customFormat="1" outlineLevel="1" x14ac:dyDescent="0.35">
      <c r="A166" s="303" t="s">
        <v>267</v>
      </c>
      <c r="B166" s="368"/>
      <c r="C166" s="248">
        <v>0.47399999999999998</v>
      </c>
      <c r="D166" s="166">
        <f>AH166-SUM(C166)</f>
        <v>0.82800000000000007</v>
      </c>
      <c r="E166" s="164"/>
      <c r="F166" s="164"/>
      <c r="G166" s="164"/>
      <c r="H166" s="164"/>
      <c r="I166" s="164"/>
      <c r="J166" s="164"/>
      <c r="K166" s="164"/>
      <c r="L166" s="164"/>
      <c r="M166" s="164"/>
      <c r="N166" s="164"/>
      <c r="O166" s="165"/>
      <c r="P166" s="307"/>
      <c r="Q166" s="307"/>
      <c r="R166" s="307"/>
      <c r="S166" s="307"/>
      <c r="T166" s="307"/>
      <c r="U166" s="307"/>
      <c r="V166" s="307"/>
      <c r="W166" s="307"/>
      <c r="X166" s="307"/>
      <c r="Y166" s="307"/>
      <c r="Z166" s="250"/>
      <c r="AA166" s="250"/>
      <c r="AB166" s="250"/>
      <c r="AC166" s="250"/>
      <c r="AD166" s="250"/>
      <c r="AE166" s="250"/>
      <c r="AF166" s="251">
        <v>5.0000000000000001E-3</v>
      </c>
      <c r="AG166" s="251">
        <v>0.88800000000000001</v>
      </c>
      <c r="AH166" s="251">
        <v>1.302</v>
      </c>
      <c r="AI166" s="250"/>
      <c r="AJ166" s="250"/>
      <c r="AK166" s="250"/>
      <c r="AL166" s="250"/>
      <c r="AM166" s="264"/>
      <c r="AN166" s="309"/>
      <c r="AO166" s="309"/>
      <c r="AP166" s="309"/>
      <c r="AQ166" s="309"/>
      <c r="AR166" s="309"/>
      <c r="AS166" s="261"/>
    </row>
    <row r="167" spans="1:45" s="262" customFormat="1" outlineLevel="1" x14ac:dyDescent="0.35">
      <c r="A167" s="303" t="s">
        <v>755</v>
      </c>
      <c r="B167" s="368"/>
      <c r="C167" s="248">
        <v>-7.0000000000000001E-3</v>
      </c>
      <c r="D167" s="166">
        <f>AH167-SUM(C167)</f>
        <v>-0.04</v>
      </c>
      <c r="E167" s="164"/>
      <c r="F167" s="164"/>
      <c r="G167" s="164"/>
      <c r="H167" s="164"/>
      <c r="I167" s="164"/>
      <c r="J167" s="164"/>
      <c r="K167" s="164"/>
      <c r="L167" s="164"/>
      <c r="M167" s="164"/>
      <c r="N167" s="164"/>
      <c r="O167" s="165"/>
      <c r="P167" s="307"/>
      <c r="Q167" s="307"/>
      <c r="R167" s="307"/>
      <c r="S167" s="307"/>
      <c r="T167" s="307"/>
      <c r="U167" s="307"/>
      <c r="V167" s="307"/>
      <c r="W167" s="307"/>
      <c r="X167" s="307"/>
      <c r="Y167" s="307"/>
      <c r="Z167" s="250"/>
      <c r="AA167" s="250"/>
      <c r="AB167" s="250"/>
      <c r="AC167" s="250"/>
      <c r="AD167" s="250"/>
      <c r="AE167" s="250"/>
      <c r="AF167" s="251">
        <v>-5.7000000000000002E-2</v>
      </c>
      <c r="AG167" s="251">
        <v>-9.7000000000000003E-2</v>
      </c>
      <c r="AH167" s="251">
        <v>-4.7E-2</v>
      </c>
      <c r="AI167" s="250"/>
      <c r="AJ167" s="250"/>
      <c r="AK167" s="250"/>
      <c r="AL167" s="250"/>
      <c r="AM167" s="264"/>
      <c r="AN167" s="309"/>
      <c r="AO167" s="309"/>
      <c r="AP167" s="309"/>
      <c r="AQ167" s="309"/>
      <c r="AR167" s="309"/>
      <c r="AS167" s="261"/>
    </row>
    <row r="168" spans="1:45" s="262" customFormat="1" outlineLevel="1" x14ac:dyDescent="0.35">
      <c r="A168" s="253" t="s">
        <v>756</v>
      </c>
      <c r="B168" s="355"/>
      <c r="C168" s="256">
        <f>SUM(C164:C167)</f>
        <v>17.212000000000003</v>
      </c>
      <c r="D168" s="256">
        <f>SUM(D164:D167)</f>
        <v>24.150999999999986</v>
      </c>
      <c r="E168" s="255"/>
      <c r="F168" s="255"/>
      <c r="G168" s="255"/>
      <c r="H168" s="255"/>
      <c r="I168" s="255"/>
      <c r="J168" s="255"/>
      <c r="K168" s="255"/>
      <c r="L168" s="255"/>
      <c r="M168" s="255"/>
      <c r="N168" s="255"/>
      <c r="O168" s="356"/>
      <c r="P168" s="255"/>
      <c r="Q168" s="255"/>
      <c r="R168" s="255"/>
      <c r="S168" s="255"/>
      <c r="T168" s="255"/>
      <c r="U168" s="255"/>
      <c r="V168" s="255"/>
      <c r="W168" s="255"/>
      <c r="X168" s="255"/>
      <c r="Y168" s="255"/>
      <c r="Z168" s="258"/>
      <c r="AA168" s="258"/>
      <c r="AB168" s="258"/>
      <c r="AC168" s="258"/>
      <c r="AD168" s="258"/>
      <c r="AE168" s="258"/>
      <c r="AF168" s="259">
        <f>SUM(AF164:AF167)</f>
        <v>32.063999999999922</v>
      </c>
      <c r="AG168" s="259">
        <f>SUM(AG164:AG167)</f>
        <v>37.621999999999986</v>
      </c>
      <c r="AH168" s="259">
        <f>SUM(AH164:AH167)</f>
        <v>41.363</v>
      </c>
      <c r="AI168" s="258"/>
      <c r="AJ168" s="258"/>
      <c r="AK168" s="258"/>
      <c r="AL168" s="258"/>
      <c r="AM168" s="358"/>
      <c r="AN168" s="258"/>
      <c r="AO168" s="258"/>
      <c r="AP168" s="258"/>
      <c r="AQ168" s="258"/>
      <c r="AR168" s="258"/>
      <c r="AS168" s="261"/>
    </row>
    <row r="169" spans="1:45" s="262" customFormat="1" x14ac:dyDescent="0.35">
      <c r="A169" s="305"/>
      <c r="B169" s="368"/>
      <c r="C169" s="307"/>
      <c r="D169" s="307"/>
      <c r="E169" s="307"/>
      <c r="F169" s="307"/>
      <c r="G169" s="307"/>
      <c r="H169" s="307"/>
      <c r="I169" s="307"/>
      <c r="J169" s="307"/>
      <c r="K169" s="307"/>
      <c r="L169" s="307"/>
      <c r="M169" s="307"/>
      <c r="N169" s="307"/>
      <c r="O169" s="308"/>
      <c r="P169" s="307"/>
      <c r="Q169" s="307"/>
      <c r="R169" s="307"/>
      <c r="S169" s="307"/>
      <c r="T169" s="307"/>
      <c r="U169" s="307"/>
      <c r="V169" s="307"/>
      <c r="W169" s="307"/>
      <c r="X169" s="307"/>
      <c r="Y169" s="307"/>
      <c r="Z169" s="309"/>
      <c r="AA169" s="309"/>
      <c r="AB169" s="309"/>
      <c r="AC169" s="309"/>
      <c r="AD169" s="309"/>
      <c r="AE169" s="309"/>
      <c r="AF169" s="309"/>
      <c r="AG169" s="309"/>
      <c r="AH169" s="309"/>
      <c r="AI169" s="309"/>
      <c r="AJ169" s="309"/>
      <c r="AK169" s="309"/>
      <c r="AL169" s="309"/>
      <c r="AM169" s="310"/>
      <c r="AN169" s="309"/>
      <c r="AO169" s="309"/>
      <c r="AP169" s="309"/>
      <c r="AQ169" s="309"/>
      <c r="AR169" s="309"/>
      <c r="AS169" s="261"/>
    </row>
    <row r="170" spans="1:45" s="167" customFormat="1" x14ac:dyDescent="0.35">
      <c r="A170" s="242" t="s">
        <v>757</v>
      </c>
      <c r="B170" s="243"/>
      <c r="C170" s="243"/>
      <c r="D170" s="243"/>
      <c r="E170" s="243"/>
      <c r="F170" s="243"/>
      <c r="G170" s="243"/>
      <c r="H170" s="243"/>
      <c r="I170" s="243"/>
      <c r="J170" s="243"/>
      <c r="K170" s="243"/>
      <c r="L170" s="243"/>
      <c r="M170" s="243"/>
      <c r="N170" s="243"/>
      <c r="O170" s="245"/>
      <c r="P170" s="243"/>
      <c r="Q170" s="243"/>
      <c r="R170" s="243"/>
      <c r="S170" s="243"/>
      <c r="T170" s="243"/>
      <c r="U170" s="243"/>
      <c r="V170" s="243"/>
      <c r="W170" s="243"/>
      <c r="X170" s="243"/>
      <c r="Y170" s="243"/>
      <c r="Z170" s="243"/>
      <c r="AA170" s="243"/>
      <c r="AB170" s="243"/>
      <c r="AC170" s="243"/>
      <c r="AD170" s="243"/>
      <c r="AE170" s="243"/>
      <c r="AF170" s="243"/>
      <c r="AG170" s="243"/>
      <c r="AH170" s="243"/>
      <c r="AI170" s="243"/>
      <c r="AJ170" s="243"/>
      <c r="AK170" s="243"/>
      <c r="AL170" s="243"/>
      <c r="AM170" s="245"/>
      <c r="AN170" s="243"/>
      <c r="AO170" s="243"/>
      <c r="AP170" s="243"/>
      <c r="AQ170" s="243"/>
      <c r="AR170" s="243"/>
      <c r="AS170" s="166"/>
    </row>
    <row r="171" spans="1:45" s="262" customFormat="1" x14ac:dyDescent="0.35">
      <c r="A171" s="393" t="s">
        <v>39</v>
      </c>
      <c r="B171" s="368"/>
      <c r="C171" s="261">
        <f t="shared" ref="C171:O171" si="101">C134</f>
        <v>378.45</v>
      </c>
      <c r="D171" s="261">
        <f t="shared" si="101"/>
        <v>454.036</v>
      </c>
      <c r="E171" s="261">
        <f t="shared" si="101"/>
        <v>358.30399999999997</v>
      </c>
      <c r="F171" s="261">
        <f t="shared" si="101"/>
        <v>438.904</v>
      </c>
      <c r="G171" s="261">
        <f t="shared" si="101"/>
        <v>433.97</v>
      </c>
      <c r="H171" s="261">
        <f t="shared" si="101"/>
        <v>557.87900000000002</v>
      </c>
      <c r="I171" s="261">
        <f t="shared" si="101"/>
        <v>524.14800000000002</v>
      </c>
      <c r="J171" s="261">
        <f t="shared" si="101"/>
        <v>552.97899999999993</v>
      </c>
      <c r="K171" s="261">
        <f t="shared" si="101"/>
        <v>576.98800000000006</v>
      </c>
      <c r="L171" s="261">
        <f t="shared" si="101"/>
        <v>579.67899999999986</v>
      </c>
      <c r="M171" s="261">
        <f t="shared" si="101"/>
        <v>577.82000000000005</v>
      </c>
      <c r="N171" s="261">
        <f t="shared" si="101"/>
        <v>500.12599999999986</v>
      </c>
      <c r="O171" s="421">
        <f t="shared" si="101"/>
        <v>512.40499999999997</v>
      </c>
      <c r="P171" s="307">
        <f>P24</f>
        <v>501.79146999999995</v>
      </c>
      <c r="Q171" s="307">
        <f>Q24</f>
        <v>543.32273600000008</v>
      </c>
      <c r="R171" s="307">
        <f>R24</f>
        <v>551.97061700000006</v>
      </c>
      <c r="S171" s="307"/>
      <c r="T171" s="307"/>
      <c r="U171" s="307"/>
      <c r="V171" s="307"/>
      <c r="W171" s="307"/>
      <c r="X171" s="307"/>
      <c r="Y171" s="307"/>
      <c r="Z171" s="309"/>
      <c r="AA171" s="309"/>
      <c r="AB171" s="309"/>
      <c r="AC171" s="309"/>
      <c r="AD171" s="309">
        <f t="shared" ref="AD171:AM171" si="102">AD134</f>
        <v>395.75599999999997</v>
      </c>
      <c r="AE171" s="420">
        <f t="shared" si="102"/>
        <v>504.79700000000003</v>
      </c>
      <c r="AF171" s="420">
        <f t="shared" si="102"/>
        <v>596.08399999999995</v>
      </c>
      <c r="AG171" s="420">
        <f t="shared" si="102"/>
        <v>672.351</v>
      </c>
      <c r="AH171" s="420">
        <f t="shared" si="102"/>
        <v>832.48599999999999</v>
      </c>
      <c r="AI171" s="420">
        <f t="shared" si="102"/>
        <v>797.20799999999997</v>
      </c>
      <c r="AJ171" s="420">
        <f t="shared" si="102"/>
        <v>991.84900000000005</v>
      </c>
      <c r="AK171" s="420">
        <f t="shared" si="102"/>
        <v>1077.127</v>
      </c>
      <c r="AL171" s="420">
        <f t="shared" si="102"/>
        <v>1156.6669999999999</v>
      </c>
      <c r="AM171" s="422">
        <f t="shared" si="102"/>
        <v>1077.9459999999999</v>
      </c>
      <c r="AN171" s="420">
        <f>SUM(O171,P171)</f>
        <v>1014.1964699999999</v>
      </c>
      <c r="AO171" s="309">
        <f>SUM(Q171,R171)</f>
        <v>1095.293353</v>
      </c>
      <c r="AP171" s="309">
        <f>AP24</f>
        <v>1259.5873559500001</v>
      </c>
      <c r="AQ171" s="309">
        <f>AQ24</f>
        <v>1385.5460915450001</v>
      </c>
      <c r="AR171" s="309">
        <f>AR24</f>
        <v>1524.1007006995005</v>
      </c>
      <c r="AS171" s="261"/>
    </row>
    <row r="172" spans="1:45" s="432" customFormat="1" x14ac:dyDescent="0.35">
      <c r="A172" s="423" t="str">
        <f>CONCATENATE("Consensus Estimates - ",IFERROR(LEFT(A171,FIND("(",A171)-1),A171))</f>
        <v>Consensus Estimates - Net Revenue</v>
      </c>
      <c r="B172" s="424"/>
      <c r="C172" s="425"/>
      <c r="D172" s="425"/>
      <c r="E172" s="425"/>
      <c r="F172" s="425"/>
      <c r="G172" s="425"/>
      <c r="H172" s="425"/>
      <c r="I172" s="425"/>
      <c r="J172" s="425"/>
      <c r="K172" s="426"/>
      <c r="L172" s="425"/>
      <c r="M172" s="426"/>
      <c r="N172" s="425"/>
      <c r="O172" s="427"/>
      <c r="P172" s="428" t="str">
        <f ca="1">IFERROR(VLOOKUP($A172,tb_ConsensusEstimate,MATCH(P$5,OFFSET(tb_ConsensusEstimate,0,0,1,COLUMNS(tb_ConsensusEstimate)),0),FALSE),"-")</f>
        <v>N/A</v>
      </c>
      <c r="Q172" s="428" t="str">
        <f ca="1">IFERROR(VLOOKUP($A172,tb_ConsensusEstimate,MATCH(Q$5,OFFSET(tb_ConsensusEstimate,0,0,1,COLUMNS(tb_ConsensusEstimate)),0),FALSE),"-")</f>
        <v>N/A</v>
      </c>
      <c r="R172" s="428" t="str">
        <f ca="1">IFERROR(VLOOKUP($A172,tb_ConsensusEstimate,MATCH(R$5,OFFSET(tb_ConsensusEstimate,0,0,1,COLUMNS(tb_ConsensusEstimate)),0),FALSE),"-")</f>
        <v>N/A</v>
      </c>
      <c r="S172" s="428"/>
      <c r="T172" s="428"/>
      <c r="U172" s="428"/>
      <c r="V172" s="428"/>
      <c r="W172" s="428"/>
      <c r="X172" s="428"/>
      <c r="Y172" s="428"/>
      <c r="Z172" s="429"/>
      <c r="AA172" s="429"/>
      <c r="AB172" s="429"/>
      <c r="AC172" s="429"/>
      <c r="AD172" s="429"/>
      <c r="AE172" s="429"/>
      <c r="AF172" s="429"/>
      <c r="AG172" s="429"/>
      <c r="AH172" s="429"/>
      <c r="AI172" s="429"/>
      <c r="AJ172" s="429"/>
      <c r="AK172" s="429"/>
      <c r="AL172" s="429"/>
      <c r="AM172" s="430"/>
      <c r="AN172" s="431" t="str">
        <f ca="1">IFERROR(VLOOKUP($A172,tb_ConsensusEstimate,MATCH(AN$5,OFFSET(tb_ConsensusEstimate,0,0,1,COLUMNS(tb_ConsensusEstimate)),0),FALSE),"-")</f>
        <v>N/A</v>
      </c>
      <c r="AO172" s="431" t="str">
        <f ca="1">IFERROR(VLOOKUP($A172,tb_ConsensusEstimate,MATCH(AO$5,OFFSET(tb_ConsensusEstimate,0,0,1,COLUMNS(tb_ConsensusEstimate)),0),FALSE),"-")</f>
        <v>N/A</v>
      </c>
      <c r="AP172" s="431" t="str">
        <f ca="1">IFERROR(VLOOKUP($A172,tb_ConsensusEstimate,MATCH(AP$5,OFFSET(tb_ConsensusEstimate,0,0,1,COLUMNS(tb_ConsensusEstimate)),0),FALSE),"-")</f>
        <v>N/A</v>
      </c>
      <c r="AQ172" s="431" t="str">
        <f ca="1">IFERROR(VLOOKUP($A172,tb_ConsensusEstimate,MATCH(AQ$5,OFFSET(tb_ConsensusEstimate,0,0,1,COLUMNS(tb_ConsensusEstimate)),0),FALSE),"-")</f>
        <v>N/A</v>
      </c>
      <c r="AR172" s="431" t="str">
        <f ca="1">IFERROR(VLOOKUP($A172,tb_ConsensusEstimate,MATCH(AR$5,OFFSET(tb_ConsensusEstimate,0,0,1,COLUMNS(tb_ConsensusEstimate)),0),FALSE),"-")</f>
        <v>N/A</v>
      </c>
      <c r="AS172" s="425"/>
    </row>
    <row r="173" spans="1:45" s="262" customFormat="1" x14ac:dyDescent="0.35">
      <c r="A173" s="305"/>
      <c r="B173" s="368"/>
      <c r="C173" s="307"/>
      <c r="D173" s="307"/>
      <c r="E173" s="307"/>
      <c r="F173" s="307"/>
      <c r="G173" s="307"/>
      <c r="H173" s="307"/>
      <c r="I173" s="307"/>
      <c r="J173" s="307"/>
      <c r="K173" s="307"/>
      <c r="L173" s="307"/>
      <c r="M173" s="307"/>
      <c r="N173" s="307"/>
      <c r="O173" s="308"/>
      <c r="P173" s="307"/>
      <c r="Q173" s="307"/>
      <c r="R173" s="307"/>
      <c r="S173" s="307"/>
      <c r="T173" s="307"/>
      <c r="U173" s="307"/>
      <c r="V173" s="307"/>
      <c r="W173" s="307"/>
      <c r="X173" s="307"/>
      <c r="Y173" s="307"/>
      <c r="Z173" s="309"/>
      <c r="AA173" s="309"/>
      <c r="AB173" s="309"/>
      <c r="AC173" s="309"/>
      <c r="AD173" s="309"/>
      <c r="AE173" s="309"/>
      <c r="AF173" s="309"/>
      <c r="AG173" s="309"/>
      <c r="AH173" s="309"/>
      <c r="AI173" s="309"/>
      <c r="AJ173" s="309"/>
      <c r="AK173" s="309"/>
      <c r="AL173" s="309"/>
      <c r="AM173" s="310"/>
      <c r="AN173" s="309"/>
      <c r="AO173" s="309"/>
      <c r="AP173" s="309"/>
      <c r="AQ173" s="309"/>
      <c r="AR173" s="309"/>
      <c r="AS173" s="261"/>
    </row>
    <row r="174" spans="1:45" s="167" customFormat="1" x14ac:dyDescent="0.35">
      <c r="A174" s="303" t="s">
        <v>325</v>
      </c>
      <c r="B174" s="315"/>
      <c r="C174" s="166">
        <f t="shared" ref="C174:O174" si="103">-C135</f>
        <v>317.2</v>
      </c>
      <c r="D174" s="166">
        <f t="shared" si="103"/>
        <v>378.97300000000001</v>
      </c>
      <c r="E174" s="166">
        <f t="shared" si="103"/>
        <v>283.46899999999999</v>
      </c>
      <c r="F174" s="166">
        <f t="shared" si="103"/>
        <v>338.57599999999996</v>
      </c>
      <c r="G174" s="166">
        <f t="shared" si="103"/>
        <v>339.298</v>
      </c>
      <c r="H174" s="166">
        <f t="shared" si="103"/>
        <v>441.40800000000002</v>
      </c>
      <c r="I174" s="166">
        <f t="shared" si="103"/>
        <v>412.476</v>
      </c>
      <c r="J174" s="166">
        <f t="shared" si="103"/>
        <v>428.94600000000003</v>
      </c>
      <c r="K174" s="166">
        <f t="shared" si="103"/>
        <v>442.524</v>
      </c>
      <c r="L174" s="166">
        <f t="shared" si="103"/>
        <v>437.78499999999997</v>
      </c>
      <c r="M174" s="166">
        <f t="shared" si="103"/>
        <v>427.60899999999998</v>
      </c>
      <c r="N174" s="166">
        <f t="shared" si="103"/>
        <v>323.12700000000001</v>
      </c>
      <c r="O174" s="311">
        <f t="shared" si="103"/>
        <v>335.351</v>
      </c>
      <c r="P174" s="164">
        <f>P171-P175</f>
        <v>393.90630394999994</v>
      </c>
      <c r="Q174" s="164">
        <f>Q171-Q175</f>
        <v>426.50834776000005</v>
      </c>
      <c r="R174" s="164">
        <f>R171-R175</f>
        <v>433.29693434500007</v>
      </c>
      <c r="S174" s="164"/>
      <c r="T174" s="164"/>
      <c r="U174" s="164"/>
      <c r="V174" s="164"/>
      <c r="W174" s="164"/>
      <c r="X174" s="164"/>
      <c r="Y174" s="164"/>
      <c r="Z174" s="250"/>
      <c r="AA174" s="250"/>
      <c r="AB174" s="250"/>
      <c r="AC174" s="250"/>
      <c r="AD174" s="250">
        <f t="shared" ref="AD174:AM174" si="104">-AD135</f>
        <v>325.245</v>
      </c>
      <c r="AE174" s="304">
        <f t="shared" si="104"/>
        <v>416.27600000000001</v>
      </c>
      <c r="AF174" s="304">
        <f t="shared" si="104"/>
        <v>493.30900000000003</v>
      </c>
      <c r="AG174" s="304">
        <f t="shared" si="104"/>
        <v>551.63400000000001</v>
      </c>
      <c r="AH174" s="304">
        <f t="shared" si="104"/>
        <v>696.173</v>
      </c>
      <c r="AI174" s="304">
        <f t="shared" si="104"/>
        <v>622.04499999999996</v>
      </c>
      <c r="AJ174" s="304">
        <f t="shared" si="104"/>
        <v>780.70600000000002</v>
      </c>
      <c r="AK174" s="304">
        <f t="shared" si="104"/>
        <v>841.42200000000003</v>
      </c>
      <c r="AL174" s="304">
        <f t="shared" si="104"/>
        <v>880.30899999999997</v>
      </c>
      <c r="AM174" s="312">
        <f t="shared" si="104"/>
        <v>750.73599999999999</v>
      </c>
      <c r="AN174" s="304">
        <f>SUM(O174,P174)</f>
        <v>729.25730394999994</v>
      </c>
      <c r="AO174" s="250">
        <f>SUM(Q174,R174)</f>
        <v>859.80528210500006</v>
      </c>
      <c r="AP174" s="250">
        <f>AP171-AP175</f>
        <v>995.07401120050008</v>
      </c>
      <c r="AQ174" s="250">
        <f>AQ171-AQ175</f>
        <v>1094.58141232055</v>
      </c>
      <c r="AR174" s="250">
        <f>AR171-AR175</f>
        <v>1204.0395535526054</v>
      </c>
      <c r="AS174" s="166"/>
    </row>
    <row r="175" spans="1:45" s="262" customFormat="1" x14ac:dyDescent="0.35">
      <c r="A175" s="253" t="s">
        <v>42</v>
      </c>
      <c r="B175" s="355"/>
      <c r="C175" s="256">
        <f t="shared" ref="C175:O175" si="105">C171-C174</f>
        <v>61.25</v>
      </c>
      <c r="D175" s="256">
        <f t="shared" si="105"/>
        <v>75.062999999999988</v>
      </c>
      <c r="E175" s="256">
        <f t="shared" si="105"/>
        <v>74.83499999999998</v>
      </c>
      <c r="F175" s="256">
        <f t="shared" si="105"/>
        <v>100.32800000000003</v>
      </c>
      <c r="G175" s="256">
        <f t="shared" si="105"/>
        <v>94.672000000000025</v>
      </c>
      <c r="H175" s="256">
        <f t="shared" si="105"/>
        <v>116.471</v>
      </c>
      <c r="I175" s="256">
        <f t="shared" si="105"/>
        <v>111.67200000000003</v>
      </c>
      <c r="J175" s="256">
        <f t="shared" si="105"/>
        <v>124.0329999999999</v>
      </c>
      <c r="K175" s="256">
        <f t="shared" si="105"/>
        <v>134.46400000000006</v>
      </c>
      <c r="L175" s="256">
        <f t="shared" si="105"/>
        <v>141.89399999999989</v>
      </c>
      <c r="M175" s="256">
        <f t="shared" si="105"/>
        <v>150.21100000000007</v>
      </c>
      <c r="N175" s="256">
        <f t="shared" si="105"/>
        <v>176.99899999999985</v>
      </c>
      <c r="O175" s="257">
        <f t="shared" si="105"/>
        <v>177.05399999999997</v>
      </c>
      <c r="P175" s="255">
        <f>P119*P171</f>
        <v>107.88516604999998</v>
      </c>
      <c r="Q175" s="255">
        <f>Q119*Q171</f>
        <v>116.81438824000001</v>
      </c>
      <c r="R175" s="255">
        <f>R119*R171</f>
        <v>118.67368265500001</v>
      </c>
      <c r="S175" s="255"/>
      <c r="T175" s="255"/>
      <c r="U175" s="255"/>
      <c r="V175" s="255"/>
      <c r="W175" s="255"/>
      <c r="X175" s="255"/>
      <c r="Y175" s="255"/>
      <c r="Z175" s="258"/>
      <c r="AA175" s="258"/>
      <c r="AB175" s="258"/>
      <c r="AC175" s="258"/>
      <c r="AD175" s="258">
        <f t="shared" ref="AD175:AO175" si="106">AD171-AD174</f>
        <v>70.510999999999967</v>
      </c>
      <c r="AE175" s="259">
        <f t="shared" si="106"/>
        <v>88.521000000000015</v>
      </c>
      <c r="AF175" s="259">
        <f t="shared" si="106"/>
        <v>102.77499999999992</v>
      </c>
      <c r="AG175" s="259">
        <f t="shared" si="106"/>
        <v>120.71699999999998</v>
      </c>
      <c r="AH175" s="259">
        <f t="shared" si="106"/>
        <v>136.31299999999999</v>
      </c>
      <c r="AI175" s="259">
        <f t="shared" si="106"/>
        <v>175.16300000000001</v>
      </c>
      <c r="AJ175" s="259">
        <f t="shared" si="106"/>
        <v>211.14300000000003</v>
      </c>
      <c r="AK175" s="259">
        <f t="shared" si="106"/>
        <v>235.70499999999993</v>
      </c>
      <c r="AL175" s="259">
        <f t="shared" si="106"/>
        <v>276.35799999999995</v>
      </c>
      <c r="AM175" s="260">
        <f t="shared" si="106"/>
        <v>327.20999999999992</v>
      </c>
      <c r="AN175" s="259">
        <f t="shared" si="106"/>
        <v>284.93916604999993</v>
      </c>
      <c r="AO175" s="258">
        <f t="shared" si="106"/>
        <v>235.48807089499996</v>
      </c>
      <c r="AP175" s="258">
        <f>AP119*AP171</f>
        <v>264.51334474949999</v>
      </c>
      <c r="AQ175" s="258">
        <f>AQ119*AQ171</f>
        <v>290.96467922444998</v>
      </c>
      <c r="AR175" s="258">
        <f>AR119*AR171</f>
        <v>320.06114714689511</v>
      </c>
      <c r="AS175" s="261"/>
    </row>
    <row r="176" spans="1:45" s="262" customFormat="1" x14ac:dyDescent="0.35">
      <c r="A176" s="305"/>
      <c r="B176" s="368"/>
      <c r="C176" s="307"/>
      <c r="D176" s="307"/>
      <c r="E176" s="307"/>
      <c r="F176" s="307"/>
      <c r="G176" s="307"/>
      <c r="H176" s="307"/>
      <c r="I176" s="307"/>
      <c r="J176" s="307"/>
      <c r="K176" s="307"/>
      <c r="L176" s="307"/>
      <c r="M176" s="307"/>
      <c r="N176" s="307"/>
      <c r="O176" s="308"/>
      <c r="P176" s="307"/>
      <c r="Q176" s="307"/>
      <c r="R176" s="307"/>
      <c r="S176" s="307"/>
      <c r="T176" s="307"/>
      <c r="U176" s="307"/>
      <c r="V176" s="307"/>
      <c r="W176" s="307"/>
      <c r="X176" s="307"/>
      <c r="Y176" s="307"/>
      <c r="Z176" s="309"/>
      <c r="AA176" s="309"/>
      <c r="AB176" s="309"/>
      <c r="AC176" s="309"/>
      <c r="AD176" s="309"/>
      <c r="AE176" s="309"/>
      <c r="AF176" s="309"/>
      <c r="AG176" s="309"/>
      <c r="AH176" s="309"/>
      <c r="AI176" s="309"/>
      <c r="AJ176" s="309"/>
      <c r="AK176" s="309"/>
      <c r="AL176" s="309"/>
      <c r="AM176" s="310"/>
      <c r="AN176" s="309"/>
      <c r="AO176" s="309"/>
      <c r="AP176" s="309"/>
      <c r="AQ176" s="309"/>
      <c r="AR176" s="309"/>
      <c r="AS176" s="261"/>
    </row>
    <row r="177" spans="1:45" s="167" customFormat="1" x14ac:dyDescent="0.35">
      <c r="A177" s="303" t="s">
        <v>758</v>
      </c>
      <c r="B177" s="315"/>
      <c r="C177" s="166">
        <f t="shared" ref="C177:O177" si="107">-C137</f>
        <v>40.357999999999997</v>
      </c>
      <c r="D177" s="166">
        <f t="shared" si="107"/>
        <v>45.792999999999999</v>
      </c>
      <c r="E177" s="166">
        <f t="shared" si="107"/>
        <v>50.725000000000001</v>
      </c>
      <c r="F177" s="166">
        <f t="shared" si="107"/>
        <v>56.416000000000004</v>
      </c>
      <c r="G177" s="166">
        <f t="shared" si="107"/>
        <v>60.817999999999998</v>
      </c>
      <c r="H177" s="166">
        <f t="shared" si="107"/>
        <v>65.838999999999999</v>
      </c>
      <c r="I177" s="166">
        <f t="shared" si="107"/>
        <v>71.194000000000003</v>
      </c>
      <c r="J177" s="166">
        <f t="shared" si="107"/>
        <v>70.778000000000006</v>
      </c>
      <c r="K177" s="166">
        <f t="shared" si="107"/>
        <v>77.400000000000006</v>
      </c>
      <c r="L177" s="166">
        <f t="shared" si="107"/>
        <v>79.542000000000002</v>
      </c>
      <c r="M177" s="166">
        <f t="shared" si="107"/>
        <v>86.078000000000003</v>
      </c>
      <c r="N177" s="166">
        <f t="shared" si="107"/>
        <v>104.98699999999999</v>
      </c>
      <c r="O177" s="311">
        <f t="shared" si="107"/>
        <v>113.983</v>
      </c>
      <c r="P177" s="164">
        <f>P$171*P122</f>
        <v>65.232891099999989</v>
      </c>
      <c r="Q177" s="164">
        <f>Q$171*Q122</f>
        <v>70.631955680000019</v>
      </c>
      <c r="R177" s="164">
        <f>R$171*R122</f>
        <v>71.756180210000011</v>
      </c>
      <c r="S177" s="164"/>
      <c r="T177" s="164"/>
      <c r="U177" s="164"/>
      <c r="V177" s="164"/>
      <c r="W177" s="164"/>
      <c r="X177" s="164"/>
      <c r="Y177" s="164"/>
      <c r="Z177" s="250"/>
      <c r="AA177" s="250"/>
      <c r="AB177" s="250"/>
      <c r="AC177" s="250"/>
      <c r="AD177" s="250">
        <f t="shared" ref="AD177:AM177" si="108">-AD137</f>
        <v>43.143000000000001</v>
      </c>
      <c r="AE177" s="304">
        <f t="shared" si="108"/>
        <v>52.993000000000002</v>
      </c>
      <c r="AF177" s="304">
        <f t="shared" si="108"/>
        <v>63.192999999999998</v>
      </c>
      <c r="AG177" s="304">
        <f t="shared" si="108"/>
        <v>78.527000000000001</v>
      </c>
      <c r="AH177" s="304">
        <f t="shared" si="108"/>
        <v>86.150999999999996</v>
      </c>
      <c r="AI177" s="304">
        <f t="shared" si="108"/>
        <v>107.14100000000001</v>
      </c>
      <c r="AJ177" s="304">
        <f t="shared" si="108"/>
        <v>126.657</v>
      </c>
      <c r="AK177" s="304">
        <f t="shared" si="108"/>
        <v>141.97200000000001</v>
      </c>
      <c r="AL177" s="304">
        <f t="shared" si="108"/>
        <v>156.94200000000001</v>
      </c>
      <c r="AM177" s="312">
        <f t="shared" si="108"/>
        <v>191.065</v>
      </c>
      <c r="AN177" s="304">
        <f>SUM(O177,P177)</f>
        <v>179.21589109999999</v>
      </c>
      <c r="AO177" s="250">
        <f>SUM(Q177,R177)</f>
        <v>142.38813589000003</v>
      </c>
      <c r="AP177" s="250">
        <f>AP$171*AP122</f>
        <v>163.74635627350006</v>
      </c>
      <c r="AQ177" s="250">
        <f>AQ$171*AQ122</f>
        <v>180.12099190085004</v>
      </c>
      <c r="AR177" s="250">
        <f>AR$171*AR122</f>
        <v>198.13309109093512</v>
      </c>
      <c r="AS177" s="166"/>
    </row>
    <row r="178" spans="1:45" s="262" customFormat="1" x14ac:dyDescent="0.35">
      <c r="A178" s="253" t="s">
        <v>759</v>
      </c>
      <c r="B178" s="355"/>
      <c r="C178" s="256">
        <f t="shared" ref="C178:R178" si="109">C175-SUM(C177:C177)</f>
        <v>20.892000000000003</v>
      </c>
      <c r="D178" s="256">
        <f t="shared" si="109"/>
        <v>29.269999999999989</v>
      </c>
      <c r="E178" s="256">
        <f t="shared" si="109"/>
        <v>24.109999999999978</v>
      </c>
      <c r="F178" s="256">
        <f t="shared" si="109"/>
        <v>43.912000000000027</v>
      </c>
      <c r="G178" s="256">
        <f t="shared" si="109"/>
        <v>33.854000000000028</v>
      </c>
      <c r="H178" s="256">
        <f t="shared" si="109"/>
        <v>50.632000000000005</v>
      </c>
      <c r="I178" s="256">
        <f t="shared" si="109"/>
        <v>40.478000000000023</v>
      </c>
      <c r="J178" s="256">
        <f t="shared" si="109"/>
        <v>53.254999999999896</v>
      </c>
      <c r="K178" s="256">
        <f t="shared" si="109"/>
        <v>57.06400000000005</v>
      </c>
      <c r="L178" s="256">
        <f t="shared" si="109"/>
        <v>62.35199999999989</v>
      </c>
      <c r="M178" s="256">
        <f t="shared" si="109"/>
        <v>64.133000000000067</v>
      </c>
      <c r="N178" s="256">
        <f t="shared" si="109"/>
        <v>72.011999999999858</v>
      </c>
      <c r="O178" s="257">
        <f t="shared" si="109"/>
        <v>63.07099999999997</v>
      </c>
      <c r="P178" s="255">
        <f t="shared" si="109"/>
        <v>42.652274949999992</v>
      </c>
      <c r="Q178" s="255">
        <f t="shared" si="109"/>
        <v>46.182432559999995</v>
      </c>
      <c r="R178" s="255">
        <f t="shared" si="109"/>
        <v>46.917502444999997</v>
      </c>
      <c r="S178" s="255"/>
      <c r="T178" s="255"/>
      <c r="U178" s="255"/>
      <c r="V178" s="255"/>
      <c r="W178" s="255"/>
      <c r="X178" s="255"/>
      <c r="Y178" s="255"/>
      <c r="Z178" s="258"/>
      <c r="AA178" s="258"/>
      <c r="AB178" s="258"/>
      <c r="AC178" s="258"/>
      <c r="AD178" s="258">
        <f t="shared" ref="AD178:AR178" si="110">AD175-SUM(AD177:AD177)</f>
        <v>27.367999999999967</v>
      </c>
      <c r="AE178" s="259">
        <f t="shared" si="110"/>
        <v>35.528000000000013</v>
      </c>
      <c r="AF178" s="259">
        <f t="shared" si="110"/>
        <v>39.581999999999923</v>
      </c>
      <c r="AG178" s="259">
        <f t="shared" si="110"/>
        <v>42.189999999999984</v>
      </c>
      <c r="AH178" s="259">
        <f t="shared" si="110"/>
        <v>50.161999999999992</v>
      </c>
      <c r="AI178" s="259">
        <f t="shared" si="110"/>
        <v>68.022000000000006</v>
      </c>
      <c r="AJ178" s="259">
        <f t="shared" si="110"/>
        <v>84.486000000000033</v>
      </c>
      <c r="AK178" s="259">
        <f t="shared" si="110"/>
        <v>93.732999999999919</v>
      </c>
      <c r="AL178" s="259">
        <f t="shared" si="110"/>
        <v>119.41599999999994</v>
      </c>
      <c r="AM178" s="260">
        <f t="shared" si="110"/>
        <v>136.14499999999992</v>
      </c>
      <c r="AN178" s="259">
        <f t="shared" si="110"/>
        <v>105.72327494999993</v>
      </c>
      <c r="AO178" s="258">
        <f t="shared" si="110"/>
        <v>93.099935004999935</v>
      </c>
      <c r="AP178" s="258">
        <f t="shared" si="110"/>
        <v>100.76698847599994</v>
      </c>
      <c r="AQ178" s="258">
        <f t="shared" si="110"/>
        <v>110.84368732359994</v>
      </c>
      <c r="AR178" s="258">
        <f t="shared" si="110"/>
        <v>121.92805605595998</v>
      </c>
      <c r="AS178" s="261"/>
    </row>
    <row r="179" spans="1:45" s="262" customFormat="1" x14ac:dyDescent="0.35">
      <c r="A179" s="393" t="str">
        <f>CONCATENATE("Adjusted ",A178,IF(AND(ROUND(SUM(Z178:AS178)-SUM(Z179:AS179),6)=0)," (No Adjustments)",""))</f>
        <v>Adjusted EBIT</v>
      </c>
      <c r="B179" s="368"/>
      <c r="C179" s="261">
        <f>C162</f>
        <v>21.366000000000003</v>
      </c>
      <c r="D179" s="261">
        <f>D162</f>
        <v>30.097999999999988</v>
      </c>
      <c r="E179" s="261">
        <f t="shared" ref="E179:R179" si="111">E178</f>
        <v>24.109999999999978</v>
      </c>
      <c r="F179" s="261">
        <f t="shared" si="111"/>
        <v>43.912000000000027</v>
      </c>
      <c r="G179" s="261">
        <f t="shared" si="111"/>
        <v>33.854000000000028</v>
      </c>
      <c r="H179" s="261">
        <f t="shared" si="111"/>
        <v>50.632000000000005</v>
      </c>
      <c r="I179" s="261">
        <f t="shared" si="111"/>
        <v>40.478000000000023</v>
      </c>
      <c r="J179" s="261">
        <f t="shared" si="111"/>
        <v>53.254999999999896</v>
      </c>
      <c r="K179" s="261">
        <f t="shared" si="111"/>
        <v>57.06400000000005</v>
      </c>
      <c r="L179" s="261">
        <f t="shared" si="111"/>
        <v>62.35199999999989</v>
      </c>
      <c r="M179" s="261">
        <f t="shared" si="111"/>
        <v>64.133000000000067</v>
      </c>
      <c r="N179" s="261">
        <f t="shared" si="111"/>
        <v>72.011999999999858</v>
      </c>
      <c r="O179" s="421">
        <f t="shared" si="111"/>
        <v>63.07099999999997</v>
      </c>
      <c r="P179" s="307">
        <f t="shared" si="111"/>
        <v>42.652274949999992</v>
      </c>
      <c r="Q179" s="307">
        <f t="shared" si="111"/>
        <v>46.182432559999995</v>
      </c>
      <c r="R179" s="307">
        <f t="shared" si="111"/>
        <v>46.917502444999997</v>
      </c>
      <c r="S179" s="307"/>
      <c r="T179" s="307"/>
      <c r="U179" s="307"/>
      <c r="V179" s="307"/>
      <c r="W179" s="307"/>
      <c r="X179" s="307"/>
      <c r="Y179" s="307"/>
      <c r="Z179" s="309"/>
      <c r="AA179" s="309"/>
      <c r="AB179" s="309"/>
      <c r="AC179" s="309"/>
      <c r="AD179" s="309">
        <f>AD162</f>
        <v>28.102999999999966</v>
      </c>
      <c r="AE179" s="420">
        <f>AE162</f>
        <v>35.528000000000013</v>
      </c>
      <c r="AF179" s="420">
        <f>AF162</f>
        <v>40.585999999999927</v>
      </c>
      <c r="AG179" s="420">
        <f>AG162</f>
        <v>46.750999999999983</v>
      </c>
      <c r="AH179" s="420">
        <f>AH162</f>
        <v>51.463999999999992</v>
      </c>
      <c r="AI179" s="420">
        <f>AI178</f>
        <v>68.022000000000006</v>
      </c>
      <c r="AJ179" s="420">
        <f>AJ178</f>
        <v>84.486000000000033</v>
      </c>
      <c r="AK179" s="420">
        <f>AK178</f>
        <v>93.732999999999919</v>
      </c>
      <c r="AL179" s="420">
        <f>AL178</f>
        <v>119.41599999999994</v>
      </c>
      <c r="AM179" s="422">
        <f>AM178</f>
        <v>136.14499999999992</v>
      </c>
      <c r="AN179" s="420">
        <f>SUM(O179,P179)</f>
        <v>105.72327494999996</v>
      </c>
      <c r="AO179" s="309">
        <f>SUM(Q179,R179)</f>
        <v>93.099935004999992</v>
      </c>
      <c r="AP179" s="309">
        <f>AP178</f>
        <v>100.76698847599994</v>
      </c>
      <c r="AQ179" s="309">
        <f>AQ178</f>
        <v>110.84368732359994</v>
      </c>
      <c r="AR179" s="309">
        <f>AR178</f>
        <v>121.92805605595998</v>
      </c>
      <c r="AS179" s="261"/>
    </row>
    <row r="180" spans="1:45" s="262" customFormat="1" x14ac:dyDescent="0.35">
      <c r="A180" s="433" t="s">
        <v>760</v>
      </c>
      <c r="B180" s="424"/>
      <c r="C180" s="425"/>
      <c r="D180" s="425"/>
      <c r="E180" s="425"/>
      <c r="F180" s="425"/>
      <c r="G180" s="425"/>
      <c r="H180" s="425"/>
      <c r="I180" s="425"/>
      <c r="J180" s="425"/>
      <c r="K180" s="425"/>
      <c r="L180" s="425"/>
      <c r="M180" s="425"/>
      <c r="N180" s="425"/>
      <c r="O180" s="434"/>
      <c r="P180" s="425" t="str">
        <f ca="1">IFERROR(VLOOKUP($A180,tb_ConsensusEstimate,MATCH(P$5,OFFSET(tb_ConsensusEstimate,0,0,1,COLUMNS(tb_ConsensusEstimate)),0),FALSE),"-")</f>
        <v>N/A</v>
      </c>
      <c r="Q180" s="425" t="str">
        <f ca="1">IFERROR(VLOOKUP($A180,tb_ConsensusEstimate,MATCH(Q$5,OFFSET(tb_ConsensusEstimate,0,0,1,COLUMNS(tb_ConsensusEstimate)),0),FALSE),"-")</f>
        <v>N/A</v>
      </c>
      <c r="R180" s="425" t="str">
        <f ca="1">IFERROR(VLOOKUP($A180,tb_ConsensusEstimate,MATCH(R$5,OFFSET(tb_ConsensusEstimate,0,0,1,COLUMNS(tb_ConsensusEstimate)),0),FALSE),"-")</f>
        <v>N/A</v>
      </c>
      <c r="S180" s="425"/>
      <c r="T180" s="425"/>
      <c r="U180" s="425"/>
      <c r="V180" s="425"/>
      <c r="W180" s="425"/>
      <c r="X180" s="425"/>
      <c r="Y180" s="425"/>
      <c r="Z180" s="429"/>
      <c r="AA180" s="429"/>
      <c r="AB180" s="429"/>
      <c r="AC180" s="429"/>
      <c r="AD180" s="429"/>
      <c r="AE180" s="429"/>
      <c r="AF180" s="429"/>
      <c r="AG180" s="429"/>
      <c r="AH180" s="429"/>
      <c r="AI180" s="429"/>
      <c r="AJ180" s="429"/>
      <c r="AK180" s="429"/>
      <c r="AL180" s="429"/>
      <c r="AM180" s="430"/>
      <c r="AN180" s="435" t="str">
        <f ca="1">IFERROR(VLOOKUP($A180,tb_ConsensusEstimate,MATCH(AN$5,OFFSET(tb_ConsensusEstimate,0,0,1,COLUMNS(tb_ConsensusEstimate)),0),FALSE),"-")</f>
        <v>N/A</v>
      </c>
      <c r="AO180" s="429" t="str">
        <f ca="1">IFERROR(VLOOKUP($A180,tb_ConsensusEstimate,MATCH(AO$5,OFFSET(tb_ConsensusEstimate,0,0,1,COLUMNS(tb_ConsensusEstimate)),0),FALSE),"-")</f>
        <v>N/A</v>
      </c>
      <c r="AP180" s="429" t="str">
        <f ca="1">IFERROR(VLOOKUP($A180,tb_ConsensusEstimate,MATCH(AP$5,OFFSET(tb_ConsensusEstimate,0,0,1,COLUMNS(tb_ConsensusEstimate)),0),FALSE),"-")</f>
        <v>N/A</v>
      </c>
      <c r="AQ180" s="429" t="str">
        <f ca="1">IFERROR(VLOOKUP($A180,tb_ConsensusEstimate,MATCH(AQ$5,OFFSET(tb_ConsensusEstimate,0,0,1,COLUMNS(tb_ConsensusEstimate)),0),FALSE),"-")</f>
        <v>N/A</v>
      </c>
      <c r="AR180" s="429" t="str">
        <f ca="1">IFERROR(VLOOKUP($A180,tb_ConsensusEstimate,MATCH(AR$5,OFFSET(tb_ConsensusEstimate,0,0,1,COLUMNS(tb_ConsensusEstimate)),0),FALSE),"-")</f>
        <v>N/A</v>
      </c>
      <c r="AS180" s="261"/>
    </row>
    <row r="181" spans="1:45" s="167" customFormat="1" x14ac:dyDescent="0.35">
      <c r="A181" s="246"/>
      <c r="B181" s="315"/>
      <c r="C181" s="164"/>
      <c r="D181" s="164"/>
      <c r="E181" s="164"/>
      <c r="F181" s="164"/>
      <c r="G181" s="164"/>
      <c r="H181" s="164"/>
      <c r="I181" s="164"/>
      <c r="J181" s="164"/>
      <c r="K181" s="164"/>
      <c r="L181" s="164"/>
      <c r="M181" s="164"/>
      <c r="N181" s="164"/>
      <c r="O181" s="165"/>
      <c r="P181" s="164"/>
      <c r="Q181" s="164"/>
      <c r="R181" s="164"/>
      <c r="S181" s="164"/>
      <c r="T181" s="164"/>
      <c r="U181" s="164"/>
      <c r="V181" s="164"/>
      <c r="W181" s="164"/>
      <c r="X181" s="164"/>
      <c r="Y181" s="164"/>
      <c r="Z181" s="250"/>
      <c r="AA181" s="250"/>
      <c r="AB181" s="250"/>
      <c r="AC181" s="250"/>
      <c r="AD181" s="250"/>
      <c r="AE181" s="250"/>
      <c r="AF181" s="250"/>
      <c r="AG181" s="250"/>
      <c r="AH181" s="250"/>
      <c r="AI181" s="250"/>
      <c r="AJ181" s="250"/>
      <c r="AK181" s="250"/>
      <c r="AL181" s="250"/>
      <c r="AM181" s="264"/>
      <c r="AN181" s="250"/>
      <c r="AO181" s="250"/>
      <c r="AP181" s="250"/>
      <c r="AQ181" s="250"/>
      <c r="AR181" s="250"/>
      <c r="AS181" s="166"/>
    </row>
    <row r="182" spans="1:45" s="167" customFormat="1" x14ac:dyDescent="0.35">
      <c r="A182" s="246" t="s">
        <v>761</v>
      </c>
      <c r="B182" s="315"/>
      <c r="C182" s="164">
        <f t="shared" ref="C182:O182" si="112">C316+C317+C318</f>
        <v>0.98899999999999999</v>
      </c>
      <c r="D182" s="164">
        <f t="shared" si="112"/>
        <v>1.0190000000000001</v>
      </c>
      <c r="E182" s="164">
        <f t="shared" si="112"/>
        <v>0.89900000000000002</v>
      </c>
      <c r="F182" s="164">
        <f t="shared" si="112"/>
        <v>0.86</v>
      </c>
      <c r="G182" s="164">
        <f t="shared" si="112"/>
        <v>0.76700000000000002</v>
      </c>
      <c r="H182" s="164">
        <f t="shared" si="112"/>
        <v>0.75299999999999989</v>
      </c>
      <c r="I182" s="164">
        <f t="shared" si="112"/>
        <v>1.6079999999999999</v>
      </c>
      <c r="J182" s="164">
        <f t="shared" si="112"/>
        <v>1.9759999999999998</v>
      </c>
      <c r="K182" s="164">
        <f t="shared" si="112"/>
        <v>2.4749999999999996</v>
      </c>
      <c r="L182" s="164">
        <f t="shared" si="112"/>
        <v>2.4169999999999998</v>
      </c>
      <c r="M182" s="164">
        <f t="shared" si="112"/>
        <v>2.4659999999999997</v>
      </c>
      <c r="N182" s="164">
        <f t="shared" si="112"/>
        <v>2.0590000000000006</v>
      </c>
      <c r="O182" s="165">
        <f t="shared" si="112"/>
        <v>2.9769999999999999</v>
      </c>
      <c r="P182" s="164">
        <f>-P370-P376-P391</f>
        <v>2.6266075342465753</v>
      </c>
      <c r="Q182" s="164">
        <f>-Q370-Q376-Q391</f>
        <v>2.8017879615688526</v>
      </c>
      <c r="R182" s="164">
        <f>-R370-R376-R391</f>
        <v>2.9223600210364387</v>
      </c>
      <c r="S182" s="164"/>
      <c r="T182" s="164"/>
      <c r="U182" s="164"/>
      <c r="V182" s="164"/>
      <c r="W182" s="164"/>
      <c r="X182" s="164"/>
      <c r="Y182" s="164"/>
      <c r="Z182" s="250"/>
      <c r="AA182" s="250"/>
      <c r="AB182" s="250"/>
      <c r="AC182" s="250"/>
      <c r="AD182" s="250">
        <f t="shared" ref="AD182:AM182" si="113">AD316+AD317+AD318</f>
        <v>1.1660000000000001</v>
      </c>
      <c r="AE182" s="250">
        <f t="shared" si="113"/>
        <v>1.778</v>
      </c>
      <c r="AF182" s="250">
        <f t="shared" si="113"/>
        <v>2.1470000000000002</v>
      </c>
      <c r="AG182" s="250">
        <f t="shared" si="113"/>
        <v>2.1230000000000002</v>
      </c>
      <c r="AH182" s="250">
        <f t="shared" si="113"/>
        <v>2.008</v>
      </c>
      <c r="AI182" s="250">
        <f t="shared" si="113"/>
        <v>1.7589999999999999</v>
      </c>
      <c r="AJ182" s="250">
        <f t="shared" si="113"/>
        <v>1.52</v>
      </c>
      <c r="AK182" s="250">
        <f t="shared" si="113"/>
        <v>3.5840000000000001</v>
      </c>
      <c r="AL182" s="250">
        <f t="shared" si="113"/>
        <v>4.8919999999999995</v>
      </c>
      <c r="AM182" s="264">
        <f t="shared" si="113"/>
        <v>4.5250000000000004</v>
      </c>
      <c r="AN182" s="250">
        <f>SUM(O182,P182)</f>
        <v>5.6036075342465752</v>
      </c>
      <c r="AO182" s="250">
        <f>SUM(Q182,R182)</f>
        <v>5.7241479826052917</v>
      </c>
      <c r="AP182" s="250">
        <f>-AP370-AP376-AP391</f>
        <v>6.1053271943631415</v>
      </c>
      <c r="AQ182" s="250">
        <f>-AQ370-AQ376-AQ391</f>
        <v>6.5589590728090226</v>
      </c>
      <c r="AR182" s="250">
        <f>-AR370-AR376-AR391</f>
        <v>6.9247726650421448</v>
      </c>
      <c r="AS182" s="166"/>
    </row>
    <row r="183" spans="1:45" s="167" customFormat="1" x14ac:dyDescent="0.35">
      <c r="A183" s="246" t="s">
        <v>762</v>
      </c>
      <c r="B183" s="315"/>
      <c r="C183" s="164">
        <f t="shared" ref="C183:R183" si="114">C239</f>
        <v>0.436</v>
      </c>
      <c r="D183" s="164">
        <f t="shared" si="114"/>
        <v>0.63400000000000012</v>
      </c>
      <c r="E183" s="164">
        <f t="shared" si="114"/>
        <v>0.98899999999999999</v>
      </c>
      <c r="F183" s="164">
        <f t="shared" si="114"/>
        <v>0.76999999999999991</v>
      </c>
      <c r="G183" s="164">
        <f t="shared" si="114"/>
        <v>0.89800000000000002</v>
      </c>
      <c r="H183" s="164">
        <f t="shared" si="114"/>
        <v>0.83399999999999996</v>
      </c>
      <c r="I183" s="164">
        <f t="shared" si="114"/>
        <v>0.97099999999999997</v>
      </c>
      <c r="J183" s="164">
        <f t="shared" si="114"/>
        <v>0.98699999999999999</v>
      </c>
      <c r="K183" s="164">
        <f t="shared" si="114"/>
        <v>1.113</v>
      </c>
      <c r="L183" s="164">
        <f t="shared" si="114"/>
        <v>1.1539999999999999</v>
      </c>
      <c r="M183" s="164">
        <f t="shared" si="114"/>
        <v>1.4159999999999999</v>
      </c>
      <c r="N183" s="164">
        <f t="shared" si="114"/>
        <v>1.125</v>
      </c>
      <c r="O183" s="165">
        <f t="shared" si="114"/>
        <v>1.591</v>
      </c>
      <c r="P183" s="164">
        <f t="shared" si="114"/>
        <v>0.75268720499999997</v>
      </c>
      <c r="Q183" s="164">
        <f t="shared" si="114"/>
        <v>0.8149841040000001</v>
      </c>
      <c r="R183" s="164">
        <f t="shared" si="114"/>
        <v>0.82795592550000008</v>
      </c>
      <c r="S183" s="164"/>
      <c r="T183" s="164"/>
      <c r="U183" s="164"/>
      <c r="V183" s="164"/>
      <c r="W183" s="164"/>
      <c r="X183" s="164"/>
      <c r="Y183" s="164"/>
      <c r="Z183" s="250"/>
      <c r="AA183" s="250"/>
      <c r="AB183" s="250"/>
      <c r="AC183" s="250"/>
      <c r="AD183" s="250">
        <f t="shared" ref="AD183:AM183" si="115">AD239</f>
        <v>0.73499999999999999</v>
      </c>
      <c r="AE183" s="250">
        <f t="shared" si="115"/>
        <v>0</v>
      </c>
      <c r="AF183" s="250">
        <f t="shared" si="115"/>
        <v>5.0000000000000001E-3</v>
      </c>
      <c r="AG183" s="250">
        <f t="shared" si="115"/>
        <v>0.57199999999999995</v>
      </c>
      <c r="AH183" s="250">
        <f t="shared" si="115"/>
        <v>1.07</v>
      </c>
      <c r="AI183" s="250">
        <f t="shared" si="115"/>
        <v>1.7589999999999999</v>
      </c>
      <c r="AJ183" s="250">
        <f t="shared" si="115"/>
        <v>1.732</v>
      </c>
      <c r="AK183" s="250">
        <f t="shared" si="115"/>
        <v>1.958</v>
      </c>
      <c r="AL183" s="250">
        <f t="shared" si="115"/>
        <v>2.2669999999999999</v>
      </c>
      <c r="AM183" s="264">
        <f t="shared" si="115"/>
        <v>2.5409999999999999</v>
      </c>
      <c r="AN183" s="250">
        <f>SUM(O183,P183)</f>
        <v>2.3436872050000002</v>
      </c>
      <c r="AO183" s="250">
        <f>SUM(Q183,R183)</f>
        <v>1.6429400295000001</v>
      </c>
      <c r="AP183" s="250">
        <f>AP239</f>
        <v>1.8893810339249999</v>
      </c>
      <c r="AQ183" s="250">
        <f>AQ239</f>
        <v>2.0783191373175001</v>
      </c>
      <c r="AR183" s="250">
        <f>AR239</f>
        <v>2.2861510510492504</v>
      </c>
      <c r="AS183" s="166"/>
    </row>
    <row r="184" spans="1:45" s="262" customFormat="1" x14ac:dyDescent="0.35">
      <c r="A184" s="253" t="s">
        <v>49</v>
      </c>
      <c r="B184" s="355"/>
      <c r="C184" s="256">
        <f t="shared" ref="C184:R184" si="116">C178+SUM(C182:C183)</f>
        <v>22.317000000000004</v>
      </c>
      <c r="D184" s="256">
        <f t="shared" si="116"/>
        <v>30.922999999999988</v>
      </c>
      <c r="E184" s="256">
        <f t="shared" si="116"/>
        <v>25.997999999999976</v>
      </c>
      <c r="F184" s="256">
        <f t="shared" si="116"/>
        <v>45.54200000000003</v>
      </c>
      <c r="G184" s="256">
        <f t="shared" si="116"/>
        <v>35.519000000000027</v>
      </c>
      <c r="H184" s="256">
        <f t="shared" si="116"/>
        <v>52.219000000000008</v>
      </c>
      <c r="I184" s="256">
        <f t="shared" si="116"/>
        <v>43.057000000000023</v>
      </c>
      <c r="J184" s="256">
        <f t="shared" si="116"/>
        <v>56.217999999999897</v>
      </c>
      <c r="K184" s="256">
        <f t="shared" si="116"/>
        <v>60.652000000000051</v>
      </c>
      <c r="L184" s="256">
        <f t="shared" si="116"/>
        <v>65.922999999999888</v>
      </c>
      <c r="M184" s="256">
        <f t="shared" si="116"/>
        <v>68.015000000000072</v>
      </c>
      <c r="N184" s="256">
        <f t="shared" si="116"/>
        <v>75.195999999999856</v>
      </c>
      <c r="O184" s="257">
        <f t="shared" si="116"/>
        <v>67.638999999999967</v>
      </c>
      <c r="P184" s="255">
        <f t="shared" si="116"/>
        <v>46.031569689246567</v>
      </c>
      <c r="Q184" s="255">
        <f t="shared" si="116"/>
        <v>49.799204625568848</v>
      </c>
      <c r="R184" s="255">
        <f t="shared" si="116"/>
        <v>50.667818391536436</v>
      </c>
      <c r="S184" s="255"/>
      <c r="T184" s="255"/>
      <c r="U184" s="255"/>
      <c r="V184" s="255"/>
      <c r="W184" s="255"/>
      <c r="X184" s="255"/>
      <c r="Y184" s="255"/>
      <c r="Z184" s="258"/>
      <c r="AA184" s="258"/>
      <c r="AB184" s="258"/>
      <c r="AC184" s="258"/>
      <c r="AD184" s="258">
        <f t="shared" ref="AD184:AR184" si="117">AD178+SUM(AD182:AD183)</f>
        <v>29.268999999999966</v>
      </c>
      <c r="AE184" s="259">
        <f t="shared" si="117"/>
        <v>37.306000000000012</v>
      </c>
      <c r="AF184" s="259">
        <f t="shared" si="117"/>
        <v>41.733999999999924</v>
      </c>
      <c r="AG184" s="259">
        <f t="shared" si="117"/>
        <v>44.884999999999984</v>
      </c>
      <c r="AH184" s="259">
        <f t="shared" si="117"/>
        <v>53.239999999999995</v>
      </c>
      <c r="AI184" s="259">
        <f t="shared" si="117"/>
        <v>71.540000000000006</v>
      </c>
      <c r="AJ184" s="259">
        <f t="shared" si="117"/>
        <v>87.738000000000028</v>
      </c>
      <c r="AK184" s="259">
        <f t="shared" si="117"/>
        <v>99.27499999999992</v>
      </c>
      <c r="AL184" s="259">
        <f t="shared" si="117"/>
        <v>126.57499999999993</v>
      </c>
      <c r="AM184" s="260">
        <f t="shared" si="117"/>
        <v>143.21099999999993</v>
      </c>
      <c r="AN184" s="259">
        <f t="shared" si="117"/>
        <v>113.67056968924651</v>
      </c>
      <c r="AO184" s="258">
        <f t="shared" si="117"/>
        <v>100.46702301710522</v>
      </c>
      <c r="AP184" s="258">
        <f t="shared" si="117"/>
        <v>108.76169670428808</v>
      </c>
      <c r="AQ184" s="258">
        <f t="shared" si="117"/>
        <v>119.48096553372646</v>
      </c>
      <c r="AR184" s="258">
        <f t="shared" si="117"/>
        <v>131.13897977205139</v>
      </c>
      <c r="AS184" s="261"/>
    </row>
    <row r="185" spans="1:45" s="262" customFormat="1" x14ac:dyDescent="0.35">
      <c r="A185" s="393" t="str">
        <f>CONCATENATE("Adjusted ",A184,IF(AND(ROUND(SUM(Z184:AS184)-SUM(Z185:AS185),6)=0)," (No Adjustments)",""))</f>
        <v>Adjusted EBITDA</v>
      </c>
      <c r="B185" s="368"/>
      <c r="C185" s="261">
        <f t="shared" ref="C185:O185" si="118">C179+SUM(C182:C183)</f>
        <v>22.791000000000004</v>
      </c>
      <c r="D185" s="261">
        <f t="shared" si="118"/>
        <v>31.750999999999987</v>
      </c>
      <c r="E185" s="261">
        <f t="shared" si="118"/>
        <v>25.997999999999976</v>
      </c>
      <c r="F185" s="261">
        <f t="shared" si="118"/>
        <v>45.54200000000003</v>
      </c>
      <c r="G185" s="261">
        <f t="shared" si="118"/>
        <v>35.519000000000027</v>
      </c>
      <c r="H185" s="261">
        <f t="shared" si="118"/>
        <v>52.219000000000008</v>
      </c>
      <c r="I185" s="261">
        <f t="shared" si="118"/>
        <v>43.057000000000023</v>
      </c>
      <c r="J185" s="261">
        <f t="shared" si="118"/>
        <v>56.217999999999897</v>
      </c>
      <c r="K185" s="261">
        <f t="shared" si="118"/>
        <v>60.652000000000051</v>
      </c>
      <c r="L185" s="261">
        <f t="shared" si="118"/>
        <v>65.922999999999888</v>
      </c>
      <c r="M185" s="261">
        <f t="shared" si="118"/>
        <v>68.015000000000072</v>
      </c>
      <c r="N185" s="261">
        <f t="shared" si="118"/>
        <v>75.195999999999856</v>
      </c>
      <c r="O185" s="421">
        <f t="shared" si="118"/>
        <v>67.638999999999967</v>
      </c>
      <c r="P185" s="307">
        <f>P184</f>
        <v>46.031569689246567</v>
      </c>
      <c r="Q185" s="307">
        <f>Q184</f>
        <v>49.799204625568848</v>
      </c>
      <c r="R185" s="307">
        <f>R184</f>
        <v>50.667818391536436</v>
      </c>
      <c r="S185" s="307"/>
      <c r="T185" s="307"/>
      <c r="U185" s="307"/>
      <c r="V185" s="307"/>
      <c r="W185" s="307"/>
      <c r="X185" s="307"/>
      <c r="Y185" s="307"/>
      <c r="Z185" s="309"/>
      <c r="AA185" s="309"/>
      <c r="AB185" s="309"/>
      <c r="AC185" s="309"/>
      <c r="AD185" s="309">
        <f t="shared" ref="AD185:AM185" si="119">AD179+SUM(AD182:AD183)</f>
        <v>30.003999999999966</v>
      </c>
      <c r="AE185" s="420">
        <f t="shared" si="119"/>
        <v>37.306000000000012</v>
      </c>
      <c r="AF185" s="420">
        <f t="shared" si="119"/>
        <v>42.737999999999928</v>
      </c>
      <c r="AG185" s="420">
        <f t="shared" si="119"/>
        <v>49.445999999999984</v>
      </c>
      <c r="AH185" s="420">
        <f t="shared" si="119"/>
        <v>54.541999999999994</v>
      </c>
      <c r="AI185" s="420">
        <f t="shared" si="119"/>
        <v>71.540000000000006</v>
      </c>
      <c r="AJ185" s="420">
        <f t="shared" si="119"/>
        <v>87.738000000000028</v>
      </c>
      <c r="AK185" s="420">
        <f t="shared" si="119"/>
        <v>99.27499999999992</v>
      </c>
      <c r="AL185" s="420">
        <f t="shared" si="119"/>
        <v>126.57499999999993</v>
      </c>
      <c r="AM185" s="422">
        <f t="shared" si="119"/>
        <v>143.21099999999993</v>
      </c>
      <c r="AN185" s="420">
        <f>SUM(O185,P185)</f>
        <v>113.67056968924653</v>
      </c>
      <c r="AO185" s="309">
        <f>SUM(Q185,R185)</f>
        <v>100.46702301710528</v>
      </c>
      <c r="AP185" s="309">
        <f>AP184</f>
        <v>108.76169670428808</v>
      </c>
      <c r="AQ185" s="309">
        <f>AQ184</f>
        <v>119.48096553372646</v>
      </c>
      <c r="AR185" s="309">
        <f>AR184</f>
        <v>131.13897977205139</v>
      </c>
      <c r="AS185" s="261"/>
    </row>
    <row r="186" spans="1:45" s="432" customFormat="1" x14ac:dyDescent="0.35">
      <c r="A186" s="423" t="str">
        <f>CONCATENATE("Consensus Estimates - ",IFERROR(LEFT(A185,FIND("(",A185)-1),A185))</f>
        <v>Consensus Estimates - Adjusted EBITDA</v>
      </c>
      <c r="B186" s="424"/>
      <c r="C186" s="425"/>
      <c r="D186" s="425"/>
      <c r="E186" s="425"/>
      <c r="F186" s="425"/>
      <c r="G186" s="425"/>
      <c r="H186" s="425"/>
      <c r="I186" s="425"/>
      <c r="J186" s="425"/>
      <c r="K186" s="426"/>
      <c r="L186" s="425"/>
      <c r="M186" s="426"/>
      <c r="N186" s="425"/>
      <c r="O186" s="427"/>
      <c r="P186" s="428" t="str">
        <f ca="1">IFERROR(VLOOKUP($A186,tb_ConsensusEstimate,MATCH(P$5,OFFSET(tb_ConsensusEstimate,0,0,1,COLUMNS(tb_ConsensusEstimate)),0),FALSE),"-")</f>
        <v>N/A</v>
      </c>
      <c r="Q186" s="428" t="str">
        <f ca="1">IFERROR(VLOOKUP($A186,tb_ConsensusEstimate,MATCH(Q$5,OFFSET(tb_ConsensusEstimate,0,0,1,COLUMNS(tb_ConsensusEstimate)),0),FALSE),"-")</f>
        <v>N/A</v>
      </c>
      <c r="R186" s="428" t="str">
        <f ca="1">IFERROR(VLOOKUP($A186,tb_ConsensusEstimate,MATCH(R$5,OFFSET(tb_ConsensusEstimate,0,0,1,COLUMNS(tb_ConsensusEstimate)),0),FALSE),"-")</f>
        <v>N/A</v>
      </c>
      <c r="S186" s="428"/>
      <c r="T186" s="428"/>
      <c r="U186" s="428"/>
      <c r="V186" s="428"/>
      <c r="W186" s="428"/>
      <c r="X186" s="428"/>
      <c r="Y186" s="428"/>
      <c r="Z186" s="429"/>
      <c r="AA186" s="429"/>
      <c r="AB186" s="429"/>
      <c r="AC186" s="429"/>
      <c r="AD186" s="429"/>
      <c r="AE186" s="429"/>
      <c r="AF186" s="429"/>
      <c r="AG186" s="429"/>
      <c r="AH186" s="429"/>
      <c r="AI186" s="429"/>
      <c r="AJ186" s="429"/>
      <c r="AK186" s="429"/>
      <c r="AL186" s="429"/>
      <c r="AM186" s="430"/>
      <c r="AN186" s="431" t="str">
        <f ca="1">IFERROR(VLOOKUP($A186,tb_ConsensusEstimate,MATCH(AN$5,OFFSET(tb_ConsensusEstimate,0,0,1,COLUMNS(tb_ConsensusEstimate)),0),FALSE),"-")</f>
        <v>N/A</v>
      </c>
      <c r="AO186" s="431" t="str">
        <f ca="1">IFERROR(VLOOKUP($A186,tb_ConsensusEstimate,MATCH(AO$5,OFFSET(tb_ConsensusEstimate,0,0,1,COLUMNS(tb_ConsensusEstimate)),0),FALSE),"-")</f>
        <v>N/A</v>
      </c>
      <c r="AP186" s="431" t="str">
        <f ca="1">IFERROR(VLOOKUP($A186,tb_ConsensusEstimate,MATCH(AP$5,OFFSET(tb_ConsensusEstimate,0,0,1,COLUMNS(tb_ConsensusEstimate)),0),FALSE),"-")</f>
        <v>N/A</v>
      </c>
      <c r="AQ186" s="431" t="str">
        <f ca="1">IFERROR(VLOOKUP($A186,tb_ConsensusEstimate,MATCH(AQ$5,OFFSET(tb_ConsensusEstimate,0,0,1,COLUMNS(tb_ConsensusEstimate)),0),FALSE),"-")</f>
        <v>N/A</v>
      </c>
      <c r="AR186" s="431" t="str">
        <f ca="1">IFERROR(VLOOKUP($A186,tb_ConsensusEstimate,MATCH(AR$5,OFFSET(tb_ConsensusEstimate,0,0,1,COLUMNS(tb_ConsensusEstimate)),0),FALSE),"-")</f>
        <v>N/A</v>
      </c>
      <c r="AS186" s="425"/>
    </row>
    <row r="187" spans="1:45" s="167" customFormat="1" x14ac:dyDescent="0.35">
      <c r="A187" s="436"/>
      <c r="B187" s="315"/>
      <c r="C187" s="164"/>
      <c r="D187" s="164"/>
      <c r="E187" s="164"/>
      <c r="F187" s="164"/>
      <c r="G187" s="164"/>
      <c r="H187" s="164"/>
      <c r="I187" s="164"/>
      <c r="J187" s="164"/>
      <c r="K187" s="426"/>
      <c r="L187" s="164"/>
      <c r="M187" s="426"/>
      <c r="N187" s="164"/>
      <c r="O187" s="427"/>
      <c r="P187" s="425"/>
      <c r="Q187" s="425"/>
      <c r="R187" s="425"/>
      <c r="S187" s="425"/>
      <c r="T187" s="425"/>
      <c r="U187" s="425"/>
      <c r="V187" s="425"/>
      <c r="W187" s="425"/>
      <c r="X187" s="425"/>
      <c r="Y187" s="425"/>
      <c r="Z187" s="250"/>
      <c r="AA187" s="250"/>
      <c r="AB187" s="250"/>
      <c r="AC187" s="250"/>
      <c r="AD187" s="250"/>
      <c r="AE187" s="250"/>
      <c r="AF187" s="250"/>
      <c r="AG187" s="250"/>
      <c r="AH187" s="250"/>
      <c r="AI187" s="250"/>
      <c r="AJ187" s="250"/>
      <c r="AK187" s="250"/>
      <c r="AL187" s="250"/>
      <c r="AM187" s="264"/>
      <c r="AN187" s="429"/>
      <c r="AO187" s="437"/>
      <c r="AP187" s="437"/>
      <c r="AQ187" s="437"/>
      <c r="AR187" s="437"/>
      <c r="AS187" s="166"/>
    </row>
    <row r="188" spans="1:45" s="167" customFormat="1" x14ac:dyDescent="0.35">
      <c r="A188" s="246" t="s">
        <v>763</v>
      </c>
      <c r="B188" s="315"/>
      <c r="C188" s="164">
        <f t="shared" ref="C188:R188" si="120">C287</f>
        <v>-8.7999999999999995E-2</v>
      </c>
      <c r="D188" s="164">
        <f t="shared" si="120"/>
        <v>-5.3999999999999992E-2</v>
      </c>
      <c r="E188" s="164">
        <f t="shared" si="120"/>
        <v>-3.7999999999999999E-2</v>
      </c>
      <c r="F188" s="164">
        <f t="shared" si="120"/>
        <v>-7.9000000000000015E-2</v>
      </c>
      <c r="G188" s="164">
        <f t="shared" si="120"/>
        <v>-0.11</v>
      </c>
      <c r="H188" s="164">
        <f t="shared" si="120"/>
        <v>-0.22300000000000003</v>
      </c>
      <c r="I188" s="164">
        <f t="shared" si="120"/>
        <v>-4.4999999999999998E-2</v>
      </c>
      <c r="J188" s="164">
        <f t="shared" si="120"/>
        <v>0.161</v>
      </c>
      <c r="K188" s="164">
        <f t="shared" si="120"/>
        <v>0.11400000000000002</v>
      </c>
      <c r="L188" s="164">
        <f t="shared" si="120"/>
        <v>0.33499999999999996</v>
      </c>
      <c r="M188" s="164">
        <f t="shared" si="120"/>
        <v>-7.2000000000000008E-2</v>
      </c>
      <c r="N188" s="164">
        <f t="shared" si="120"/>
        <v>7.3000000000000009E-2</v>
      </c>
      <c r="O188" s="165">
        <f t="shared" si="120"/>
        <v>-5.1999999999999991E-2</v>
      </c>
      <c r="P188" s="164">
        <f t="shared" si="120"/>
        <v>-5.6111983561643833E-2</v>
      </c>
      <c r="Q188" s="164">
        <f t="shared" si="120"/>
        <v>0</v>
      </c>
      <c r="R188" s="164">
        <f t="shared" si="120"/>
        <v>0</v>
      </c>
      <c r="S188" s="164"/>
      <c r="T188" s="164"/>
      <c r="U188" s="164"/>
      <c r="V188" s="164"/>
      <c r="W188" s="164"/>
      <c r="X188" s="164"/>
      <c r="Y188" s="164"/>
      <c r="Z188" s="250"/>
      <c r="AA188" s="250"/>
      <c r="AB188" s="250"/>
      <c r="AC188" s="250"/>
      <c r="AD188" s="250">
        <f t="shared" ref="AD188:AM188" si="121">AD287</f>
        <v>-8.1000000000000003E-2</v>
      </c>
      <c r="AE188" s="250">
        <f t="shared" si="121"/>
        <v>-0.10199999999999999</v>
      </c>
      <c r="AF188" s="250">
        <f t="shared" si="121"/>
        <v>-0.19500000000000001</v>
      </c>
      <c r="AG188" s="250">
        <f t="shared" si="121"/>
        <v>-0.21299999999999999</v>
      </c>
      <c r="AH188" s="250">
        <f t="shared" si="121"/>
        <v>-0.14199999999999999</v>
      </c>
      <c r="AI188" s="250">
        <f t="shared" si="121"/>
        <v>-0.11700000000000001</v>
      </c>
      <c r="AJ188" s="250">
        <f t="shared" si="121"/>
        <v>-0.33300000000000002</v>
      </c>
      <c r="AK188" s="250">
        <f t="shared" si="121"/>
        <v>0.11599999999999999</v>
      </c>
      <c r="AL188" s="250">
        <f t="shared" si="121"/>
        <v>0.44899999999999995</v>
      </c>
      <c r="AM188" s="264">
        <f t="shared" si="121"/>
        <v>1.0000000000000009E-3</v>
      </c>
      <c r="AN188" s="250">
        <f>SUM(O188,P188)</f>
        <v>-0.10811198356164382</v>
      </c>
      <c r="AO188" s="250">
        <f>SUM(Q188,R188)</f>
        <v>0</v>
      </c>
      <c r="AP188" s="250">
        <f>AP287</f>
        <v>0</v>
      </c>
      <c r="AQ188" s="250">
        <f>AQ287</f>
        <v>0</v>
      </c>
      <c r="AR188" s="250">
        <f>AR287</f>
        <v>0</v>
      </c>
      <c r="AS188" s="166"/>
    </row>
    <row r="189" spans="1:45" s="262" customFormat="1" x14ac:dyDescent="0.35">
      <c r="A189" s="253" t="s">
        <v>764</v>
      </c>
      <c r="B189" s="355"/>
      <c r="C189" s="256">
        <f t="shared" ref="C189:R189" si="122">C178-SUM(C188)</f>
        <v>20.980000000000004</v>
      </c>
      <c r="D189" s="256">
        <f t="shared" si="122"/>
        <v>29.323999999999987</v>
      </c>
      <c r="E189" s="256">
        <f t="shared" si="122"/>
        <v>24.147999999999978</v>
      </c>
      <c r="F189" s="256">
        <f t="shared" si="122"/>
        <v>43.991000000000028</v>
      </c>
      <c r="G189" s="256">
        <f t="shared" si="122"/>
        <v>33.964000000000027</v>
      </c>
      <c r="H189" s="256">
        <f t="shared" si="122"/>
        <v>50.855000000000004</v>
      </c>
      <c r="I189" s="256">
        <f t="shared" si="122"/>
        <v>40.523000000000025</v>
      </c>
      <c r="J189" s="256">
        <f t="shared" si="122"/>
        <v>53.093999999999895</v>
      </c>
      <c r="K189" s="256">
        <f t="shared" si="122"/>
        <v>56.950000000000053</v>
      </c>
      <c r="L189" s="256">
        <f t="shared" si="122"/>
        <v>62.016999999999889</v>
      </c>
      <c r="M189" s="256">
        <f t="shared" si="122"/>
        <v>64.205000000000069</v>
      </c>
      <c r="N189" s="256">
        <f t="shared" si="122"/>
        <v>71.938999999999865</v>
      </c>
      <c r="O189" s="257">
        <f t="shared" si="122"/>
        <v>63.122999999999969</v>
      </c>
      <c r="P189" s="255">
        <f t="shared" si="122"/>
        <v>42.708386933561634</v>
      </c>
      <c r="Q189" s="255">
        <f t="shared" si="122"/>
        <v>46.182432559999995</v>
      </c>
      <c r="R189" s="255">
        <f t="shared" si="122"/>
        <v>46.917502444999997</v>
      </c>
      <c r="S189" s="255"/>
      <c r="T189" s="255"/>
      <c r="U189" s="255"/>
      <c r="V189" s="255"/>
      <c r="W189" s="255"/>
      <c r="X189" s="255"/>
      <c r="Y189" s="255"/>
      <c r="Z189" s="258"/>
      <c r="AA189" s="258"/>
      <c r="AB189" s="258"/>
      <c r="AC189" s="258"/>
      <c r="AD189" s="258">
        <f t="shared" ref="AD189:AR189" si="123">AD178-SUM(AD188)</f>
        <v>27.448999999999966</v>
      </c>
      <c r="AE189" s="259">
        <f t="shared" si="123"/>
        <v>35.63000000000001</v>
      </c>
      <c r="AF189" s="259">
        <f t="shared" si="123"/>
        <v>39.776999999999923</v>
      </c>
      <c r="AG189" s="259">
        <f t="shared" si="123"/>
        <v>42.402999999999984</v>
      </c>
      <c r="AH189" s="259">
        <f t="shared" si="123"/>
        <v>50.303999999999995</v>
      </c>
      <c r="AI189" s="259">
        <f t="shared" si="123"/>
        <v>68.13900000000001</v>
      </c>
      <c r="AJ189" s="259">
        <f t="shared" si="123"/>
        <v>84.819000000000031</v>
      </c>
      <c r="AK189" s="259">
        <f t="shared" si="123"/>
        <v>93.616999999999919</v>
      </c>
      <c r="AL189" s="259">
        <f t="shared" si="123"/>
        <v>118.96699999999994</v>
      </c>
      <c r="AM189" s="260">
        <f t="shared" si="123"/>
        <v>136.14399999999992</v>
      </c>
      <c r="AN189" s="259">
        <f t="shared" si="123"/>
        <v>105.83138693356157</v>
      </c>
      <c r="AO189" s="258">
        <f t="shared" si="123"/>
        <v>93.099935004999935</v>
      </c>
      <c r="AP189" s="258">
        <f t="shared" si="123"/>
        <v>100.76698847599994</v>
      </c>
      <c r="AQ189" s="258">
        <f t="shared" si="123"/>
        <v>110.84368732359994</v>
      </c>
      <c r="AR189" s="258">
        <f t="shared" si="123"/>
        <v>121.92805605595998</v>
      </c>
      <c r="AS189" s="261"/>
    </row>
    <row r="190" spans="1:45" s="262" customFormat="1" x14ac:dyDescent="0.35">
      <c r="A190" s="423"/>
      <c r="B190" s="368"/>
      <c r="C190" s="307"/>
      <c r="D190" s="307"/>
      <c r="E190" s="307"/>
      <c r="F190" s="307"/>
      <c r="G190" s="307"/>
      <c r="H190" s="307"/>
      <c r="I190" s="307"/>
      <c r="J190" s="307"/>
      <c r="K190" s="307"/>
      <c r="L190" s="307"/>
      <c r="M190" s="307"/>
      <c r="N190" s="307"/>
      <c r="O190" s="308"/>
      <c r="P190" s="307"/>
      <c r="Q190" s="307"/>
      <c r="R190" s="307"/>
      <c r="S190" s="307"/>
      <c r="T190" s="307"/>
      <c r="U190" s="307"/>
      <c r="V190" s="307"/>
      <c r="W190" s="307"/>
      <c r="X190" s="307"/>
      <c r="Y190" s="307"/>
      <c r="Z190" s="309"/>
      <c r="AA190" s="309"/>
      <c r="AB190" s="309"/>
      <c r="AC190" s="309"/>
      <c r="AD190" s="309"/>
      <c r="AE190" s="309"/>
      <c r="AF190" s="309"/>
      <c r="AG190" s="309"/>
      <c r="AH190" s="309"/>
      <c r="AI190" s="309"/>
      <c r="AJ190" s="309"/>
      <c r="AK190" s="309"/>
      <c r="AL190" s="309"/>
      <c r="AM190" s="310"/>
      <c r="AN190" s="309"/>
      <c r="AO190" s="309"/>
      <c r="AP190" s="309"/>
      <c r="AQ190" s="309"/>
      <c r="AR190" s="309"/>
      <c r="AS190" s="261"/>
    </row>
    <row r="191" spans="1:45" s="167" customFormat="1" x14ac:dyDescent="0.35">
      <c r="A191" s="303" t="s">
        <v>765</v>
      </c>
      <c r="B191" s="315"/>
      <c r="C191" s="166">
        <f t="shared" ref="C191:O191" si="124">-C148</f>
        <v>4.2430000000000003</v>
      </c>
      <c r="D191" s="166">
        <f t="shared" si="124"/>
        <v>6.2380000000000004</v>
      </c>
      <c r="E191" s="166">
        <f t="shared" si="124"/>
        <v>4.7220000000000004</v>
      </c>
      <c r="F191" s="166">
        <f t="shared" si="124"/>
        <v>8.6739999999999995</v>
      </c>
      <c r="G191" s="166">
        <f t="shared" si="124"/>
        <v>6.5140000000000002</v>
      </c>
      <c r="H191" s="166">
        <f t="shared" si="124"/>
        <v>10.296999999999999</v>
      </c>
      <c r="I191" s="166">
        <f t="shared" si="124"/>
        <v>6.7850000000000001</v>
      </c>
      <c r="J191" s="166">
        <f t="shared" si="124"/>
        <v>11.339</v>
      </c>
      <c r="K191" s="166">
        <f t="shared" si="124"/>
        <v>10.711</v>
      </c>
      <c r="L191" s="166">
        <f t="shared" si="124"/>
        <v>12.277999999999999</v>
      </c>
      <c r="M191" s="166">
        <f t="shared" si="124"/>
        <v>12.231999999999999</v>
      </c>
      <c r="N191" s="166">
        <f t="shared" si="124"/>
        <v>13.799999999999999</v>
      </c>
      <c r="O191" s="311">
        <f t="shared" si="124"/>
        <v>13.321999999999999</v>
      </c>
      <c r="P191" s="164">
        <f t="shared" ref="P191:R192" si="125">P204*P$189</f>
        <v>8.1145935173767114</v>
      </c>
      <c r="Q191" s="164">
        <f t="shared" si="125"/>
        <v>8.7746621863999987</v>
      </c>
      <c r="R191" s="164">
        <f t="shared" si="125"/>
        <v>8.9143254645500001</v>
      </c>
      <c r="S191" s="164"/>
      <c r="T191" s="164"/>
      <c r="U191" s="164"/>
      <c r="V191" s="164"/>
      <c r="W191" s="164"/>
      <c r="X191" s="164"/>
      <c r="Y191" s="164"/>
      <c r="Z191" s="250"/>
      <c r="AA191" s="250"/>
      <c r="AB191" s="250"/>
      <c r="AC191" s="250"/>
      <c r="AD191" s="250">
        <f t="shared" ref="AD191:AM191" si="126">-AD148</f>
        <v>6.4420000000000002</v>
      </c>
      <c r="AE191" s="304">
        <f t="shared" si="126"/>
        <v>8.1300000000000008</v>
      </c>
      <c r="AF191" s="304">
        <f t="shared" si="126"/>
        <v>8.9640000000000004</v>
      </c>
      <c r="AG191" s="304">
        <f t="shared" si="126"/>
        <v>9.1720000000000006</v>
      </c>
      <c r="AH191" s="304">
        <f t="shared" si="126"/>
        <v>10.481</v>
      </c>
      <c r="AI191" s="304">
        <f t="shared" si="126"/>
        <v>13.396000000000001</v>
      </c>
      <c r="AJ191" s="304">
        <f t="shared" si="126"/>
        <v>16.811</v>
      </c>
      <c r="AK191" s="304">
        <f t="shared" si="126"/>
        <v>18.123999999999999</v>
      </c>
      <c r="AL191" s="304">
        <f t="shared" si="126"/>
        <v>22.988999999999997</v>
      </c>
      <c r="AM191" s="312">
        <f t="shared" si="126"/>
        <v>26.032</v>
      </c>
      <c r="AN191" s="304">
        <f>SUM(O191,P191)</f>
        <v>21.436593517376711</v>
      </c>
      <c r="AO191" s="250">
        <f>SUM(Q191,R191)</f>
        <v>17.688987650949997</v>
      </c>
      <c r="AP191" s="250">
        <f t="shared" ref="AP191:AR192" si="127">AP204*AP$189</f>
        <v>19.14572781044</v>
      </c>
      <c r="AQ191" s="250">
        <f t="shared" si="127"/>
        <v>21.060300591484001</v>
      </c>
      <c r="AR191" s="250">
        <f t="shared" si="127"/>
        <v>23.16633065063241</v>
      </c>
      <c r="AS191" s="166"/>
    </row>
    <row r="192" spans="1:45" s="167" customFormat="1" x14ac:dyDescent="0.35">
      <c r="A192" s="303" t="s">
        <v>766</v>
      </c>
      <c r="B192" s="315"/>
      <c r="C192" s="166">
        <f t="shared" ref="C192:O192" si="128">-C152</f>
        <v>-8.0000000000000002E-3</v>
      </c>
      <c r="D192" s="166">
        <f t="shared" si="128"/>
        <v>-0.27700000000000002</v>
      </c>
      <c r="E192" s="166">
        <f t="shared" si="128"/>
        <v>-6.0000000000000001E-3</v>
      </c>
      <c r="F192" s="166">
        <f t="shared" si="128"/>
        <v>-0.25700000000000001</v>
      </c>
      <c r="G192" s="166">
        <f t="shared" si="128"/>
        <v>0</v>
      </c>
      <c r="H192" s="166">
        <f t="shared" si="128"/>
        <v>-0.45300000000000001</v>
      </c>
      <c r="I192" s="166">
        <f t="shared" si="128"/>
        <v>0.70199999999999996</v>
      </c>
      <c r="J192" s="166">
        <f t="shared" si="128"/>
        <v>-0.873</v>
      </c>
      <c r="K192" s="166">
        <f t="shared" si="128"/>
        <v>5.0000000000000001E-3</v>
      </c>
      <c r="L192" s="166">
        <f t="shared" si="128"/>
        <v>-0.21199999999999997</v>
      </c>
      <c r="M192" s="166">
        <f t="shared" si="128"/>
        <v>-5.0999999999999997E-2</v>
      </c>
      <c r="N192" s="166">
        <f t="shared" si="128"/>
        <v>-0.24199999999999999</v>
      </c>
      <c r="O192" s="311">
        <f t="shared" si="128"/>
        <v>-4.2000000000000003E-2</v>
      </c>
      <c r="P192" s="164">
        <f t="shared" si="125"/>
        <v>-8.5416773867123263E-2</v>
      </c>
      <c r="Q192" s="164">
        <f t="shared" si="125"/>
        <v>-9.2364865119999986E-2</v>
      </c>
      <c r="R192" s="164">
        <f t="shared" si="125"/>
        <v>-9.383500488999999E-2</v>
      </c>
      <c r="S192" s="164"/>
      <c r="T192" s="164"/>
      <c r="U192" s="164"/>
      <c r="V192" s="164"/>
      <c r="W192" s="164"/>
      <c r="X192" s="164"/>
      <c r="Y192" s="164"/>
      <c r="Z192" s="250"/>
      <c r="AA192" s="250"/>
      <c r="AB192" s="250"/>
      <c r="AC192" s="250"/>
      <c r="AD192" s="250">
        <f t="shared" ref="AD192:AM192" si="129">-AD152</f>
        <v>0.42199999999999999</v>
      </c>
      <c r="AE192" s="304">
        <f t="shared" si="129"/>
        <v>0.14799999999999999</v>
      </c>
      <c r="AF192" s="304">
        <f t="shared" si="129"/>
        <v>-0.30400000000000005</v>
      </c>
      <c r="AG192" s="304">
        <f t="shared" si="129"/>
        <v>7.2999999999999995E-2</v>
      </c>
      <c r="AH192" s="304">
        <f t="shared" si="129"/>
        <v>-0.28500000000000003</v>
      </c>
      <c r="AI192" s="304">
        <f t="shared" si="129"/>
        <v>-0.26300000000000001</v>
      </c>
      <c r="AJ192" s="304">
        <f t="shared" si="129"/>
        <v>-0.45300000000000001</v>
      </c>
      <c r="AK192" s="304">
        <f t="shared" si="129"/>
        <v>-0.17100000000000001</v>
      </c>
      <c r="AL192" s="304">
        <f t="shared" si="129"/>
        <v>-0.20699999999999996</v>
      </c>
      <c r="AM192" s="312">
        <f t="shared" si="129"/>
        <v>-0.29299999999999998</v>
      </c>
      <c r="AN192" s="304">
        <f>SUM(O192,P192)</f>
        <v>-0.12741677386712327</v>
      </c>
      <c r="AO192" s="250">
        <f>SUM(Q192,R192)</f>
        <v>-0.18619987000999999</v>
      </c>
      <c r="AP192" s="250">
        <f t="shared" si="127"/>
        <v>-0.20153397695199957</v>
      </c>
      <c r="AQ192" s="250">
        <f t="shared" si="127"/>
        <v>-0.22168737464719954</v>
      </c>
      <c r="AR192" s="250">
        <f t="shared" si="127"/>
        <v>-0.2438561121119196</v>
      </c>
      <c r="AS192" s="166"/>
    </row>
    <row r="193" spans="1:45" s="262" customFormat="1" x14ac:dyDescent="0.35">
      <c r="A193" s="253" t="s">
        <v>767</v>
      </c>
      <c r="B193" s="355"/>
      <c r="C193" s="256">
        <f t="shared" ref="C193:R193" si="130">C189-SUM(C191:C192)</f>
        <v>16.745000000000005</v>
      </c>
      <c r="D193" s="256">
        <f t="shared" si="130"/>
        <v>23.362999999999985</v>
      </c>
      <c r="E193" s="256">
        <f t="shared" si="130"/>
        <v>19.431999999999977</v>
      </c>
      <c r="F193" s="256">
        <f t="shared" si="130"/>
        <v>35.574000000000026</v>
      </c>
      <c r="G193" s="256">
        <f t="shared" si="130"/>
        <v>27.450000000000028</v>
      </c>
      <c r="H193" s="256">
        <f t="shared" si="130"/>
        <v>41.011000000000003</v>
      </c>
      <c r="I193" s="256">
        <f t="shared" si="130"/>
        <v>33.036000000000023</v>
      </c>
      <c r="J193" s="256">
        <f t="shared" si="130"/>
        <v>42.627999999999894</v>
      </c>
      <c r="K193" s="256">
        <f t="shared" si="130"/>
        <v>46.234000000000052</v>
      </c>
      <c r="L193" s="256">
        <f t="shared" si="130"/>
        <v>49.950999999999894</v>
      </c>
      <c r="M193" s="256">
        <f t="shared" si="130"/>
        <v>52.024000000000072</v>
      </c>
      <c r="N193" s="256">
        <f t="shared" si="130"/>
        <v>58.380999999999865</v>
      </c>
      <c r="O193" s="257">
        <f t="shared" si="130"/>
        <v>49.842999999999968</v>
      </c>
      <c r="P193" s="255">
        <f t="shared" si="130"/>
        <v>34.679210190052046</v>
      </c>
      <c r="Q193" s="255">
        <f t="shared" si="130"/>
        <v>37.500135238719999</v>
      </c>
      <c r="R193" s="255">
        <f t="shared" si="130"/>
        <v>38.097011985339996</v>
      </c>
      <c r="S193" s="255"/>
      <c r="T193" s="255"/>
      <c r="U193" s="255"/>
      <c r="V193" s="255"/>
      <c r="W193" s="255"/>
      <c r="X193" s="255"/>
      <c r="Y193" s="255"/>
      <c r="Z193" s="258"/>
      <c r="AA193" s="258"/>
      <c r="AB193" s="258"/>
      <c r="AC193" s="258"/>
      <c r="AD193" s="258">
        <f t="shared" ref="AD193:AR193" si="131">AD189-SUM(AD191:AD192)</f>
        <v>20.584999999999965</v>
      </c>
      <c r="AE193" s="259">
        <f t="shared" si="131"/>
        <v>27.352000000000011</v>
      </c>
      <c r="AF193" s="259">
        <f t="shared" si="131"/>
        <v>31.116999999999923</v>
      </c>
      <c r="AG193" s="259">
        <f t="shared" si="131"/>
        <v>33.157999999999987</v>
      </c>
      <c r="AH193" s="259">
        <f t="shared" si="131"/>
        <v>40.107999999999997</v>
      </c>
      <c r="AI193" s="259">
        <f t="shared" si="131"/>
        <v>55.006000000000007</v>
      </c>
      <c r="AJ193" s="259">
        <f t="shared" si="131"/>
        <v>68.461000000000027</v>
      </c>
      <c r="AK193" s="259">
        <f t="shared" si="131"/>
        <v>75.663999999999916</v>
      </c>
      <c r="AL193" s="259">
        <f t="shared" si="131"/>
        <v>96.184999999999945</v>
      </c>
      <c r="AM193" s="260">
        <f t="shared" si="131"/>
        <v>110.40499999999992</v>
      </c>
      <c r="AN193" s="259">
        <f t="shared" si="131"/>
        <v>84.522210190051993</v>
      </c>
      <c r="AO193" s="258">
        <f t="shared" si="131"/>
        <v>75.597147224059938</v>
      </c>
      <c r="AP193" s="258">
        <f t="shared" si="131"/>
        <v>81.822794642511937</v>
      </c>
      <c r="AQ193" s="258">
        <f t="shared" si="131"/>
        <v>90.005074106763132</v>
      </c>
      <c r="AR193" s="258">
        <f t="shared" si="131"/>
        <v>99.005581517439495</v>
      </c>
      <c r="AS193" s="261"/>
    </row>
    <row r="194" spans="1:45" s="167" customFormat="1" x14ac:dyDescent="0.35">
      <c r="A194" s="303" t="s">
        <v>768</v>
      </c>
      <c r="B194" s="315"/>
      <c r="C194" s="164"/>
      <c r="D194" s="164"/>
      <c r="E194" s="164"/>
      <c r="F194" s="164"/>
      <c r="G194" s="164"/>
      <c r="H194" s="164"/>
      <c r="I194" s="164"/>
      <c r="J194" s="164"/>
      <c r="K194" s="164"/>
      <c r="L194" s="164"/>
      <c r="M194" s="164"/>
      <c r="N194" s="164"/>
      <c r="O194" s="165"/>
      <c r="P194" s="164"/>
      <c r="Q194" s="164"/>
      <c r="R194" s="164"/>
      <c r="S194" s="164"/>
      <c r="T194" s="164"/>
      <c r="U194" s="164"/>
      <c r="V194" s="164"/>
      <c r="W194" s="164"/>
      <c r="X194" s="164"/>
      <c r="Y194" s="164"/>
      <c r="Z194" s="250"/>
      <c r="AA194" s="250"/>
      <c r="AB194" s="250"/>
      <c r="AC194" s="250"/>
      <c r="AD194" s="250"/>
      <c r="AE194" s="250"/>
      <c r="AF194" s="250"/>
      <c r="AG194" s="250"/>
      <c r="AH194" s="250"/>
      <c r="AI194" s="250"/>
      <c r="AJ194" s="250"/>
      <c r="AK194" s="250"/>
      <c r="AL194" s="250"/>
      <c r="AM194" s="264"/>
      <c r="AN194" s="304">
        <f>SUM(O194,P194)</f>
        <v>0</v>
      </c>
      <c r="AO194" s="250">
        <f>SUM(Q194,R194)</f>
        <v>0</v>
      </c>
      <c r="AP194" s="250"/>
      <c r="AQ194" s="250"/>
      <c r="AR194" s="250"/>
      <c r="AS194" s="166"/>
    </row>
    <row r="195" spans="1:45" s="167" customFormat="1" x14ac:dyDescent="0.35">
      <c r="A195" s="303" t="s">
        <v>769</v>
      </c>
      <c r="B195" s="315"/>
      <c r="C195" s="164"/>
      <c r="D195" s="164"/>
      <c r="E195" s="164"/>
      <c r="F195" s="164"/>
      <c r="G195" s="164"/>
      <c r="H195" s="164"/>
      <c r="I195" s="164"/>
      <c r="J195" s="164"/>
      <c r="K195" s="164"/>
      <c r="L195" s="164"/>
      <c r="M195" s="164"/>
      <c r="N195" s="164"/>
      <c r="O195" s="165"/>
      <c r="P195" s="164"/>
      <c r="Q195" s="164"/>
      <c r="R195" s="164"/>
      <c r="S195" s="164"/>
      <c r="T195" s="164"/>
      <c r="U195" s="164"/>
      <c r="V195" s="164"/>
      <c r="W195" s="164"/>
      <c r="X195" s="164"/>
      <c r="Y195" s="164"/>
      <c r="Z195" s="250"/>
      <c r="AA195" s="250"/>
      <c r="AB195" s="250"/>
      <c r="AC195" s="250"/>
      <c r="AD195" s="250"/>
      <c r="AE195" s="250"/>
      <c r="AF195" s="250"/>
      <c r="AG195" s="250"/>
      <c r="AH195" s="250"/>
      <c r="AI195" s="250"/>
      <c r="AJ195" s="250"/>
      <c r="AK195" s="250"/>
      <c r="AL195" s="250"/>
      <c r="AM195" s="264"/>
      <c r="AN195" s="304">
        <f>SUM(O195,P195)</f>
        <v>0</v>
      </c>
      <c r="AO195" s="250">
        <f>SUM(Q195,R195)</f>
        <v>0</v>
      </c>
      <c r="AP195" s="250"/>
      <c r="AQ195" s="250"/>
      <c r="AR195" s="250"/>
      <c r="AS195" s="166"/>
    </row>
    <row r="196" spans="1:45" s="167" customFormat="1" x14ac:dyDescent="0.35">
      <c r="A196" s="303" t="s">
        <v>770</v>
      </c>
      <c r="B196" s="315"/>
      <c r="C196" s="164"/>
      <c r="D196" s="164"/>
      <c r="E196" s="164"/>
      <c r="F196" s="164"/>
      <c r="G196" s="164"/>
      <c r="H196" s="164"/>
      <c r="I196" s="164"/>
      <c r="J196" s="164"/>
      <c r="K196" s="164"/>
      <c r="L196" s="164"/>
      <c r="M196" s="164"/>
      <c r="N196" s="164"/>
      <c r="O196" s="165"/>
      <c r="P196" s="164"/>
      <c r="Q196" s="164"/>
      <c r="R196" s="164"/>
      <c r="S196" s="164"/>
      <c r="T196" s="164"/>
      <c r="U196" s="164"/>
      <c r="V196" s="164"/>
      <c r="W196" s="164"/>
      <c r="X196" s="164"/>
      <c r="Y196" s="164"/>
      <c r="Z196" s="250"/>
      <c r="AA196" s="250"/>
      <c r="AB196" s="250"/>
      <c r="AC196" s="250"/>
      <c r="AD196" s="250"/>
      <c r="AE196" s="250"/>
      <c r="AF196" s="250"/>
      <c r="AG196" s="250"/>
      <c r="AH196" s="250"/>
      <c r="AI196" s="250"/>
      <c r="AJ196" s="250"/>
      <c r="AK196" s="250"/>
      <c r="AL196" s="250"/>
      <c r="AM196" s="264"/>
      <c r="AN196" s="304">
        <f>SUM(O196,P196)</f>
        <v>0</v>
      </c>
      <c r="AO196" s="250">
        <f>SUM(Q196,R196)</f>
        <v>0</v>
      </c>
      <c r="AP196" s="250"/>
      <c r="AQ196" s="250"/>
      <c r="AR196" s="250"/>
      <c r="AS196" s="166"/>
    </row>
    <row r="197" spans="1:45" s="262" customFormat="1" x14ac:dyDescent="0.35">
      <c r="A197" s="253" t="s">
        <v>771</v>
      </c>
      <c r="B197" s="355"/>
      <c r="C197" s="256">
        <f t="shared" ref="C197:R197" si="132">C193-SUM(C194:C196)</f>
        <v>16.745000000000005</v>
      </c>
      <c r="D197" s="256">
        <f t="shared" si="132"/>
        <v>23.362999999999985</v>
      </c>
      <c r="E197" s="256">
        <f t="shared" si="132"/>
        <v>19.431999999999977</v>
      </c>
      <c r="F197" s="256">
        <f t="shared" si="132"/>
        <v>35.574000000000026</v>
      </c>
      <c r="G197" s="256">
        <f t="shared" si="132"/>
        <v>27.450000000000028</v>
      </c>
      <c r="H197" s="256">
        <f t="shared" si="132"/>
        <v>41.011000000000003</v>
      </c>
      <c r="I197" s="256">
        <f t="shared" si="132"/>
        <v>33.036000000000023</v>
      </c>
      <c r="J197" s="256">
        <f t="shared" si="132"/>
        <v>42.627999999999894</v>
      </c>
      <c r="K197" s="256">
        <f t="shared" si="132"/>
        <v>46.234000000000052</v>
      </c>
      <c r="L197" s="256">
        <f t="shared" si="132"/>
        <v>49.950999999999894</v>
      </c>
      <c r="M197" s="256">
        <f t="shared" si="132"/>
        <v>52.024000000000072</v>
      </c>
      <c r="N197" s="256">
        <f t="shared" si="132"/>
        <v>58.380999999999865</v>
      </c>
      <c r="O197" s="257">
        <f t="shared" si="132"/>
        <v>49.842999999999968</v>
      </c>
      <c r="P197" s="255">
        <f t="shared" si="132"/>
        <v>34.679210190052046</v>
      </c>
      <c r="Q197" s="255">
        <f t="shared" si="132"/>
        <v>37.500135238719999</v>
      </c>
      <c r="R197" s="255">
        <f t="shared" si="132"/>
        <v>38.097011985339996</v>
      </c>
      <c r="S197" s="255"/>
      <c r="T197" s="255"/>
      <c r="U197" s="255"/>
      <c r="V197" s="255"/>
      <c r="W197" s="255"/>
      <c r="X197" s="255"/>
      <c r="Y197" s="255"/>
      <c r="Z197" s="258"/>
      <c r="AA197" s="258"/>
      <c r="AB197" s="258"/>
      <c r="AC197" s="258"/>
      <c r="AD197" s="258">
        <f t="shared" ref="AD197:AR197" si="133">AD193-SUM(AD194:AD196)</f>
        <v>20.584999999999965</v>
      </c>
      <c r="AE197" s="259">
        <f t="shared" si="133"/>
        <v>27.352000000000011</v>
      </c>
      <c r="AF197" s="259">
        <f t="shared" si="133"/>
        <v>31.116999999999923</v>
      </c>
      <c r="AG197" s="259">
        <f t="shared" si="133"/>
        <v>33.157999999999987</v>
      </c>
      <c r="AH197" s="259">
        <f t="shared" si="133"/>
        <v>40.107999999999997</v>
      </c>
      <c r="AI197" s="259">
        <f t="shared" si="133"/>
        <v>55.006000000000007</v>
      </c>
      <c r="AJ197" s="259">
        <f t="shared" si="133"/>
        <v>68.461000000000027</v>
      </c>
      <c r="AK197" s="259">
        <f t="shared" si="133"/>
        <v>75.663999999999916</v>
      </c>
      <c r="AL197" s="259">
        <f t="shared" si="133"/>
        <v>96.184999999999945</v>
      </c>
      <c r="AM197" s="260">
        <f t="shared" si="133"/>
        <v>110.40499999999992</v>
      </c>
      <c r="AN197" s="259">
        <f t="shared" si="133"/>
        <v>84.522210190051993</v>
      </c>
      <c r="AO197" s="258">
        <f t="shared" si="133"/>
        <v>75.597147224059938</v>
      </c>
      <c r="AP197" s="258">
        <f t="shared" si="133"/>
        <v>81.822794642511937</v>
      </c>
      <c r="AQ197" s="258">
        <f t="shared" si="133"/>
        <v>90.005074106763132</v>
      </c>
      <c r="AR197" s="258">
        <f t="shared" si="133"/>
        <v>99.005581517439495</v>
      </c>
      <c r="AS197" s="261"/>
    </row>
    <row r="198" spans="1:45" s="167" customFormat="1" x14ac:dyDescent="0.35">
      <c r="A198" s="303" t="s">
        <v>772</v>
      </c>
      <c r="B198" s="315"/>
      <c r="C198" s="164"/>
      <c r="D198" s="164"/>
      <c r="E198" s="164"/>
      <c r="F198" s="164"/>
      <c r="G198" s="164"/>
      <c r="H198" s="164"/>
      <c r="I198" s="164"/>
      <c r="J198" s="164"/>
      <c r="K198" s="164"/>
      <c r="L198" s="164"/>
      <c r="M198" s="164"/>
      <c r="N198" s="164"/>
      <c r="O198" s="165"/>
      <c r="P198" s="164"/>
      <c r="Q198" s="164"/>
      <c r="R198" s="164"/>
      <c r="S198" s="164"/>
      <c r="T198" s="164"/>
      <c r="U198" s="164"/>
      <c r="V198" s="164"/>
      <c r="W198" s="164"/>
      <c r="X198" s="164"/>
      <c r="Y198" s="164"/>
      <c r="Z198" s="250"/>
      <c r="AA198" s="250"/>
      <c r="AB198" s="250"/>
      <c r="AC198" s="250"/>
      <c r="AD198" s="250"/>
      <c r="AE198" s="250"/>
      <c r="AF198" s="250"/>
      <c r="AG198" s="250"/>
      <c r="AH198" s="250"/>
      <c r="AI198" s="250"/>
      <c r="AJ198" s="250"/>
      <c r="AK198" s="250"/>
      <c r="AL198" s="250"/>
      <c r="AM198" s="264"/>
      <c r="AN198" s="304">
        <f>SUM(O198,P198)</f>
        <v>0</v>
      </c>
      <c r="AO198" s="250">
        <f>SUM(Q198,R198)</f>
        <v>0</v>
      </c>
      <c r="AP198" s="250"/>
      <c r="AQ198" s="250"/>
      <c r="AR198" s="250"/>
      <c r="AS198" s="166"/>
    </row>
    <row r="199" spans="1:45" s="262" customFormat="1" x14ac:dyDescent="0.35">
      <c r="A199" s="253" t="s">
        <v>773</v>
      </c>
      <c r="B199" s="355"/>
      <c r="C199" s="256">
        <f t="shared" ref="C199:R199" si="134">C197-C198</f>
        <v>16.745000000000005</v>
      </c>
      <c r="D199" s="256">
        <f t="shared" si="134"/>
        <v>23.362999999999985</v>
      </c>
      <c r="E199" s="256">
        <f t="shared" si="134"/>
        <v>19.431999999999977</v>
      </c>
      <c r="F199" s="256">
        <f t="shared" si="134"/>
        <v>35.574000000000026</v>
      </c>
      <c r="G199" s="256">
        <f t="shared" si="134"/>
        <v>27.450000000000028</v>
      </c>
      <c r="H199" s="256">
        <f t="shared" si="134"/>
        <v>41.011000000000003</v>
      </c>
      <c r="I199" s="256">
        <f t="shared" si="134"/>
        <v>33.036000000000023</v>
      </c>
      <c r="J199" s="256">
        <f t="shared" si="134"/>
        <v>42.627999999999894</v>
      </c>
      <c r="K199" s="256">
        <f t="shared" si="134"/>
        <v>46.234000000000052</v>
      </c>
      <c r="L199" s="256">
        <f t="shared" si="134"/>
        <v>49.950999999999894</v>
      </c>
      <c r="M199" s="256">
        <f t="shared" si="134"/>
        <v>52.024000000000072</v>
      </c>
      <c r="N199" s="256">
        <f t="shared" si="134"/>
        <v>58.380999999999865</v>
      </c>
      <c r="O199" s="257">
        <f t="shared" si="134"/>
        <v>49.842999999999968</v>
      </c>
      <c r="P199" s="255">
        <f t="shared" si="134"/>
        <v>34.679210190052046</v>
      </c>
      <c r="Q199" s="255">
        <f t="shared" si="134"/>
        <v>37.500135238719999</v>
      </c>
      <c r="R199" s="255">
        <f t="shared" si="134"/>
        <v>38.097011985339996</v>
      </c>
      <c r="S199" s="255"/>
      <c r="T199" s="255"/>
      <c r="U199" s="255"/>
      <c r="V199" s="255"/>
      <c r="W199" s="255"/>
      <c r="X199" s="255"/>
      <c r="Y199" s="255"/>
      <c r="Z199" s="258"/>
      <c r="AA199" s="258"/>
      <c r="AB199" s="258"/>
      <c r="AC199" s="258"/>
      <c r="AD199" s="258">
        <f t="shared" ref="AD199:AR199" si="135">AD197-AD198</f>
        <v>20.584999999999965</v>
      </c>
      <c r="AE199" s="259">
        <f t="shared" si="135"/>
        <v>27.352000000000011</v>
      </c>
      <c r="AF199" s="259">
        <f t="shared" si="135"/>
        <v>31.116999999999923</v>
      </c>
      <c r="AG199" s="259">
        <f t="shared" si="135"/>
        <v>33.157999999999987</v>
      </c>
      <c r="AH199" s="259">
        <f t="shared" si="135"/>
        <v>40.107999999999997</v>
      </c>
      <c r="AI199" s="259">
        <f t="shared" si="135"/>
        <v>55.006000000000007</v>
      </c>
      <c r="AJ199" s="259">
        <f t="shared" si="135"/>
        <v>68.461000000000027</v>
      </c>
      <c r="AK199" s="259">
        <f t="shared" si="135"/>
        <v>75.663999999999916</v>
      </c>
      <c r="AL199" s="259">
        <f t="shared" si="135"/>
        <v>96.184999999999945</v>
      </c>
      <c r="AM199" s="260">
        <f t="shared" si="135"/>
        <v>110.40499999999992</v>
      </c>
      <c r="AN199" s="259">
        <f t="shared" si="135"/>
        <v>84.522210190051993</v>
      </c>
      <c r="AO199" s="258">
        <f t="shared" si="135"/>
        <v>75.597147224059938</v>
      </c>
      <c r="AP199" s="258">
        <f t="shared" si="135"/>
        <v>81.822794642511937</v>
      </c>
      <c r="AQ199" s="258">
        <f t="shared" si="135"/>
        <v>90.005074106763132</v>
      </c>
      <c r="AR199" s="258">
        <f t="shared" si="135"/>
        <v>99.005581517439495</v>
      </c>
      <c r="AS199" s="261"/>
    </row>
    <row r="200" spans="1:45" s="167" customFormat="1" x14ac:dyDescent="0.35">
      <c r="A200" s="303" t="s">
        <v>774</v>
      </c>
      <c r="B200" s="315"/>
      <c r="C200" s="166">
        <f t="shared" ref="C200:O200" si="136">-SUM(C165:C167)</f>
        <v>-0.46699999999999997</v>
      </c>
      <c r="D200" s="166">
        <f t="shared" si="136"/>
        <v>-0.78800000000000003</v>
      </c>
      <c r="E200" s="166">
        <f t="shared" si="136"/>
        <v>0</v>
      </c>
      <c r="F200" s="166">
        <f t="shared" si="136"/>
        <v>0</v>
      </c>
      <c r="G200" s="166">
        <f t="shared" si="136"/>
        <v>0</v>
      </c>
      <c r="H200" s="166">
        <f t="shared" si="136"/>
        <v>0</v>
      </c>
      <c r="I200" s="166">
        <f t="shared" si="136"/>
        <v>0</v>
      </c>
      <c r="J200" s="166">
        <f t="shared" si="136"/>
        <v>0</v>
      </c>
      <c r="K200" s="166">
        <f t="shared" si="136"/>
        <v>0</v>
      </c>
      <c r="L200" s="166">
        <f t="shared" si="136"/>
        <v>0</v>
      </c>
      <c r="M200" s="166">
        <f t="shared" si="136"/>
        <v>0</v>
      </c>
      <c r="N200" s="166">
        <f t="shared" si="136"/>
        <v>0</v>
      </c>
      <c r="O200" s="311">
        <f t="shared" si="136"/>
        <v>0</v>
      </c>
      <c r="P200" s="164"/>
      <c r="Q200" s="164"/>
      <c r="R200" s="164"/>
      <c r="S200" s="164"/>
      <c r="T200" s="164"/>
      <c r="U200" s="164"/>
      <c r="V200" s="164"/>
      <c r="W200" s="164"/>
      <c r="X200" s="164"/>
      <c r="Y200" s="164"/>
      <c r="Z200" s="250"/>
      <c r="AA200" s="250"/>
      <c r="AB200" s="250"/>
      <c r="AC200" s="250"/>
      <c r="AD200" s="250">
        <f t="shared" ref="AD200:AM200" si="137">-SUM(AD165:AD167)</f>
        <v>0</v>
      </c>
      <c r="AE200" s="304">
        <f t="shared" si="137"/>
        <v>0</v>
      </c>
      <c r="AF200" s="304">
        <f t="shared" si="137"/>
        <v>-0.94699999999999995</v>
      </c>
      <c r="AG200" s="304">
        <f t="shared" si="137"/>
        <v>-4.4639999999999995</v>
      </c>
      <c r="AH200" s="304">
        <f t="shared" si="137"/>
        <v>-1.2550000000000001</v>
      </c>
      <c r="AI200" s="304">
        <f t="shared" si="137"/>
        <v>0</v>
      </c>
      <c r="AJ200" s="304">
        <f t="shared" si="137"/>
        <v>0</v>
      </c>
      <c r="AK200" s="304">
        <f t="shared" si="137"/>
        <v>0</v>
      </c>
      <c r="AL200" s="304">
        <f t="shared" si="137"/>
        <v>0</v>
      </c>
      <c r="AM200" s="312">
        <f t="shared" si="137"/>
        <v>0</v>
      </c>
      <c r="AN200" s="304">
        <f>SUM(O200,P200)</f>
        <v>0</v>
      </c>
      <c r="AO200" s="250">
        <f>SUM(Q200,R200)</f>
        <v>0</v>
      </c>
      <c r="AP200" s="250"/>
      <c r="AQ200" s="250"/>
      <c r="AR200" s="250"/>
      <c r="AS200" s="166"/>
    </row>
    <row r="201" spans="1:45" s="167" customFormat="1" x14ac:dyDescent="0.35">
      <c r="A201" s="303" t="s">
        <v>775</v>
      </c>
      <c r="B201" s="315"/>
      <c r="C201" s="164"/>
      <c r="D201" s="164"/>
      <c r="E201" s="164"/>
      <c r="F201" s="164"/>
      <c r="G201" s="164"/>
      <c r="H201" s="164"/>
      <c r="I201" s="164"/>
      <c r="J201" s="164"/>
      <c r="K201" s="164"/>
      <c r="L201" s="164"/>
      <c r="M201" s="164"/>
      <c r="N201" s="164"/>
      <c r="O201" s="165"/>
      <c r="P201" s="164"/>
      <c r="Q201" s="164"/>
      <c r="R201" s="164"/>
      <c r="S201" s="164"/>
      <c r="T201" s="164"/>
      <c r="U201" s="164"/>
      <c r="V201" s="164"/>
      <c r="W201" s="164"/>
      <c r="X201" s="164"/>
      <c r="Y201" s="164"/>
      <c r="Z201" s="250"/>
      <c r="AA201" s="250"/>
      <c r="AB201" s="250"/>
      <c r="AC201" s="250"/>
      <c r="AD201" s="250"/>
      <c r="AE201" s="250"/>
      <c r="AF201" s="250"/>
      <c r="AG201" s="250"/>
      <c r="AH201" s="250"/>
      <c r="AI201" s="250"/>
      <c r="AJ201" s="250"/>
      <c r="AK201" s="250"/>
      <c r="AL201" s="250"/>
      <c r="AM201" s="264"/>
      <c r="AN201" s="304">
        <f>SUM(O201,P201)</f>
        <v>0</v>
      </c>
      <c r="AO201" s="250">
        <f>SUM(Q201,R201)</f>
        <v>0</v>
      </c>
      <c r="AP201" s="250"/>
      <c r="AQ201" s="250"/>
      <c r="AR201" s="250"/>
      <c r="AS201" s="166"/>
    </row>
    <row r="202" spans="1:45" s="262" customFormat="1" x14ac:dyDescent="0.35">
      <c r="A202" s="253" t="s">
        <v>776</v>
      </c>
      <c r="B202" s="355"/>
      <c r="C202" s="256">
        <f t="shared" ref="C202:R202" si="138">C199-SUM(C200:C201)</f>
        <v>17.212000000000003</v>
      </c>
      <c r="D202" s="256">
        <f t="shared" si="138"/>
        <v>24.150999999999986</v>
      </c>
      <c r="E202" s="256">
        <f t="shared" si="138"/>
        <v>19.431999999999977</v>
      </c>
      <c r="F202" s="256">
        <f t="shared" si="138"/>
        <v>35.574000000000026</v>
      </c>
      <c r="G202" s="256">
        <f t="shared" si="138"/>
        <v>27.450000000000028</v>
      </c>
      <c r="H202" s="256">
        <f t="shared" si="138"/>
        <v>41.011000000000003</v>
      </c>
      <c r="I202" s="256">
        <f t="shared" si="138"/>
        <v>33.036000000000023</v>
      </c>
      <c r="J202" s="256">
        <f t="shared" si="138"/>
        <v>42.627999999999894</v>
      </c>
      <c r="K202" s="256">
        <f t="shared" si="138"/>
        <v>46.234000000000052</v>
      </c>
      <c r="L202" s="256">
        <f t="shared" si="138"/>
        <v>49.950999999999894</v>
      </c>
      <c r="M202" s="256">
        <f t="shared" si="138"/>
        <v>52.024000000000072</v>
      </c>
      <c r="N202" s="256">
        <f t="shared" si="138"/>
        <v>58.380999999999865</v>
      </c>
      <c r="O202" s="257">
        <f t="shared" si="138"/>
        <v>49.842999999999968</v>
      </c>
      <c r="P202" s="255">
        <f t="shared" si="138"/>
        <v>34.679210190052046</v>
      </c>
      <c r="Q202" s="255">
        <f t="shared" si="138"/>
        <v>37.500135238719999</v>
      </c>
      <c r="R202" s="255">
        <f t="shared" si="138"/>
        <v>38.097011985339996</v>
      </c>
      <c r="S202" s="255"/>
      <c r="T202" s="255"/>
      <c r="U202" s="255"/>
      <c r="V202" s="255"/>
      <c r="W202" s="255"/>
      <c r="X202" s="255"/>
      <c r="Y202" s="255"/>
      <c r="Z202" s="258"/>
      <c r="AA202" s="258"/>
      <c r="AB202" s="258"/>
      <c r="AC202" s="258"/>
      <c r="AD202" s="258">
        <f t="shared" ref="AD202:AR202" si="139">AD199-SUM(AD200:AD201)</f>
        <v>20.584999999999965</v>
      </c>
      <c r="AE202" s="259">
        <f t="shared" si="139"/>
        <v>27.352000000000011</v>
      </c>
      <c r="AF202" s="259">
        <f t="shared" si="139"/>
        <v>32.063999999999922</v>
      </c>
      <c r="AG202" s="259">
        <f t="shared" si="139"/>
        <v>37.621999999999986</v>
      </c>
      <c r="AH202" s="259">
        <f t="shared" si="139"/>
        <v>41.363</v>
      </c>
      <c r="AI202" s="259">
        <f t="shared" si="139"/>
        <v>55.006000000000007</v>
      </c>
      <c r="AJ202" s="259">
        <f t="shared" si="139"/>
        <v>68.461000000000027</v>
      </c>
      <c r="AK202" s="259">
        <f t="shared" si="139"/>
        <v>75.663999999999916</v>
      </c>
      <c r="AL202" s="259">
        <f t="shared" si="139"/>
        <v>96.184999999999945</v>
      </c>
      <c r="AM202" s="260">
        <f t="shared" si="139"/>
        <v>110.40499999999992</v>
      </c>
      <c r="AN202" s="259">
        <f t="shared" si="139"/>
        <v>84.522210190051993</v>
      </c>
      <c r="AO202" s="258">
        <f t="shared" si="139"/>
        <v>75.597147224059938</v>
      </c>
      <c r="AP202" s="258">
        <f t="shared" si="139"/>
        <v>81.822794642511937</v>
      </c>
      <c r="AQ202" s="258">
        <f t="shared" si="139"/>
        <v>90.005074106763132</v>
      </c>
      <c r="AR202" s="258">
        <f t="shared" si="139"/>
        <v>99.005581517439495</v>
      </c>
      <c r="AS202" s="261"/>
    </row>
    <row r="203" spans="1:45" s="262" customFormat="1" x14ac:dyDescent="0.35">
      <c r="A203" s="423"/>
      <c r="B203" s="368"/>
      <c r="C203" s="307"/>
      <c r="D203" s="307"/>
      <c r="E203" s="307"/>
      <c r="F203" s="307"/>
      <c r="G203" s="307"/>
      <c r="H203" s="307"/>
      <c r="I203" s="307"/>
      <c r="J203" s="307"/>
      <c r="K203" s="307"/>
      <c r="L203" s="307"/>
      <c r="M203" s="307"/>
      <c r="N203" s="307"/>
      <c r="O203" s="308"/>
      <c r="P203" s="307"/>
      <c r="Q203" s="307"/>
      <c r="R203" s="307"/>
      <c r="S203" s="307"/>
      <c r="T203" s="307"/>
      <c r="U203" s="307"/>
      <c r="V203" s="307"/>
      <c r="W203" s="307"/>
      <c r="X203" s="307"/>
      <c r="Y203" s="307"/>
      <c r="Z203" s="309"/>
      <c r="AA203" s="309"/>
      <c r="AB203" s="309"/>
      <c r="AC203" s="309"/>
      <c r="AD203" s="309"/>
      <c r="AE203" s="309"/>
      <c r="AF203" s="309"/>
      <c r="AG203" s="309"/>
      <c r="AH203" s="309"/>
      <c r="AI203" s="309"/>
      <c r="AJ203" s="309"/>
      <c r="AK203" s="309"/>
      <c r="AL203" s="309"/>
      <c r="AM203" s="310"/>
      <c r="AN203" s="309"/>
      <c r="AO203" s="309"/>
      <c r="AP203" s="309"/>
      <c r="AQ203" s="309"/>
      <c r="AR203" s="309"/>
      <c r="AS203" s="261"/>
    </row>
    <row r="204" spans="1:45" s="227" customFormat="1" x14ac:dyDescent="0.35">
      <c r="A204" s="438" t="s">
        <v>777</v>
      </c>
      <c r="B204" s="439"/>
      <c r="C204" s="438">
        <f t="shared" ref="C204:O204" si="140">C191/C189</f>
        <v>0.20224022878932313</v>
      </c>
      <c r="D204" s="438">
        <f t="shared" si="140"/>
        <v>0.21272677670167792</v>
      </c>
      <c r="E204" s="438">
        <f t="shared" si="140"/>
        <v>0.19554414444260412</v>
      </c>
      <c r="F204" s="438">
        <f t="shared" si="140"/>
        <v>0.19717669523311573</v>
      </c>
      <c r="G204" s="438">
        <f t="shared" si="140"/>
        <v>0.19179130844423492</v>
      </c>
      <c r="H204" s="438">
        <f t="shared" si="140"/>
        <v>0.20247763248451475</v>
      </c>
      <c r="I204" s="438">
        <f t="shared" si="140"/>
        <v>0.1674357772129407</v>
      </c>
      <c r="J204" s="438">
        <f t="shared" si="140"/>
        <v>0.21356462123780509</v>
      </c>
      <c r="K204" s="438">
        <f t="shared" si="140"/>
        <v>0.18807726075504813</v>
      </c>
      <c r="L204" s="438">
        <f t="shared" si="140"/>
        <v>0.19797797378138285</v>
      </c>
      <c r="M204" s="438">
        <f t="shared" si="140"/>
        <v>0.1905147574176464</v>
      </c>
      <c r="N204" s="438">
        <f t="shared" si="140"/>
        <v>0.19182918861813517</v>
      </c>
      <c r="O204" s="440">
        <f t="shared" si="140"/>
        <v>0.21104827083630381</v>
      </c>
      <c r="P204" s="441">
        <v>0.19</v>
      </c>
      <c r="Q204" s="441">
        <v>0.19</v>
      </c>
      <c r="R204" s="441">
        <v>0.19</v>
      </c>
      <c r="S204" s="441"/>
      <c r="T204" s="441"/>
      <c r="U204" s="441"/>
      <c r="V204" s="441"/>
      <c r="W204" s="441"/>
      <c r="X204" s="441"/>
      <c r="Y204" s="442"/>
      <c r="Z204" s="443"/>
      <c r="AA204" s="443"/>
      <c r="AB204" s="443"/>
      <c r="AC204" s="443"/>
      <c r="AD204" s="443">
        <f t="shared" ref="AD204:AO204" si="141">AD191/AD189</f>
        <v>0.23468978833473017</v>
      </c>
      <c r="AE204" s="443">
        <f t="shared" si="141"/>
        <v>0.22817850126298059</v>
      </c>
      <c r="AF204" s="443">
        <f t="shared" si="141"/>
        <v>0.22535636171657034</v>
      </c>
      <c r="AG204" s="443">
        <f t="shared" si="141"/>
        <v>0.2163054500860789</v>
      </c>
      <c r="AH204" s="443">
        <f t="shared" si="141"/>
        <v>0.20835321246819341</v>
      </c>
      <c r="AI204" s="443">
        <f t="shared" si="141"/>
        <v>0.19659813029249032</v>
      </c>
      <c r="AJ204" s="443">
        <f t="shared" si="141"/>
        <v>0.1981985168417453</v>
      </c>
      <c r="AK204" s="443">
        <f t="shared" si="141"/>
        <v>0.19359731672666305</v>
      </c>
      <c r="AL204" s="443">
        <f t="shared" si="141"/>
        <v>0.19323846108584741</v>
      </c>
      <c r="AM204" s="444">
        <f t="shared" si="141"/>
        <v>0.19120930779175002</v>
      </c>
      <c r="AN204" s="443">
        <f t="shared" si="141"/>
        <v>0.20255421513878574</v>
      </c>
      <c r="AO204" s="443">
        <f t="shared" si="141"/>
        <v>0.19000000000000011</v>
      </c>
      <c r="AP204" s="445">
        <v>0.19000000000000011</v>
      </c>
      <c r="AQ204" s="445">
        <v>0.19000000000000011</v>
      </c>
      <c r="AR204" s="445">
        <v>0.19000000000000011</v>
      </c>
      <c r="AS204" s="226"/>
    </row>
    <row r="205" spans="1:45" s="227" customFormat="1" x14ac:dyDescent="0.35">
      <c r="A205" s="438" t="s">
        <v>778</v>
      </c>
      <c r="B205" s="439"/>
      <c r="C205" s="438">
        <f t="shared" ref="C205:O205" si="142">C192/C189</f>
        <v>-3.8131553860819821E-4</v>
      </c>
      <c r="D205" s="438">
        <f t="shared" si="142"/>
        <v>-9.4461874232710449E-3</v>
      </c>
      <c r="E205" s="438">
        <f t="shared" si="142"/>
        <v>-2.4846778201093283E-4</v>
      </c>
      <c r="F205" s="438">
        <f t="shared" si="142"/>
        <v>-5.8421040667409208E-3</v>
      </c>
      <c r="G205" s="438">
        <f t="shared" si="142"/>
        <v>0</v>
      </c>
      <c r="H205" s="438">
        <f t="shared" si="142"/>
        <v>-8.9076786943270078E-3</v>
      </c>
      <c r="I205" s="438">
        <f t="shared" si="142"/>
        <v>1.7323495298966009E-2</v>
      </c>
      <c r="J205" s="438">
        <f t="shared" si="142"/>
        <v>-1.6442535879760457E-2</v>
      </c>
      <c r="K205" s="438">
        <f t="shared" si="142"/>
        <v>8.779631255487262E-5</v>
      </c>
      <c r="L205" s="438">
        <f t="shared" si="142"/>
        <v>-3.4184175306770778E-3</v>
      </c>
      <c r="M205" s="438">
        <f t="shared" si="142"/>
        <v>-7.9433065960594874E-4</v>
      </c>
      <c r="N205" s="438">
        <f t="shared" si="142"/>
        <v>-3.3639611337383125E-3</v>
      </c>
      <c r="O205" s="440">
        <f t="shared" si="142"/>
        <v>-6.6536761560762362E-4</v>
      </c>
      <c r="P205" s="441">
        <v>-2E-3</v>
      </c>
      <c r="Q205" s="441">
        <v>-2E-3</v>
      </c>
      <c r="R205" s="441">
        <v>-2E-3</v>
      </c>
      <c r="S205" s="441"/>
      <c r="T205" s="441"/>
      <c r="U205" s="441"/>
      <c r="V205" s="441"/>
      <c r="W205" s="441"/>
      <c r="X205" s="441"/>
      <c r="Y205" s="442"/>
      <c r="Z205" s="443"/>
      <c r="AA205" s="443"/>
      <c r="AB205" s="443"/>
      <c r="AC205" s="443"/>
      <c r="AD205" s="443">
        <f t="shared" ref="AD205:AO205" si="143">AD192/AD189</f>
        <v>1.5373966264709115E-2</v>
      </c>
      <c r="AE205" s="443">
        <f t="shared" si="143"/>
        <v>4.1538029750210481E-3</v>
      </c>
      <c r="AF205" s="443">
        <f t="shared" si="143"/>
        <v>-7.6426075370188964E-3</v>
      </c>
      <c r="AG205" s="443">
        <f t="shared" si="143"/>
        <v>1.7215763035634277E-3</v>
      </c>
      <c r="AH205" s="443">
        <f t="shared" si="143"/>
        <v>-5.6655534351145046E-3</v>
      </c>
      <c r="AI205" s="443">
        <f t="shared" si="143"/>
        <v>-3.8597572608931739E-3</v>
      </c>
      <c r="AJ205" s="443">
        <f t="shared" si="143"/>
        <v>-5.3407844940402483E-3</v>
      </c>
      <c r="AK205" s="443">
        <f t="shared" si="143"/>
        <v>-1.8265913242253027E-3</v>
      </c>
      <c r="AL205" s="443">
        <f t="shared" si="143"/>
        <v>-1.7399783133137767E-3</v>
      </c>
      <c r="AM205" s="444">
        <f t="shared" si="143"/>
        <v>-2.1521330356093558E-3</v>
      </c>
      <c r="AN205" s="443">
        <f t="shared" si="143"/>
        <v>-1.203960163038518E-3</v>
      </c>
      <c r="AO205" s="443">
        <f t="shared" si="143"/>
        <v>-2.0000000000000013E-3</v>
      </c>
      <c r="AP205" s="445">
        <v>-1.999999999999997E-3</v>
      </c>
      <c r="AQ205" s="445">
        <v>-1.999999999999997E-3</v>
      </c>
      <c r="AR205" s="445">
        <v>-1.999999999999997E-3</v>
      </c>
      <c r="AS205" s="226"/>
    </row>
    <row r="206" spans="1:45" s="167" customFormat="1" x14ac:dyDescent="0.35">
      <c r="A206" s="164"/>
      <c r="B206" s="315"/>
      <c r="C206" s="164"/>
      <c r="D206" s="164"/>
      <c r="E206" s="164"/>
      <c r="F206" s="164"/>
      <c r="G206" s="164"/>
      <c r="H206" s="164"/>
      <c r="I206" s="164"/>
      <c r="J206" s="164"/>
      <c r="K206" s="164"/>
      <c r="L206" s="164"/>
      <c r="M206" s="164"/>
      <c r="N206" s="164"/>
      <c r="O206" s="165"/>
      <c r="P206" s="164"/>
      <c r="Q206" s="164"/>
      <c r="R206" s="164"/>
      <c r="S206" s="164"/>
      <c r="T206" s="164"/>
      <c r="U206" s="164"/>
      <c r="V206" s="164"/>
      <c r="W206" s="164"/>
      <c r="X206" s="164"/>
      <c r="Y206" s="164"/>
      <c r="Z206" s="250"/>
      <c r="AA206" s="250"/>
      <c r="AB206" s="250"/>
      <c r="AC206" s="250"/>
      <c r="AD206" s="250"/>
      <c r="AE206" s="250"/>
      <c r="AF206" s="250"/>
      <c r="AG206" s="250"/>
      <c r="AH206" s="250"/>
      <c r="AI206" s="250"/>
      <c r="AJ206" s="250"/>
      <c r="AK206" s="250"/>
      <c r="AL206" s="250"/>
      <c r="AM206" s="264"/>
      <c r="AN206" s="250"/>
      <c r="AO206" s="250"/>
      <c r="AP206" s="250"/>
      <c r="AQ206" s="250"/>
      <c r="AR206" s="250"/>
      <c r="AS206" s="166"/>
    </row>
    <row r="207" spans="1:45" s="454" customFormat="1" x14ac:dyDescent="0.35">
      <c r="A207" s="446" t="s">
        <v>779</v>
      </c>
      <c r="B207" s="447"/>
      <c r="C207" s="448">
        <f t="shared" ref="C207:R207" si="144">C197/C213*100</f>
        <v>8.5048784328066382</v>
      </c>
      <c r="D207" s="448">
        <f t="shared" si="144"/>
        <v>11.857453140212346</v>
      </c>
      <c r="E207" s="448">
        <f t="shared" si="144"/>
        <v>9.8519070578632117</v>
      </c>
      <c r="F207" s="448">
        <f t="shared" si="144"/>
        <v>18.017935178354769</v>
      </c>
      <c r="G207" s="448">
        <f t="shared" si="144"/>
        <v>13.897115778921961</v>
      </c>
      <c r="H207" s="448">
        <f t="shared" si="144"/>
        <v>20.737239800474153</v>
      </c>
      <c r="I207" s="448">
        <f t="shared" si="144"/>
        <v>16.688472749132398</v>
      </c>
      <c r="J207" s="448">
        <f t="shared" si="144"/>
        <v>21.496844839100341</v>
      </c>
      <c r="K207" s="448">
        <f t="shared" si="144"/>
        <v>23.300726226294358</v>
      </c>
      <c r="L207" s="448">
        <f t="shared" si="144"/>
        <v>25.13925027060931</v>
      </c>
      <c r="M207" s="448">
        <f t="shared" si="144"/>
        <v>26.159408265576563</v>
      </c>
      <c r="N207" s="448">
        <f t="shared" si="144"/>
        <v>29.325292654568408</v>
      </c>
      <c r="O207" s="449">
        <f t="shared" si="144"/>
        <v>25.026988757613321</v>
      </c>
      <c r="P207" s="450" t="e">
        <f t="shared" si="144"/>
        <v>#REF!</v>
      </c>
      <c r="Q207" s="450" t="e">
        <f t="shared" si="144"/>
        <v>#REF!</v>
      </c>
      <c r="R207" s="450" t="e">
        <f t="shared" si="144"/>
        <v>#REF!</v>
      </c>
      <c r="S207" s="450"/>
      <c r="T207" s="450"/>
      <c r="U207" s="450"/>
      <c r="V207" s="450"/>
      <c r="W207" s="450"/>
      <c r="X207" s="450"/>
      <c r="Y207" s="450"/>
      <c r="Z207" s="451"/>
      <c r="AA207" s="451"/>
      <c r="AB207" s="451"/>
      <c r="AC207" s="451"/>
      <c r="AD207" s="451">
        <f t="shared" ref="AD207:AR207" si="145">AD197/AD213*100</f>
        <v>11.770726714431914</v>
      </c>
      <c r="AE207" s="451">
        <f t="shared" si="145"/>
        <v>14.646789187336681</v>
      </c>
      <c r="AF207" s="452">
        <f t="shared" si="145"/>
        <v>16.245692805680235</v>
      </c>
      <c r="AG207" s="452">
        <f t="shared" si="145"/>
        <v>16.913895123444188</v>
      </c>
      <c r="AH207" s="452">
        <f t="shared" si="145"/>
        <v>20.363628978619914</v>
      </c>
      <c r="AI207" s="452">
        <f t="shared" si="145"/>
        <v>27.874002979659267</v>
      </c>
      <c r="AJ207" s="452">
        <f t="shared" si="145"/>
        <v>34.638717283182316</v>
      </c>
      <c r="AK207" s="452">
        <f t="shared" si="145"/>
        <v>38.189646035118848</v>
      </c>
      <c r="AL207" s="452">
        <f t="shared" si="145"/>
        <v>48.441521159957468</v>
      </c>
      <c r="AM207" s="453">
        <f t="shared" si="145"/>
        <v>55.486591347700184</v>
      </c>
      <c r="AN207" s="452" t="e">
        <f t="shared" si="145"/>
        <v>#REF!</v>
      </c>
      <c r="AO207" s="451" t="e">
        <f t="shared" si="145"/>
        <v>#REF!</v>
      </c>
      <c r="AP207" s="451" t="e">
        <f t="shared" si="145"/>
        <v>#REF!</v>
      </c>
      <c r="AQ207" s="451" t="e">
        <f t="shared" si="145"/>
        <v>#REF!</v>
      </c>
      <c r="AR207" s="451" t="e">
        <f t="shared" si="145"/>
        <v>#REF!</v>
      </c>
      <c r="AS207" s="448"/>
    </row>
    <row r="208" spans="1:45" s="454" customFormat="1" x14ac:dyDescent="0.35">
      <c r="A208" s="446" t="s">
        <v>780</v>
      </c>
      <c r="B208" s="447"/>
      <c r="C208" s="448">
        <f t="shared" ref="C208:R208" si="146">C199/C214*100</f>
        <v>8.4826901449833354</v>
      </c>
      <c r="D208" s="448">
        <f t="shared" si="146"/>
        <v>11.751923237682421</v>
      </c>
      <c r="E208" s="448">
        <f t="shared" si="146"/>
        <v>9.7861175321176113</v>
      </c>
      <c r="F208" s="448">
        <f t="shared" si="146"/>
        <v>17.83584558174817</v>
      </c>
      <c r="G208" s="448">
        <f t="shared" si="146"/>
        <v>13.809375282979017</v>
      </c>
      <c r="H208" s="448">
        <f t="shared" si="146"/>
        <v>20.616081929847585</v>
      </c>
      <c r="I208" s="448">
        <f t="shared" si="146"/>
        <v>16.597001728226367</v>
      </c>
      <c r="J208" s="448">
        <f t="shared" si="146"/>
        <v>21.397348550998547</v>
      </c>
      <c r="K208" s="448">
        <f t="shared" si="146"/>
        <v>23.186443397976966</v>
      </c>
      <c r="L208" s="448">
        <f t="shared" si="146"/>
        <v>25.039890562778904</v>
      </c>
      <c r="M208" s="448">
        <f t="shared" si="146"/>
        <v>26.048859135677016</v>
      </c>
      <c r="N208" s="448">
        <f t="shared" si="146"/>
        <v>29.256973136091009</v>
      </c>
      <c r="O208" s="449">
        <f t="shared" si="146"/>
        <v>24.964438834795832</v>
      </c>
      <c r="P208" s="450" t="e">
        <f t="shared" si="146"/>
        <v>#REF!</v>
      </c>
      <c r="Q208" s="450" t="e">
        <f t="shared" si="146"/>
        <v>#REF!</v>
      </c>
      <c r="R208" s="450" t="e">
        <f t="shared" si="146"/>
        <v>#REF!</v>
      </c>
      <c r="S208" s="450"/>
      <c r="T208" s="450"/>
      <c r="U208" s="450"/>
      <c r="V208" s="450"/>
      <c r="W208" s="450"/>
      <c r="X208" s="450"/>
      <c r="Y208" s="450"/>
      <c r="Z208" s="451"/>
      <c r="AA208" s="451"/>
      <c r="AB208" s="451"/>
      <c r="AC208" s="451"/>
      <c r="AD208" s="451">
        <f t="shared" ref="AD208:AR208" si="147">AD199/AD214*100</f>
        <v>11.482935972242348</v>
      </c>
      <c r="AE208" s="451">
        <f t="shared" si="147"/>
        <v>14.078359514936903</v>
      </c>
      <c r="AF208" s="452">
        <f t="shared" si="147"/>
        <v>15.976443768996921</v>
      </c>
      <c r="AG208" s="452">
        <f t="shared" si="147"/>
        <v>16.854058230318795</v>
      </c>
      <c r="AH208" s="452">
        <f t="shared" si="147"/>
        <v>20.246749050965189</v>
      </c>
      <c r="AI208" s="452">
        <f t="shared" si="147"/>
        <v>27.640372652080845</v>
      </c>
      <c r="AJ208" s="452">
        <f t="shared" si="147"/>
        <v>34.428117393840658</v>
      </c>
      <c r="AK208" s="452">
        <f t="shared" si="147"/>
        <v>37.996524953046652</v>
      </c>
      <c r="AL208" s="452">
        <f t="shared" si="147"/>
        <v>48.226811670502315</v>
      </c>
      <c r="AM208" s="453">
        <f t="shared" si="147"/>
        <v>55.304259838102062</v>
      </c>
      <c r="AN208" s="452" t="e">
        <f t="shared" si="147"/>
        <v>#REF!</v>
      </c>
      <c r="AO208" s="451" t="e">
        <f t="shared" si="147"/>
        <v>#REF!</v>
      </c>
      <c r="AP208" s="451" t="e">
        <f t="shared" si="147"/>
        <v>#REF!</v>
      </c>
      <c r="AQ208" s="451" t="e">
        <f t="shared" si="147"/>
        <v>#REF!</v>
      </c>
      <c r="AR208" s="451" t="e">
        <f t="shared" si="147"/>
        <v>#REF!</v>
      </c>
      <c r="AS208" s="448"/>
    </row>
    <row r="209" spans="1:45" s="454" customFormat="1" x14ac:dyDescent="0.35">
      <c r="A209" s="446" t="s">
        <v>781</v>
      </c>
      <c r="B209" s="447"/>
      <c r="C209" s="448">
        <f t="shared" ref="C209:R209" si="148">C202/C215*100</f>
        <v>8.7420703246024392</v>
      </c>
      <c r="D209" s="448">
        <f t="shared" si="148"/>
        <v>12.257387783643727</v>
      </c>
      <c r="E209" s="448">
        <f t="shared" si="148"/>
        <v>9.8519070578632117</v>
      </c>
      <c r="F209" s="448">
        <f t="shared" si="148"/>
        <v>18.017935178354769</v>
      </c>
      <c r="G209" s="448">
        <f t="shared" si="148"/>
        <v>13.897115778921961</v>
      </c>
      <c r="H209" s="448">
        <f t="shared" si="148"/>
        <v>20.737239800474153</v>
      </c>
      <c r="I209" s="448">
        <f t="shared" si="148"/>
        <v>16.688472749132398</v>
      </c>
      <c r="J209" s="448">
        <f t="shared" si="148"/>
        <v>21.496844839100341</v>
      </c>
      <c r="K209" s="448">
        <f t="shared" si="148"/>
        <v>23.300726226294358</v>
      </c>
      <c r="L209" s="448">
        <f t="shared" si="148"/>
        <v>25.13925027060931</v>
      </c>
      <c r="M209" s="448">
        <f t="shared" si="148"/>
        <v>26.159408265576563</v>
      </c>
      <c r="N209" s="448">
        <f t="shared" si="148"/>
        <v>29.325292654568408</v>
      </c>
      <c r="O209" s="449">
        <f t="shared" si="148"/>
        <v>25.026988757613321</v>
      </c>
      <c r="P209" s="450" t="e">
        <f t="shared" si="148"/>
        <v>#REF!</v>
      </c>
      <c r="Q209" s="450" t="e">
        <f t="shared" si="148"/>
        <v>#REF!</v>
      </c>
      <c r="R209" s="450" t="e">
        <f t="shared" si="148"/>
        <v>#REF!</v>
      </c>
      <c r="S209" s="450"/>
      <c r="T209" s="450"/>
      <c r="U209" s="450"/>
      <c r="V209" s="450"/>
      <c r="W209" s="450"/>
      <c r="X209" s="450"/>
      <c r="Y209" s="450"/>
      <c r="Z209" s="451"/>
      <c r="AA209" s="451"/>
      <c r="AB209" s="451"/>
      <c r="AC209" s="451"/>
      <c r="AD209" s="451">
        <f t="shared" ref="AD209:AR209" si="149">AD202/AD215*100</f>
        <v>11.770726714431914</v>
      </c>
      <c r="AE209" s="451">
        <f t="shared" si="149"/>
        <v>14.646789187336681</v>
      </c>
      <c r="AF209" s="452">
        <f t="shared" si="149"/>
        <v>16.74010650516859</v>
      </c>
      <c r="AG209" s="452">
        <f t="shared" si="149"/>
        <v>19.190981432360736</v>
      </c>
      <c r="AH209" s="452">
        <f t="shared" si="149"/>
        <v>21.000817429008066</v>
      </c>
      <c r="AI209" s="452">
        <f t="shared" si="149"/>
        <v>27.874002979659267</v>
      </c>
      <c r="AJ209" s="452">
        <f t="shared" si="149"/>
        <v>34.638717283182316</v>
      </c>
      <c r="AK209" s="452">
        <f t="shared" si="149"/>
        <v>38.189646035118848</v>
      </c>
      <c r="AL209" s="452">
        <f t="shared" si="149"/>
        <v>48.441521159957468</v>
      </c>
      <c r="AM209" s="453">
        <f t="shared" si="149"/>
        <v>55.486591347700184</v>
      </c>
      <c r="AN209" s="452" t="e">
        <f t="shared" si="149"/>
        <v>#REF!</v>
      </c>
      <c r="AO209" s="451" t="e">
        <f t="shared" si="149"/>
        <v>#REF!</v>
      </c>
      <c r="AP209" s="451" t="e">
        <f t="shared" si="149"/>
        <v>#REF!</v>
      </c>
      <c r="AQ209" s="451" t="e">
        <f t="shared" si="149"/>
        <v>#REF!</v>
      </c>
      <c r="AR209" s="451" t="e">
        <f t="shared" si="149"/>
        <v>#REF!</v>
      </c>
      <c r="AS209" s="448"/>
    </row>
    <row r="210" spans="1:45" s="454" customFormat="1" x14ac:dyDescent="0.35">
      <c r="A210" s="446" t="s">
        <v>782</v>
      </c>
      <c r="B210" s="447"/>
      <c r="C210" s="448">
        <f t="shared" ref="C210:R210" si="150">C202/C216*100</f>
        <v>8.7192632293492487</v>
      </c>
      <c r="D210" s="448">
        <f t="shared" si="150"/>
        <v>12.148298511033179</v>
      </c>
      <c r="E210" s="448">
        <f t="shared" si="150"/>
        <v>9.7861175321176113</v>
      </c>
      <c r="F210" s="448">
        <f t="shared" si="150"/>
        <v>17.83584558174817</v>
      </c>
      <c r="G210" s="448">
        <f t="shared" si="150"/>
        <v>13.809375282979017</v>
      </c>
      <c r="H210" s="448">
        <f t="shared" si="150"/>
        <v>20.616081929847585</v>
      </c>
      <c r="I210" s="448">
        <f t="shared" si="150"/>
        <v>16.597001728226367</v>
      </c>
      <c r="J210" s="448">
        <f t="shared" si="150"/>
        <v>21.397348550998547</v>
      </c>
      <c r="K210" s="448">
        <f t="shared" si="150"/>
        <v>23.186443397976966</v>
      </c>
      <c r="L210" s="448">
        <f t="shared" si="150"/>
        <v>25.039890562778904</v>
      </c>
      <c r="M210" s="448">
        <f t="shared" si="150"/>
        <v>26.048859135677016</v>
      </c>
      <c r="N210" s="448">
        <f t="shared" si="150"/>
        <v>29.256973136091009</v>
      </c>
      <c r="O210" s="449">
        <f t="shared" si="150"/>
        <v>24.964438834795832</v>
      </c>
      <c r="P210" s="450" t="e">
        <f t="shared" si="150"/>
        <v>#REF!</v>
      </c>
      <c r="Q210" s="450" t="e">
        <f t="shared" si="150"/>
        <v>#REF!</v>
      </c>
      <c r="R210" s="450" t="e">
        <f t="shared" si="150"/>
        <v>#REF!</v>
      </c>
      <c r="S210" s="450"/>
      <c r="T210" s="450"/>
      <c r="U210" s="450"/>
      <c r="V210" s="450"/>
      <c r="W210" s="450"/>
      <c r="X210" s="450"/>
      <c r="Y210" s="450"/>
      <c r="Z210" s="451"/>
      <c r="AA210" s="451"/>
      <c r="AB210" s="451"/>
      <c r="AC210" s="451"/>
      <c r="AD210" s="451">
        <f t="shared" ref="AD210:AR210" si="151">AD202/AD216*100</f>
        <v>11.482935972242348</v>
      </c>
      <c r="AE210" s="451">
        <f t="shared" si="151"/>
        <v>14.078359514936903</v>
      </c>
      <c r="AF210" s="452">
        <f t="shared" si="151"/>
        <v>16.46266327117387</v>
      </c>
      <c r="AG210" s="452">
        <f t="shared" si="151"/>
        <v>19.123088809368895</v>
      </c>
      <c r="AH210" s="452">
        <f t="shared" si="151"/>
        <v>20.880280268152816</v>
      </c>
      <c r="AI210" s="452">
        <f t="shared" si="151"/>
        <v>27.640372652080845</v>
      </c>
      <c r="AJ210" s="452">
        <f t="shared" si="151"/>
        <v>34.428117393840658</v>
      </c>
      <c r="AK210" s="452">
        <f t="shared" si="151"/>
        <v>37.996524953046652</v>
      </c>
      <c r="AL210" s="452">
        <f t="shared" si="151"/>
        <v>48.226811670502315</v>
      </c>
      <c r="AM210" s="453">
        <f t="shared" si="151"/>
        <v>55.304259838102062</v>
      </c>
      <c r="AN210" s="452" t="e">
        <f t="shared" si="151"/>
        <v>#REF!</v>
      </c>
      <c r="AO210" s="451" t="e">
        <f t="shared" si="151"/>
        <v>#REF!</v>
      </c>
      <c r="AP210" s="451" t="e">
        <f t="shared" si="151"/>
        <v>#REF!</v>
      </c>
      <c r="AQ210" s="451" t="e">
        <f t="shared" si="151"/>
        <v>#REF!</v>
      </c>
      <c r="AR210" s="451" t="e">
        <f t="shared" si="151"/>
        <v>#REF!</v>
      </c>
      <c r="AS210" s="448"/>
    </row>
    <row r="211" spans="1:45" s="464" customFormat="1" x14ac:dyDescent="0.35">
      <c r="A211" s="455" t="str">
        <f>CONCATENATE("Consensus Estimates - ",IFERROR(LEFT(A210,FIND("(",A210)-1),A210))</f>
        <v>Consensus Estimates - Adjusted Earnings Per Share - WAD, p</v>
      </c>
      <c r="B211" s="456"/>
      <c r="C211" s="457"/>
      <c r="D211" s="457"/>
      <c r="E211" s="457"/>
      <c r="F211" s="457"/>
      <c r="G211" s="457"/>
      <c r="H211" s="457"/>
      <c r="I211" s="457"/>
      <c r="J211" s="457"/>
      <c r="K211" s="458"/>
      <c r="L211" s="457"/>
      <c r="M211" s="458"/>
      <c r="N211" s="457"/>
      <c r="O211" s="459"/>
      <c r="P211" s="460" t="str">
        <f ca="1">IFERROR(VLOOKUP($A211,tb_ConsensusEstimate,MATCH(P$5,OFFSET(tb_ConsensusEstimate,0,0,1,COLUMNS(tb_ConsensusEstimate)),0),FALSE),"-")</f>
        <v>N/A</v>
      </c>
      <c r="Q211" s="460" t="str">
        <f ca="1">IFERROR(VLOOKUP($A211,tb_ConsensusEstimate,MATCH(Q$5,OFFSET(tb_ConsensusEstimate,0,0,1,COLUMNS(tb_ConsensusEstimate)),0),FALSE),"-")</f>
        <v>N/A</v>
      </c>
      <c r="R211" s="460" t="str">
        <f ca="1">IFERROR(VLOOKUP($A211,tb_ConsensusEstimate,MATCH(R$5,OFFSET(tb_ConsensusEstimate,0,0,1,COLUMNS(tb_ConsensusEstimate)),0),FALSE),"-")</f>
        <v>N/A</v>
      </c>
      <c r="S211" s="460"/>
      <c r="T211" s="460"/>
      <c r="U211" s="460"/>
      <c r="V211" s="460"/>
      <c r="W211" s="460"/>
      <c r="X211" s="460"/>
      <c r="Y211" s="460"/>
      <c r="Z211" s="461"/>
      <c r="AA211" s="461"/>
      <c r="AB211" s="461"/>
      <c r="AC211" s="461"/>
      <c r="AD211" s="461"/>
      <c r="AE211" s="461"/>
      <c r="AF211" s="461"/>
      <c r="AG211" s="461"/>
      <c r="AH211" s="461"/>
      <c r="AI211" s="461"/>
      <c r="AJ211" s="461"/>
      <c r="AK211" s="461"/>
      <c r="AL211" s="461"/>
      <c r="AM211" s="462"/>
      <c r="AN211" s="463" t="str">
        <f ca="1">IFERROR(VLOOKUP($A211,tb_ConsensusEstimate,MATCH(AN$5,OFFSET(tb_ConsensusEstimate,0,0,1,COLUMNS(tb_ConsensusEstimate)),0),FALSE),"-")</f>
        <v>N/A</v>
      </c>
      <c r="AO211" s="463" t="str">
        <f ca="1">IFERROR(VLOOKUP($A211,tb_ConsensusEstimate,MATCH(AO$5,OFFSET(tb_ConsensusEstimate,0,0,1,COLUMNS(tb_ConsensusEstimate)),0),FALSE),"-")</f>
        <v>N/A</v>
      </c>
      <c r="AP211" s="463" t="str">
        <f ca="1">IFERROR(VLOOKUP($A211,tb_ConsensusEstimate,MATCH(AP$5,OFFSET(tb_ConsensusEstimate,0,0,1,COLUMNS(tb_ConsensusEstimate)),0),FALSE),"-")</f>
        <v>N/A</v>
      </c>
      <c r="AQ211" s="463" t="str">
        <f ca="1">IFERROR(VLOOKUP($A211,tb_ConsensusEstimate,MATCH(AQ$5,OFFSET(tb_ConsensusEstimate,0,0,1,COLUMNS(tb_ConsensusEstimate)),0),FALSE),"-")</f>
        <v>N/A</v>
      </c>
      <c r="AR211" s="463" t="str">
        <f ca="1">IFERROR(VLOOKUP($A211,tb_ConsensusEstimate,MATCH(AR$5,OFFSET(tb_ConsensusEstimate,0,0,1,COLUMNS(tb_ConsensusEstimate)),0),FALSE),"-")</f>
        <v>N/A</v>
      </c>
      <c r="AS211" s="457"/>
    </row>
    <row r="212" spans="1:45" s="167" customFormat="1" x14ac:dyDescent="0.35">
      <c r="A212" s="164"/>
      <c r="B212" s="315"/>
      <c r="C212" s="164"/>
      <c r="D212" s="164"/>
      <c r="E212" s="164"/>
      <c r="F212" s="164"/>
      <c r="G212" s="164"/>
      <c r="H212" s="164"/>
      <c r="I212" s="164"/>
      <c r="J212" s="164"/>
      <c r="K212" s="164"/>
      <c r="L212" s="164"/>
      <c r="M212" s="164"/>
      <c r="N212" s="164"/>
      <c r="O212" s="165"/>
      <c r="P212" s="164"/>
      <c r="Q212" s="164"/>
      <c r="R212" s="164"/>
      <c r="S212" s="164"/>
      <c r="T212" s="164"/>
      <c r="U212" s="164"/>
      <c r="V212" s="164"/>
      <c r="W212" s="164"/>
      <c r="X212" s="164"/>
      <c r="Y212" s="164"/>
      <c r="Z212" s="250"/>
      <c r="AA212" s="250"/>
      <c r="AB212" s="250"/>
      <c r="AC212" s="250"/>
      <c r="AD212" s="250"/>
      <c r="AE212" s="250"/>
      <c r="AF212" s="250"/>
      <c r="AG212" s="250"/>
      <c r="AH212" s="250"/>
      <c r="AI212" s="250"/>
      <c r="AJ212" s="250"/>
      <c r="AK212" s="250"/>
      <c r="AL212" s="250"/>
      <c r="AM212" s="264"/>
      <c r="AN212" s="250"/>
      <c r="AO212" s="250"/>
      <c r="AP212" s="250"/>
      <c r="AQ212" s="250"/>
      <c r="AR212" s="250"/>
      <c r="AS212" s="166"/>
    </row>
    <row r="213" spans="1:45" s="167" customFormat="1" x14ac:dyDescent="0.35">
      <c r="A213" s="166" t="s">
        <v>783</v>
      </c>
      <c r="B213" s="315"/>
      <c r="C213" s="248">
        <v>196.887</v>
      </c>
      <c r="D213" s="166">
        <f>(AH213*AH$3-C213*C$3)/D$3</f>
        <v>197.03219337016577</v>
      </c>
      <c r="E213" s="248">
        <v>197.24100000000001</v>
      </c>
      <c r="F213" s="166">
        <f>(AI213*AI$3-E213*E$3)/F$3</f>
        <v>197.43660773480659</v>
      </c>
      <c r="G213" s="248">
        <v>197.523</v>
      </c>
      <c r="H213" s="166">
        <f>(AJ213*AJ$3-G213*G$3)/H$3</f>
        <v>197.76498895027629</v>
      </c>
      <c r="I213" s="248">
        <v>197.95699999999999</v>
      </c>
      <c r="J213" s="166">
        <f>(AK213*AK$3-I213*I$3)/J$3</f>
        <v>198.29886813186818</v>
      </c>
      <c r="K213" s="248">
        <v>198.423</v>
      </c>
      <c r="L213" s="166">
        <f>(AL213*AL$3-K213*K$3)/L$3</f>
        <v>198.6972541436464</v>
      </c>
      <c r="M213" s="248">
        <v>198.87299999999999</v>
      </c>
      <c r="N213" s="166">
        <f>(AM213*AM$3-M213*M$3)/N$3</f>
        <v>199.08070718232048</v>
      </c>
      <c r="O213" s="249">
        <v>199.15700000000001</v>
      </c>
      <c r="P213" s="164" t="e">
        <f>O213+P236/(P237/P305)</f>
        <v>#REF!</v>
      </c>
      <c r="Q213" s="164" t="e">
        <f>P213+Q236/(Q237/Q305)</f>
        <v>#REF!</v>
      </c>
      <c r="R213" s="164" t="e">
        <f>Q213+R236/(R237/R305)</f>
        <v>#REF!</v>
      </c>
      <c r="S213" s="164"/>
      <c r="T213" s="164"/>
      <c r="U213" s="164"/>
      <c r="V213" s="164"/>
      <c r="W213" s="164"/>
      <c r="X213" s="164"/>
      <c r="Y213" s="164"/>
      <c r="Z213" s="250"/>
      <c r="AA213" s="250"/>
      <c r="AB213" s="250"/>
      <c r="AC213" s="250"/>
      <c r="AD213" s="251">
        <v>174.88300000000001</v>
      </c>
      <c r="AE213" s="251">
        <v>186.744</v>
      </c>
      <c r="AF213" s="251">
        <v>191.54</v>
      </c>
      <c r="AG213" s="251">
        <v>196.04</v>
      </c>
      <c r="AH213" s="251">
        <v>196.959</v>
      </c>
      <c r="AI213" s="251">
        <v>197.33799999999999</v>
      </c>
      <c r="AJ213" s="251">
        <v>197.643</v>
      </c>
      <c r="AK213" s="251">
        <v>198.12700000000001</v>
      </c>
      <c r="AL213" s="251">
        <v>198.559</v>
      </c>
      <c r="AM213" s="252">
        <v>198.976</v>
      </c>
      <c r="AN213" s="304" t="e">
        <f>AVERAGE(O213,P213)</f>
        <v>#REF!</v>
      </c>
      <c r="AO213" s="250" t="e">
        <f>AVERAGE(Q213,R213)</f>
        <v>#REF!</v>
      </c>
      <c r="AP213" s="250" t="e">
        <f>R213+AP236/(AP237/AP305)</f>
        <v>#REF!</v>
      </c>
      <c r="AQ213" s="250" t="e">
        <f>AP213+AQ236/(AQ237/AQ305)</f>
        <v>#REF!</v>
      </c>
      <c r="AR213" s="250" t="e">
        <f>AQ213+AR236/(AR237/AR305)</f>
        <v>#REF!</v>
      </c>
      <c r="AS213" s="166"/>
    </row>
    <row r="214" spans="1:45" s="167" customFormat="1" x14ac:dyDescent="0.35">
      <c r="A214" s="166" t="s">
        <v>784</v>
      </c>
      <c r="B214" s="315"/>
      <c r="C214" s="248">
        <v>197.40199999999999</v>
      </c>
      <c r="D214" s="166">
        <f>(AH214*AH$3-C214*C$3)/D$3</f>
        <v>198.80150276243097</v>
      </c>
      <c r="E214" s="248">
        <v>198.56700000000001</v>
      </c>
      <c r="F214" s="166">
        <f>(AI214*AI$3-E214*E$3)/F$3</f>
        <v>199.45227624309393</v>
      </c>
      <c r="G214" s="248">
        <v>198.77799999999999</v>
      </c>
      <c r="H214" s="166">
        <f>(AJ214*AJ$3-G214*G$3)/H$3</f>
        <v>198.92722651933698</v>
      </c>
      <c r="I214" s="248">
        <v>199.048</v>
      </c>
      <c r="J214" s="166">
        <f>(AK214*AK$3-I214*I$3)/J$3</f>
        <v>199.22094505494502</v>
      </c>
      <c r="K214" s="248">
        <v>199.40100000000001</v>
      </c>
      <c r="L214" s="166">
        <f>(AL214*AL$3-K214*K$3)/L$3</f>
        <v>199.48569613259673</v>
      </c>
      <c r="M214" s="248">
        <v>199.71700000000001</v>
      </c>
      <c r="N214" s="166">
        <f>(AM214*AM$3-M214*M$3)/N$3</f>
        <v>199.54559116022105</v>
      </c>
      <c r="O214" s="249">
        <v>199.65600000000001</v>
      </c>
      <c r="P214" s="164" t="e">
        <f>O214+P236/(P237/P305)</f>
        <v>#REF!</v>
      </c>
      <c r="Q214" s="164" t="e">
        <f>P214+Q236/(Q237/Q305)</f>
        <v>#REF!</v>
      </c>
      <c r="R214" s="164" t="e">
        <f>Q214+R236/(R237/R305)</f>
        <v>#REF!</v>
      </c>
      <c r="S214" s="164"/>
      <c r="T214" s="164"/>
      <c r="U214" s="164"/>
      <c r="V214" s="164"/>
      <c r="W214" s="164"/>
      <c r="X214" s="164"/>
      <c r="Y214" s="164"/>
      <c r="Z214" s="250"/>
      <c r="AA214" s="250"/>
      <c r="AB214" s="250"/>
      <c r="AC214" s="250"/>
      <c r="AD214" s="251">
        <v>179.26599999999999</v>
      </c>
      <c r="AE214" s="251">
        <v>194.28399999999999</v>
      </c>
      <c r="AF214" s="251">
        <v>194.768</v>
      </c>
      <c r="AG214" s="251">
        <v>196.73599999999999</v>
      </c>
      <c r="AH214" s="251">
        <v>198.096</v>
      </c>
      <c r="AI214" s="251">
        <v>199.006</v>
      </c>
      <c r="AJ214" s="251">
        <v>198.852</v>
      </c>
      <c r="AK214" s="251">
        <v>199.13399999999999</v>
      </c>
      <c r="AL214" s="251">
        <v>199.44300000000001</v>
      </c>
      <c r="AM214" s="252">
        <v>199.63200000000001</v>
      </c>
      <c r="AN214" s="304" t="e">
        <f>AVERAGE(O214,P214)</f>
        <v>#REF!</v>
      </c>
      <c r="AO214" s="250" t="e">
        <f>AVERAGE(Q214,R214)</f>
        <v>#REF!</v>
      </c>
      <c r="AP214" s="250" t="e">
        <f>R214+AP236/(AP237/AP305)</f>
        <v>#REF!</v>
      </c>
      <c r="AQ214" s="250" t="e">
        <f>AP214+AQ236/(AQ237/AQ305)</f>
        <v>#REF!</v>
      </c>
      <c r="AR214" s="250" t="e">
        <f>AQ214+AR236/(AR237/AR305)</f>
        <v>#REF!</v>
      </c>
      <c r="AS214" s="166"/>
    </row>
    <row r="215" spans="1:45" s="167" customFormat="1" x14ac:dyDescent="0.35">
      <c r="A215" s="166" t="s">
        <v>785</v>
      </c>
      <c r="B215" s="315"/>
      <c r="C215" s="166">
        <f t="shared" ref="C215:O216" si="152">C213</f>
        <v>196.887</v>
      </c>
      <c r="D215" s="166">
        <f t="shared" si="152"/>
        <v>197.03219337016577</v>
      </c>
      <c r="E215" s="166">
        <f t="shared" si="152"/>
        <v>197.24100000000001</v>
      </c>
      <c r="F215" s="166">
        <f t="shared" si="152"/>
        <v>197.43660773480659</v>
      </c>
      <c r="G215" s="166">
        <f t="shared" si="152"/>
        <v>197.523</v>
      </c>
      <c r="H215" s="166">
        <f t="shared" si="152"/>
        <v>197.76498895027629</v>
      </c>
      <c r="I215" s="166">
        <f t="shared" si="152"/>
        <v>197.95699999999999</v>
      </c>
      <c r="J215" s="166">
        <f t="shared" si="152"/>
        <v>198.29886813186818</v>
      </c>
      <c r="K215" s="166">
        <f t="shared" si="152"/>
        <v>198.423</v>
      </c>
      <c r="L215" s="166">
        <f t="shared" si="152"/>
        <v>198.6972541436464</v>
      </c>
      <c r="M215" s="166">
        <f t="shared" si="152"/>
        <v>198.87299999999999</v>
      </c>
      <c r="N215" s="166">
        <f t="shared" si="152"/>
        <v>199.08070718232048</v>
      </c>
      <c r="O215" s="311">
        <f t="shared" si="152"/>
        <v>199.15700000000001</v>
      </c>
      <c r="P215" s="164" t="e">
        <f>O215+P236/(P237/P305)</f>
        <v>#REF!</v>
      </c>
      <c r="Q215" s="164" t="e">
        <f>AN215+Q236/(Q237/Q305)</f>
        <v>#REF!</v>
      </c>
      <c r="R215" s="164" t="e">
        <f>Q215+R236/(R237/R305)</f>
        <v>#REF!</v>
      </c>
      <c r="S215" s="164"/>
      <c r="T215" s="164"/>
      <c r="U215" s="164"/>
      <c r="V215" s="164"/>
      <c r="W215" s="164"/>
      <c r="X215" s="164"/>
      <c r="Y215" s="164"/>
      <c r="Z215" s="250"/>
      <c r="AA215" s="250"/>
      <c r="AB215" s="250"/>
      <c r="AC215" s="250"/>
      <c r="AD215" s="250">
        <f t="shared" ref="AD215:AM216" si="153">AD213</f>
        <v>174.88300000000001</v>
      </c>
      <c r="AE215" s="250">
        <f t="shared" si="153"/>
        <v>186.744</v>
      </c>
      <c r="AF215" s="304">
        <f t="shared" si="153"/>
        <v>191.54</v>
      </c>
      <c r="AG215" s="304">
        <f t="shared" si="153"/>
        <v>196.04</v>
      </c>
      <c r="AH215" s="304">
        <f t="shared" si="153"/>
        <v>196.959</v>
      </c>
      <c r="AI215" s="304">
        <f t="shared" si="153"/>
        <v>197.33799999999999</v>
      </c>
      <c r="AJ215" s="304">
        <f t="shared" si="153"/>
        <v>197.643</v>
      </c>
      <c r="AK215" s="304">
        <f t="shared" si="153"/>
        <v>198.12700000000001</v>
      </c>
      <c r="AL215" s="304">
        <f t="shared" si="153"/>
        <v>198.559</v>
      </c>
      <c r="AM215" s="312">
        <f t="shared" si="153"/>
        <v>198.976</v>
      </c>
      <c r="AN215" s="304" t="e">
        <f>AVERAGE(O215,P215)</f>
        <v>#REF!</v>
      </c>
      <c r="AO215" s="250" t="e">
        <f>AVERAGE(Q215,R215)</f>
        <v>#REF!</v>
      </c>
      <c r="AP215" s="250" t="e">
        <f>AO215+AP236/(AP237/AP305)</f>
        <v>#REF!</v>
      </c>
      <c r="AQ215" s="250" t="e">
        <f>AP215+AQ236/(AQ237/AQ305)</f>
        <v>#REF!</v>
      </c>
      <c r="AR215" s="250" t="e">
        <f>AQ215+AR236/(AR237/AR305)</f>
        <v>#REF!</v>
      </c>
      <c r="AS215" s="166"/>
    </row>
    <row r="216" spans="1:45" s="167" customFormat="1" x14ac:dyDescent="0.35">
      <c r="A216" s="166" t="s">
        <v>786</v>
      </c>
      <c r="B216" s="315"/>
      <c r="C216" s="166">
        <f t="shared" si="152"/>
        <v>197.40199999999999</v>
      </c>
      <c r="D216" s="166">
        <f t="shared" si="152"/>
        <v>198.80150276243097</v>
      </c>
      <c r="E216" s="166">
        <f t="shared" si="152"/>
        <v>198.56700000000001</v>
      </c>
      <c r="F216" s="166">
        <f t="shared" si="152"/>
        <v>199.45227624309393</v>
      </c>
      <c r="G216" s="166">
        <f t="shared" si="152"/>
        <v>198.77799999999999</v>
      </c>
      <c r="H216" s="166">
        <f t="shared" si="152"/>
        <v>198.92722651933698</v>
      </c>
      <c r="I216" s="166">
        <f t="shared" si="152"/>
        <v>199.048</v>
      </c>
      <c r="J216" s="166">
        <f t="shared" si="152"/>
        <v>199.22094505494502</v>
      </c>
      <c r="K216" s="166">
        <f t="shared" si="152"/>
        <v>199.40100000000001</v>
      </c>
      <c r="L216" s="166">
        <f t="shared" si="152"/>
        <v>199.48569613259673</v>
      </c>
      <c r="M216" s="166">
        <f t="shared" si="152"/>
        <v>199.71700000000001</v>
      </c>
      <c r="N216" s="166">
        <f t="shared" si="152"/>
        <v>199.54559116022105</v>
      </c>
      <c r="O216" s="311">
        <f t="shared" si="152"/>
        <v>199.65600000000001</v>
      </c>
      <c r="P216" s="164" t="e">
        <f>O216+P236/(P237/P305)</f>
        <v>#REF!</v>
      </c>
      <c r="Q216" s="164" t="e">
        <f>P216+Q236/(Q237/Q305)</f>
        <v>#REF!</v>
      </c>
      <c r="R216" s="164" t="e">
        <f>Q216+R236/(R237/R305)</f>
        <v>#REF!</v>
      </c>
      <c r="S216" s="164"/>
      <c r="T216" s="164"/>
      <c r="U216" s="164"/>
      <c r="V216" s="164"/>
      <c r="W216" s="164"/>
      <c r="X216" s="164"/>
      <c r="Y216" s="164"/>
      <c r="Z216" s="250"/>
      <c r="AA216" s="250"/>
      <c r="AB216" s="250"/>
      <c r="AC216" s="250"/>
      <c r="AD216" s="250">
        <f t="shared" si="153"/>
        <v>179.26599999999999</v>
      </c>
      <c r="AE216" s="250">
        <f t="shared" si="153"/>
        <v>194.28399999999999</v>
      </c>
      <c r="AF216" s="304">
        <f t="shared" si="153"/>
        <v>194.768</v>
      </c>
      <c r="AG216" s="304">
        <f t="shared" si="153"/>
        <v>196.73599999999999</v>
      </c>
      <c r="AH216" s="304">
        <f t="shared" si="153"/>
        <v>198.096</v>
      </c>
      <c r="AI216" s="304">
        <f t="shared" si="153"/>
        <v>199.006</v>
      </c>
      <c r="AJ216" s="304">
        <f t="shared" si="153"/>
        <v>198.852</v>
      </c>
      <c r="AK216" s="304">
        <f t="shared" si="153"/>
        <v>199.13399999999999</v>
      </c>
      <c r="AL216" s="304">
        <f t="shared" si="153"/>
        <v>199.44300000000001</v>
      </c>
      <c r="AM216" s="312">
        <f t="shared" si="153"/>
        <v>199.63200000000001</v>
      </c>
      <c r="AN216" s="304" t="e">
        <f>AVERAGE(O216,P216)</f>
        <v>#REF!</v>
      </c>
      <c r="AO216" s="250" t="e">
        <f>AVERAGE(Q216,R216)</f>
        <v>#REF!</v>
      </c>
      <c r="AP216" s="250" t="e">
        <f>R216+AP236/(AP237/AP305)</f>
        <v>#REF!</v>
      </c>
      <c r="AQ216" s="250" t="e">
        <f>AP216+AQ236/(AQ237/AQ305)</f>
        <v>#REF!</v>
      </c>
      <c r="AR216" s="250" t="e">
        <f>AQ216+AR236/(AR237/AR305)</f>
        <v>#REF!</v>
      </c>
      <c r="AS216" s="166"/>
    </row>
    <row r="217" spans="1:45" s="167" customFormat="1" x14ac:dyDescent="0.35">
      <c r="A217" s="263"/>
      <c r="B217" s="315"/>
      <c r="C217" s="164"/>
      <c r="D217" s="164"/>
      <c r="E217" s="164"/>
      <c r="F217" s="164"/>
      <c r="G217" s="164"/>
      <c r="H217" s="164"/>
      <c r="I217" s="164"/>
      <c r="J217" s="164"/>
      <c r="K217" s="164"/>
      <c r="L217" s="164"/>
      <c r="M217" s="164"/>
      <c r="N217" s="164"/>
      <c r="O217" s="165"/>
      <c r="P217" s="164"/>
      <c r="Q217" s="164"/>
      <c r="R217" s="164"/>
      <c r="S217" s="164"/>
      <c r="T217" s="164"/>
      <c r="U217" s="164"/>
      <c r="V217" s="164"/>
      <c r="W217" s="164"/>
      <c r="X217" s="164"/>
      <c r="Y217" s="164"/>
      <c r="Z217" s="250"/>
      <c r="AA217" s="250"/>
      <c r="AB217" s="250"/>
      <c r="AC217" s="250"/>
      <c r="AD217" s="250"/>
      <c r="AE217" s="250"/>
      <c r="AF217" s="250"/>
      <c r="AG217" s="250"/>
      <c r="AH217" s="250"/>
      <c r="AI217" s="250"/>
      <c r="AJ217" s="250"/>
      <c r="AK217" s="250"/>
      <c r="AL217" s="250"/>
      <c r="AM217" s="264"/>
      <c r="AN217" s="250"/>
      <c r="AO217" s="250"/>
      <c r="AP217" s="250"/>
      <c r="AQ217" s="250"/>
      <c r="AR217" s="250"/>
      <c r="AS217" s="166"/>
    </row>
    <row r="218" spans="1:45" s="167" customFormat="1" x14ac:dyDescent="0.35">
      <c r="A218" s="465" t="s">
        <v>787</v>
      </c>
      <c r="B218" s="466"/>
      <c r="C218" s="467"/>
      <c r="D218" s="467"/>
      <c r="E218" s="467"/>
      <c r="F218" s="467"/>
      <c r="G218" s="467"/>
      <c r="H218" s="467"/>
      <c r="I218" s="467"/>
      <c r="J218" s="467"/>
      <c r="K218" s="467"/>
      <c r="L218" s="467"/>
      <c r="M218" s="467"/>
      <c r="N218" s="467"/>
      <c r="O218" s="468"/>
      <c r="P218" s="467"/>
      <c r="Q218" s="467"/>
      <c r="R218" s="467"/>
      <c r="S218" s="467"/>
      <c r="T218" s="467"/>
      <c r="U218" s="467"/>
      <c r="V218" s="467"/>
      <c r="W218" s="467"/>
      <c r="X218" s="467"/>
      <c r="Y218" s="467"/>
      <c r="Z218" s="467"/>
      <c r="AA218" s="467"/>
      <c r="AB218" s="467"/>
      <c r="AC218" s="467"/>
      <c r="AD218" s="467"/>
      <c r="AE218" s="467"/>
      <c r="AF218" s="467"/>
      <c r="AG218" s="467"/>
      <c r="AH218" s="467"/>
      <c r="AI218" s="467"/>
      <c r="AJ218" s="467"/>
      <c r="AK218" s="467"/>
      <c r="AL218" s="467"/>
      <c r="AM218" s="468"/>
      <c r="AN218" s="467"/>
      <c r="AO218" s="467"/>
      <c r="AP218" s="467"/>
      <c r="AQ218" s="467"/>
      <c r="AR218" s="467"/>
      <c r="AS218" s="166"/>
    </row>
    <row r="219" spans="1:45" s="167" customFormat="1" outlineLevel="1" x14ac:dyDescent="0.35">
      <c r="A219" s="263" t="s">
        <v>788</v>
      </c>
      <c r="B219" s="315"/>
      <c r="C219" s="164"/>
      <c r="D219" s="164">
        <f>AH219</f>
        <v>197.606143</v>
      </c>
      <c r="E219" s="164"/>
      <c r="F219" s="164">
        <f>AI219</f>
        <v>197.950695</v>
      </c>
      <c r="G219" s="164"/>
      <c r="H219" s="164">
        <f>AJ219</f>
        <v>198.250486</v>
      </c>
      <c r="I219" s="164"/>
      <c r="J219" s="164">
        <f>AK219</f>
        <v>198.679171</v>
      </c>
      <c r="K219" s="164"/>
      <c r="L219" s="164">
        <f>AL219</f>
        <v>199.04181</v>
      </c>
      <c r="M219" s="164"/>
      <c r="N219" s="164"/>
      <c r="O219" s="165"/>
      <c r="P219" s="164"/>
      <c r="Q219" s="164"/>
      <c r="R219" s="164"/>
      <c r="S219" s="164"/>
      <c r="T219" s="164"/>
      <c r="U219" s="164"/>
      <c r="V219" s="164"/>
      <c r="W219" s="164"/>
      <c r="X219" s="164"/>
      <c r="Y219" s="164"/>
      <c r="Z219" s="250"/>
      <c r="AA219" s="250"/>
      <c r="AB219" s="250"/>
      <c r="AC219" s="250"/>
      <c r="AD219" s="250"/>
      <c r="AE219" s="250"/>
      <c r="AF219" s="250"/>
      <c r="AG219" s="251">
        <v>197.40614299999999</v>
      </c>
      <c r="AH219" s="251">
        <v>197.606143</v>
      </c>
      <c r="AI219" s="251">
        <v>197.950695</v>
      </c>
      <c r="AJ219" s="251">
        <v>198.250486</v>
      </c>
      <c r="AK219" s="251">
        <v>198.679171</v>
      </c>
      <c r="AL219" s="251">
        <v>199.04181</v>
      </c>
      <c r="AM219" s="252">
        <v>199.35407599999999</v>
      </c>
      <c r="AN219" s="250"/>
      <c r="AO219" s="250"/>
      <c r="AP219" s="250"/>
      <c r="AQ219" s="250"/>
      <c r="AR219" s="250"/>
      <c r="AS219" s="166"/>
    </row>
    <row r="220" spans="1:45" s="167" customFormat="1" x14ac:dyDescent="0.35">
      <c r="A220" s="263"/>
      <c r="B220" s="315"/>
      <c r="C220" s="164"/>
      <c r="D220" s="164"/>
      <c r="E220" s="164"/>
      <c r="F220" s="164"/>
      <c r="G220" s="164"/>
      <c r="H220" s="164"/>
      <c r="I220" s="164"/>
      <c r="J220" s="164"/>
      <c r="K220" s="164"/>
      <c r="L220" s="164"/>
      <c r="M220" s="164"/>
      <c r="N220" s="164"/>
      <c r="O220" s="165"/>
      <c r="P220" s="164"/>
      <c r="Q220" s="164"/>
      <c r="R220" s="164"/>
      <c r="S220" s="164"/>
      <c r="T220" s="164"/>
      <c r="U220" s="164"/>
      <c r="V220" s="164"/>
      <c r="W220" s="164"/>
      <c r="X220" s="164"/>
      <c r="Y220" s="164"/>
      <c r="Z220" s="250"/>
      <c r="AA220" s="250"/>
      <c r="AB220" s="250"/>
      <c r="AC220" s="250"/>
      <c r="AD220" s="250"/>
      <c r="AE220" s="250"/>
      <c r="AF220" s="250"/>
      <c r="AG220" s="250"/>
      <c r="AH220" s="250"/>
      <c r="AI220" s="250"/>
      <c r="AJ220" s="250"/>
      <c r="AK220" s="250"/>
      <c r="AL220" s="250"/>
      <c r="AM220" s="264"/>
      <c r="AN220" s="250"/>
      <c r="AO220" s="250"/>
      <c r="AP220" s="250"/>
      <c r="AQ220" s="250"/>
      <c r="AR220" s="250"/>
      <c r="AS220" s="166"/>
    </row>
    <row r="221" spans="1:45" s="167" customFormat="1" x14ac:dyDescent="0.35">
      <c r="A221" s="242" t="s">
        <v>789</v>
      </c>
      <c r="B221" s="243"/>
      <c r="C221" s="243"/>
      <c r="D221" s="243"/>
      <c r="E221" s="243"/>
      <c r="F221" s="243"/>
      <c r="G221" s="243"/>
      <c r="H221" s="243"/>
      <c r="I221" s="243"/>
      <c r="J221" s="243"/>
      <c r="K221" s="243"/>
      <c r="L221" s="243"/>
      <c r="M221" s="243"/>
      <c r="N221" s="243"/>
      <c r="O221" s="245"/>
      <c r="P221" s="243"/>
      <c r="Q221" s="243"/>
      <c r="R221" s="243"/>
      <c r="S221" s="243"/>
      <c r="T221" s="243"/>
      <c r="U221" s="243"/>
      <c r="V221" s="243"/>
      <c r="W221" s="243"/>
      <c r="X221" s="243"/>
      <c r="Y221" s="243"/>
      <c r="Z221" s="243"/>
      <c r="AA221" s="243"/>
      <c r="AB221" s="243"/>
      <c r="AC221" s="243"/>
      <c r="AD221" s="243"/>
      <c r="AE221" s="243"/>
      <c r="AF221" s="243"/>
      <c r="AG221" s="243"/>
      <c r="AH221" s="243"/>
      <c r="AI221" s="243"/>
      <c r="AJ221" s="243"/>
      <c r="AK221" s="243"/>
      <c r="AL221" s="243"/>
      <c r="AM221" s="245"/>
      <c r="AN221" s="243"/>
      <c r="AO221" s="243"/>
      <c r="AP221" s="243"/>
      <c r="AQ221" s="243"/>
      <c r="AR221" s="243"/>
      <c r="AS221" s="166"/>
    </row>
    <row r="222" spans="1:45" s="167" customFormat="1" hidden="1" outlineLevel="1" x14ac:dyDescent="0.35">
      <c r="A222" s="166" t="s">
        <v>790</v>
      </c>
      <c r="B222" s="315"/>
      <c r="C222" s="166">
        <f t="shared" ref="C222:R222" si="154">C325</f>
        <v>17.957000000000001</v>
      </c>
      <c r="D222" s="166">
        <f t="shared" si="154"/>
        <v>26.450000000000003</v>
      </c>
      <c r="E222" s="166">
        <f t="shared" si="154"/>
        <v>21.097999999999999</v>
      </c>
      <c r="F222" s="166">
        <f t="shared" si="154"/>
        <v>39.970000000000013</v>
      </c>
      <c r="G222" s="166">
        <f t="shared" si="154"/>
        <v>27.440000000000005</v>
      </c>
      <c r="H222" s="166">
        <f t="shared" si="154"/>
        <v>44.653000000000006</v>
      </c>
      <c r="I222" s="166">
        <f t="shared" si="154"/>
        <v>25.328000000000003</v>
      </c>
      <c r="J222" s="166">
        <f t="shared" si="154"/>
        <v>46.716999999999999</v>
      </c>
      <c r="K222" s="166">
        <f t="shared" si="154"/>
        <v>50.707999999999991</v>
      </c>
      <c r="L222" s="166">
        <f t="shared" si="154"/>
        <v>53.201999999999984</v>
      </c>
      <c r="M222" s="166">
        <f t="shared" si="154"/>
        <v>56.646000000000001</v>
      </c>
      <c r="N222" s="166">
        <f t="shared" si="154"/>
        <v>61.006000000000022</v>
      </c>
      <c r="O222" s="311">
        <f t="shared" si="154"/>
        <v>52.972999999999992</v>
      </c>
      <c r="P222" s="164">
        <f t="shared" si="154"/>
        <v>37.916976171869855</v>
      </c>
      <c r="Q222" s="164">
        <f t="shared" si="154"/>
        <v>41.02454243916884</v>
      </c>
      <c r="R222" s="164">
        <f t="shared" si="154"/>
        <v>41.753492926986439</v>
      </c>
      <c r="S222" s="164"/>
      <c r="T222" s="164"/>
      <c r="U222" s="164"/>
      <c r="V222" s="164"/>
      <c r="W222" s="164"/>
      <c r="X222" s="164"/>
      <c r="Y222" s="164"/>
      <c r="Z222" s="250"/>
      <c r="AA222" s="250"/>
      <c r="AB222" s="250"/>
      <c r="AC222" s="250"/>
      <c r="AD222" s="250">
        <f t="shared" ref="AD222:AR222" si="155">AD325</f>
        <v>23.712</v>
      </c>
      <c r="AE222" s="304">
        <f t="shared" si="155"/>
        <v>26.900999999999996</v>
      </c>
      <c r="AF222" s="304">
        <f t="shared" si="155"/>
        <v>34.442999999999998</v>
      </c>
      <c r="AG222" s="304">
        <f t="shared" si="155"/>
        <v>37.019999999999996</v>
      </c>
      <c r="AH222" s="304">
        <f t="shared" si="155"/>
        <v>44.406999999999996</v>
      </c>
      <c r="AI222" s="304">
        <f t="shared" si="155"/>
        <v>61.068000000000012</v>
      </c>
      <c r="AJ222" s="304">
        <f t="shared" si="155"/>
        <v>72.093000000000018</v>
      </c>
      <c r="AK222" s="304">
        <f t="shared" si="155"/>
        <v>72.045000000000002</v>
      </c>
      <c r="AL222" s="304">
        <f t="shared" si="155"/>
        <v>103.90999999999998</v>
      </c>
      <c r="AM222" s="312">
        <f t="shared" si="155"/>
        <v>117.65199999999999</v>
      </c>
      <c r="AN222" s="304">
        <f t="shared" si="155"/>
        <v>90.889976171869847</v>
      </c>
      <c r="AO222" s="250">
        <f t="shared" si="155"/>
        <v>82.778035366155294</v>
      </c>
      <c r="AP222" s="250">
        <f t="shared" si="155"/>
        <v>89.615968893848077</v>
      </c>
      <c r="AQ222" s="250">
        <f t="shared" si="155"/>
        <v>98.420664942242439</v>
      </c>
      <c r="AR222" s="250">
        <f t="shared" si="155"/>
        <v>107.97264912141895</v>
      </c>
      <c r="AS222" s="166"/>
    </row>
    <row r="223" spans="1:45" s="167" customFormat="1" hidden="1" outlineLevel="1" x14ac:dyDescent="0.35">
      <c r="A223" s="303" t="s">
        <v>791</v>
      </c>
      <c r="B223" s="315"/>
      <c r="C223" s="166">
        <f t="shared" ref="C223:R223" si="156">C224-C222</f>
        <v>2.1630000000000003</v>
      </c>
      <c r="D223" s="166">
        <f t="shared" si="156"/>
        <v>-5.5990000000000038</v>
      </c>
      <c r="E223" s="166">
        <f t="shared" si="156"/>
        <v>-0.50600000000000023</v>
      </c>
      <c r="F223" s="166">
        <f t="shared" si="156"/>
        <v>-3.5109999999999957</v>
      </c>
      <c r="G223" s="166">
        <f t="shared" si="156"/>
        <v>1.0230000000000032</v>
      </c>
      <c r="H223" s="166">
        <f t="shared" si="156"/>
        <v>-8.4569999999999936</v>
      </c>
      <c r="I223" s="166">
        <f t="shared" si="156"/>
        <v>-0.36599999999999966</v>
      </c>
      <c r="J223" s="166">
        <f t="shared" si="156"/>
        <v>-7.5090000000000003</v>
      </c>
      <c r="K223" s="166">
        <f t="shared" si="156"/>
        <v>-6.632000000000005</v>
      </c>
      <c r="L223" s="166">
        <f t="shared" si="156"/>
        <v>-6.0259999999999962</v>
      </c>
      <c r="M223" s="166">
        <f t="shared" si="156"/>
        <v>-10.477999999999994</v>
      </c>
      <c r="N223" s="166">
        <f t="shared" si="156"/>
        <v>-23.529999999999994</v>
      </c>
      <c r="O223" s="311">
        <f t="shared" si="156"/>
        <v>8.1450000000000031</v>
      </c>
      <c r="P223" s="164">
        <f t="shared" si="156"/>
        <v>-5.0924044204440619</v>
      </c>
      <c r="Q223" s="164">
        <f t="shared" si="156"/>
        <v>1.3984025744245088</v>
      </c>
      <c r="R223" s="164">
        <f t="shared" si="156"/>
        <v>-10.984564433979557</v>
      </c>
      <c r="S223" s="164"/>
      <c r="T223" s="164"/>
      <c r="U223" s="164"/>
      <c r="V223" s="164"/>
      <c r="W223" s="164"/>
      <c r="X223" s="164"/>
      <c r="Y223" s="164"/>
      <c r="Z223" s="250"/>
      <c r="AA223" s="250"/>
      <c r="AB223" s="250"/>
      <c r="AC223" s="250"/>
      <c r="AD223" s="250">
        <f t="shared" ref="AD223:AR223" si="157">AD224-AD222</f>
        <v>-6.0550000000000033</v>
      </c>
      <c r="AE223" s="304">
        <f t="shared" si="157"/>
        <v>8.7719999999999985</v>
      </c>
      <c r="AF223" s="304">
        <f t="shared" si="157"/>
        <v>12.968000000000004</v>
      </c>
      <c r="AG223" s="304">
        <f t="shared" si="157"/>
        <v>-7.0949999999999989</v>
      </c>
      <c r="AH223" s="304">
        <f t="shared" si="157"/>
        <v>-3.4359999999999999</v>
      </c>
      <c r="AI223" s="304">
        <f t="shared" si="157"/>
        <v>-4.0169999999999959</v>
      </c>
      <c r="AJ223" s="304">
        <f t="shared" si="157"/>
        <v>-7.4339999999999975</v>
      </c>
      <c r="AK223" s="304">
        <f t="shared" si="157"/>
        <v>-7.875</v>
      </c>
      <c r="AL223" s="304">
        <f t="shared" si="157"/>
        <v>-12.658000000000001</v>
      </c>
      <c r="AM223" s="312">
        <f t="shared" si="157"/>
        <v>-34.007999999999981</v>
      </c>
      <c r="AN223" s="304">
        <f t="shared" si="157"/>
        <v>3.0525955795559412</v>
      </c>
      <c r="AO223" s="250">
        <f t="shared" si="157"/>
        <v>-9.5861618595550482</v>
      </c>
      <c r="AP223" s="250">
        <f t="shared" si="157"/>
        <v>-19.420584941999905</v>
      </c>
      <c r="AQ223" s="250">
        <f t="shared" si="157"/>
        <v>-14.889115122199982</v>
      </c>
      <c r="AR223" s="250">
        <f t="shared" si="157"/>
        <v>-16.378026634419996</v>
      </c>
      <c r="AS223" s="166"/>
    </row>
    <row r="224" spans="1:45" s="167" customFormat="1" collapsed="1" x14ac:dyDescent="0.35">
      <c r="A224" s="256" t="s">
        <v>792</v>
      </c>
      <c r="B224" s="355"/>
      <c r="C224" s="256">
        <f t="shared" ref="C224:R224" si="158">+C329</f>
        <v>20.12</v>
      </c>
      <c r="D224" s="256">
        <f t="shared" si="158"/>
        <v>20.850999999999999</v>
      </c>
      <c r="E224" s="256">
        <f t="shared" si="158"/>
        <v>20.591999999999999</v>
      </c>
      <c r="F224" s="256">
        <f t="shared" si="158"/>
        <v>36.459000000000017</v>
      </c>
      <c r="G224" s="256">
        <f t="shared" si="158"/>
        <v>28.463000000000008</v>
      </c>
      <c r="H224" s="256">
        <f t="shared" si="158"/>
        <v>36.196000000000012</v>
      </c>
      <c r="I224" s="256">
        <f t="shared" si="158"/>
        <v>24.962000000000003</v>
      </c>
      <c r="J224" s="256">
        <f t="shared" si="158"/>
        <v>39.207999999999998</v>
      </c>
      <c r="K224" s="256">
        <f t="shared" si="158"/>
        <v>44.075999999999986</v>
      </c>
      <c r="L224" s="256">
        <f t="shared" si="158"/>
        <v>47.175999999999988</v>
      </c>
      <c r="M224" s="256">
        <f t="shared" si="158"/>
        <v>46.168000000000006</v>
      </c>
      <c r="N224" s="256">
        <f t="shared" si="158"/>
        <v>37.476000000000028</v>
      </c>
      <c r="O224" s="257">
        <f t="shared" si="158"/>
        <v>61.117999999999995</v>
      </c>
      <c r="P224" s="255">
        <f t="shared" si="158"/>
        <v>32.824571751425793</v>
      </c>
      <c r="Q224" s="255">
        <f t="shared" si="158"/>
        <v>42.422945013593349</v>
      </c>
      <c r="R224" s="255">
        <f t="shared" si="158"/>
        <v>30.768928493006882</v>
      </c>
      <c r="S224" s="255"/>
      <c r="T224" s="255"/>
      <c r="U224" s="255"/>
      <c r="V224" s="255"/>
      <c r="W224" s="255"/>
      <c r="X224" s="255"/>
      <c r="Y224" s="255"/>
      <c r="Z224" s="258"/>
      <c r="AA224" s="258"/>
      <c r="AB224" s="258"/>
      <c r="AC224" s="258"/>
      <c r="AD224" s="258">
        <f t="shared" ref="AD224:AR224" si="159">+AD329</f>
        <v>17.656999999999996</v>
      </c>
      <c r="AE224" s="259">
        <f t="shared" si="159"/>
        <v>35.672999999999995</v>
      </c>
      <c r="AF224" s="259">
        <f t="shared" si="159"/>
        <v>47.411000000000001</v>
      </c>
      <c r="AG224" s="259">
        <f t="shared" si="159"/>
        <v>29.924999999999997</v>
      </c>
      <c r="AH224" s="259">
        <f t="shared" si="159"/>
        <v>40.970999999999997</v>
      </c>
      <c r="AI224" s="259">
        <f t="shared" si="159"/>
        <v>57.051000000000016</v>
      </c>
      <c r="AJ224" s="259">
        <f t="shared" si="159"/>
        <v>64.65900000000002</v>
      </c>
      <c r="AK224" s="259">
        <f t="shared" si="159"/>
        <v>64.17</v>
      </c>
      <c r="AL224" s="259">
        <f t="shared" si="159"/>
        <v>91.251999999999981</v>
      </c>
      <c r="AM224" s="260">
        <f t="shared" si="159"/>
        <v>83.644000000000005</v>
      </c>
      <c r="AN224" s="259">
        <f t="shared" si="159"/>
        <v>93.942571751425788</v>
      </c>
      <c r="AO224" s="258">
        <f t="shared" si="159"/>
        <v>73.191873506600245</v>
      </c>
      <c r="AP224" s="258">
        <f t="shared" si="159"/>
        <v>70.195383951848171</v>
      </c>
      <c r="AQ224" s="258">
        <f t="shared" si="159"/>
        <v>83.531549820042457</v>
      </c>
      <c r="AR224" s="258">
        <f t="shared" si="159"/>
        <v>91.594622486998958</v>
      </c>
      <c r="AS224" s="166"/>
    </row>
    <row r="225" spans="1:45" s="454" customFormat="1" hidden="1" outlineLevel="1" x14ac:dyDescent="0.35">
      <c r="A225" s="469" t="s">
        <v>793</v>
      </c>
      <c r="B225" s="447"/>
      <c r="C225" s="470">
        <f t="shared" ref="C225:R225" si="160">C222/C214*100</f>
        <v>9.0966656872777385</v>
      </c>
      <c r="D225" s="470">
        <f t="shared" si="160"/>
        <v>13.304728401177085</v>
      </c>
      <c r="E225" s="470">
        <f t="shared" si="160"/>
        <v>10.625129049640675</v>
      </c>
      <c r="F225" s="470">
        <f t="shared" si="160"/>
        <v>20.039881596179065</v>
      </c>
      <c r="G225" s="470">
        <f t="shared" si="160"/>
        <v>13.804344545170999</v>
      </c>
      <c r="H225" s="470">
        <f t="shared" si="160"/>
        <v>22.446902207053821</v>
      </c>
      <c r="I225" s="470">
        <f t="shared" si="160"/>
        <v>12.724568948193401</v>
      </c>
      <c r="J225" s="470">
        <f t="shared" si="160"/>
        <v>23.449843583020588</v>
      </c>
      <c r="K225" s="470">
        <f t="shared" si="160"/>
        <v>25.430163339200902</v>
      </c>
      <c r="L225" s="470">
        <f t="shared" si="160"/>
        <v>26.669581344136574</v>
      </c>
      <c r="M225" s="470">
        <f t="shared" si="160"/>
        <v>28.363133834375642</v>
      </c>
      <c r="N225" s="470">
        <f t="shared" si="160"/>
        <v>30.57246198489873</v>
      </c>
      <c r="O225" s="471">
        <f t="shared" si="160"/>
        <v>26.532135272668988</v>
      </c>
      <c r="P225" s="472" t="e">
        <f t="shared" si="160"/>
        <v>#REF!</v>
      </c>
      <c r="Q225" s="473" t="e">
        <f t="shared" si="160"/>
        <v>#REF!</v>
      </c>
      <c r="R225" s="472" t="e">
        <f t="shared" si="160"/>
        <v>#REF!</v>
      </c>
      <c r="S225" s="472"/>
      <c r="T225" s="472"/>
      <c r="U225" s="472"/>
      <c r="V225" s="472"/>
      <c r="W225" s="472"/>
      <c r="X225" s="472"/>
      <c r="Y225" s="472"/>
      <c r="Z225" s="474"/>
      <c r="AA225" s="474"/>
      <c r="AB225" s="475"/>
      <c r="AC225" s="475"/>
      <c r="AD225" s="475">
        <f t="shared" ref="AD225:AR225" si="161">AD222/AD214*100</f>
        <v>13.227271205917464</v>
      </c>
      <c r="AE225" s="475">
        <f t="shared" si="161"/>
        <v>13.846225113751002</v>
      </c>
      <c r="AF225" s="476">
        <f t="shared" si="161"/>
        <v>17.684116487307975</v>
      </c>
      <c r="AG225" s="476">
        <f t="shared" si="161"/>
        <v>18.817094990240726</v>
      </c>
      <c r="AH225" s="476">
        <f t="shared" si="161"/>
        <v>22.416908973427024</v>
      </c>
      <c r="AI225" s="476">
        <f t="shared" si="161"/>
        <v>30.686511964463385</v>
      </c>
      <c r="AJ225" s="476">
        <f t="shared" si="161"/>
        <v>36.254601412105494</v>
      </c>
      <c r="AK225" s="476">
        <f t="shared" si="161"/>
        <v>36.179155744373134</v>
      </c>
      <c r="AL225" s="476">
        <f t="shared" si="161"/>
        <v>52.100098775088611</v>
      </c>
      <c r="AM225" s="477">
        <f t="shared" si="161"/>
        <v>58.934439368437921</v>
      </c>
      <c r="AN225" s="476" t="e">
        <f t="shared" si="161"/>
        <v>#REF!</v>
      </c>
      <c r="AO225" s="475" t="e">
        <f t="shared" si="161"/>
        <v>#REF!</v>
      </c>
      <c r="AP225" s="475" t="e">
        <f t="shared" si="161"/>
        <v>#REF!</v>
      </c>
      <c r="AQ225" s="475" t="e">
        <f t="shared" si="161"/>
        <v>#REF!</v>
      </c>
      <c r="AR225" s="475" t="e">
        <f t="shared" si="161"/>
        <v>#REF!</v>
      </c>
      <c r="AS225" s="448"/>
    </row>
    <row r="226" spans="1:45" s="454" customFormat="1" collapsed="1" x14ac:dyDescent="0.35">
      <c r="A226" s="469" t="s">
        <v>794</v>
      </c>
      <c r="B226" s="447"/>
      <c r="C226" s="470">
        <f t="shared" ref="C226:R226" si="162">C224/C214*100</f>
        <v>10.192399266471465</v>
      </c>
      <c r="D226" s="470">
        <f t="shared" si="162"/>
        <v>10.488351300300316</v>
      </c>
      <c r="E226" s="470">
        <f t="shared" si="162"/>
        <v>10.370303222589856</v>
      </c>
      <c r="F226" s="470">
        <f t="shared" si="162"/>
        <v>18.279560748438648</v>
      </c>
      <c r="G226" s="470">
        <f t="shared" si="162"/>
        <v>14.318989022930106</v>
      </c>
      <c r="H226" s="470">
        <f t="shared" si="162"/>
        <v>18.195598779175427</v>
      </c>
      <c r="I226" s="470">
        <f t="shared" si="162"/>
        <v>12.540693702021624</v>
      </c>
      <c r="J226" s="470">
        <f t="shared" si="162"/>
        <v>19.680661583643456</v>
      </c>
      <c r="K226" s="470">
        <f t="shared" si="162"/>
        <v>22.104202085245301</v>
      </c>
      <c r="L226" s="470">
        <f t="shared" si="162"/>
        <v>23.648813380906486</v>
      </c>
      <c r="M226" s="470">
        <f t="shared" si="162"/>
        <v>23.11671014485497</v>
      </c>
      <c r="N226" s="470">
        <f t="shared" si="162"/>
        <v>18.780670513491547</v>
      </c>
      <c r="O226" s="471">
        <f t="shared" si="162"/>
        <v>30.611652041511395</v>
      </c>
      <c r="P226" s="472" t="e">
        <f t="shared" si="162"/>
        <v>#REF!</v>
      </c>
      <c r="Q226" s="473" t="e">
        <f t="shared" si="162"/>
        <v>#REF!</v>
      </c>
      <c r="R226" s="472" t="e">
        <f t="shared" si="162"/>
        <v>#REF!</v>
      </c>
      <c r="S226" s="472"/>
      <c r="T226" s="472"/>
      <c r="U226" s="472"/>
      <c r="V226" s="472"/>
      <c r="W226" s="472"/>
      <c r="X226" s="472"/>
      <c r="Y226" s="472"/>
      <c r="Z226" s="474"/>
      <c r="AA226" s="474"/>
      <c r="AB226" s="475"/>
      <c r="AC226" s="475"/>
      <c r="AD226" s="475">
        <f t="shared" ref="AD226:AR226" si="163">AD224/AD214*100</f>
        <v>9.8496089609853499</v>
      </c>
      <c r="AE226" s="475">
        <f t="shared" si="163"/>
        <v>18.361264952337812</v>
      </c>
      <c r="AF226" s="476">
        <f t="shared" si="163"/>
        <v>24.342294422081658</v>
      </c>
      <c r="AG226" s="476">
        <f t="shared" si="163"/>
        <v>15.210739264801562</v>
      </c>
      <c r="AH226" s="476">
        <f t="shared" si="163"/>
        <v>20.682396413859944</v>
      </c>
      <c r="AI226" s="476">
        <f t="shared" si="163"/>
        <v>28.667979859903731</v>
      </c>
      <c r="AJ226" s="476">
        <f t="shared" si="163"/>
        <v>32.516142658861874</v>
      </c>
      <c r="AK226" s="476">
        <f t="shared" si="163"/>
        <v>32.224532224532226</v>
      </c>
      <c r="AL226" s="476">
        <f t="shared" si="163"/>
        <v>45.753423283845493</v>
      </c>
      <c r="AM226" s="477">
        <f t="shared" si="163"/>
        <v>41.899094333573778</v>
      </c>
      <c r="AN226" s="476" t="e">
        <f t="shared" si="163"/>
        <v>#REF!</v>
      </c>
      <c r="AO226" s="475" t="e">
        <f t="shared" si="163"/>
        <v>#REF!</v>
      </c>
      <c r="AP226" s="475" t="e">
        <f t="shared" si="163"/>
        <v>#REF!</v>
      </c>
      <c r="AQ226" s="475" t="e">
        <f t="shared" si="163"/>
        <v>#REF!</v>
      </c>
      <c r="AR226" s="475" t="e">
        <f t="shared" si="163"/>
        <v>#REF!</v>
      </c>
      <c r="AS226" s="448"/>
    </row>
    <row r="227" spans="1:45" s="464" customFormat="1" x14ac:dyDescent="0.35">
      <c r="A227" s="455" t="str">
        <f>CONCATENATE("Consensus Estimates - ",IFERROR(LEFT(A226,FIND("(",A226)-1),A226))</f>
        <v>Consensus Estimates - Cash Flow Per Diluted Share, p</v>
      </c>
      <c r="B227" s="456"/>
      <c r="C227" s="457"/>
      <c r="D227" s="457"/>
      <c r="E227" s="457"/>
      <c r="F227" s="457"/>
      <c r="G227" s="457"/>
      <c r="H227" s="457"/>
      <c r="I227" s="457"/>
      <c r="J227" s="457"/>
      <c r="K227" s="478"/>
      <c r="L227" s="457"/>
      <c r="M227" s="478"/>
      <c r="N227" s="457"/>
      <c r="O227" s="479"/>
      <c r="P227" s="460" t="str">
        <f ca="1">IFERROR(VLOOKUP($A227,tb_ConsensusEstimate,MATCH(P$5,OFFSET(tb_ConsensusEstimate,0,0,1,COLUMNS(tb_ConsensusEstimate)),0),FALSE),"-")</f>
        <v>N/A</v>
      </c>
      <c r="Q227" s="460" t="str">
        <f ca="1">IFERROR(VLOOKUP($A227,tb_ConsensusEstimate,MATCH(Q$5,OFFSET(tb_ConsensusEstimate,0,0,1,COLUMNS(tb_ConsensusEstimate)),0),FALSE),"-")</f>
        <v>N/A</v>
      </c>
      <c r="R227" s="460" t="str">
        <f ca="1">IFERROR(VLOOKUP($A227,tb_ConsensusEstimate,MATCH(R$5,OFFSET(tb_ConsensusEstimate,0,0,1,COLUMNS(tb_ConsensusEstimate)),0),FALSE),"-")</f>
        <v>N/A</v>
      </c>
      <c r="S227" s="460"/>
      <c r="T227" s="460"/>
      <c r="U227" s="460"/>
      <c r="V227" s="460"/>
      <c r="W227" s="460"/>
      <c r="X227" s="460"/>
      <c r="Y227" s="460"/>
      <c r="Z227" s="461"/>
      <c r="AA227" s="461"/>
      <c r="AB227" s="461"/>
      <c r="AC227" s="461"/>
      <c r="AD227" s="461"/>
      <c r="AE227" s="461"/>
      <c r="AF227" s="461"/>
      <c r="AG227" s="461"/>
      <c r="AH227" s="461"/>
      <c r="AI227" s="461"/>
      <c r="AJ227" s="461"/>
      <c r="AK227" s="461"/>
      <c r="AL227" s="461"/>
      <c r="AM227" s="462"/>
      <c r="AN227" s="463" t="str">
        <f ca="1">IFERROR(VLOOKUP($A227,tb_ConsensusEstimate,MATCH(AN$5,OFFSET(tb_ConsensusEstimate,0,0,1,COLUMNS(tb_ConsensusEstimate)),0),FALSE),"-")</f>
        <v>N/A</v>
      </c>
      <c r="AO227" s="463" t="str">
        <f ca="1">IFERROR(VLOOKUP($A227,tb_ConsensusEstimate,MATCH(AO$5,OFFSET(tb_ConsensusEstimate,0,0,1,COLUMNS(tb_ConsensusEstimate)),0),FALSE),"-")</f>
        <v>N/A</v>
      </c>
      <c r="AP227" s="463" t="str">
        <f ca="1">IFERROR(VLOOKUP($A227,tb_ConsensusEstimate,MATCH(AP$5,OFFSET(tb_ConsensusEstimate,0,0,1,COLUMNS(tb_ConsensusEstimate)),0),FALSE),"-")</f>
        <v>N/A</v>
      </c>
      <c r="AQ227" s="463" t="str">
        <f ca="1">IFERROR(VLOOKUP($A227,tb_ConsensusEstimate,MATCH(AQ$5,OFFSET(tb_ConsensusEstimate,0,0,1,COLUMNS(tb_ConsensusEstimate)),0),FALSE),"-")</f>
        <v>N/A</v>
      </c>
      <c r="AR227" s="463" t="str">
        <f ca="1">IFERROR(VLOOKUP($A227,tb_ConsensusEstimate,MATCH(AR$5,OFFSET(tb_ConsensusEstimate,0,0,1,COLUMNS(tb_ConsensusEstimate)),0),FALSE),"-")</f>
        <v>N/A</v>
      </c>
      <c r="AS227" s="457"/>
    </row>
    <row r="228" spans="1:45" s="262" customFormat="1" x14ac:dyDescent="0.35">
      <c r="A228" s="480" t="s">
        <v>51</v>
      </c>
      <c r="B228" s="368"/>
      <c r="C228" s="261">
        <f t="shared" ref="C228:O228" si="164">C333+C334</f>
        <v>-1.1000000000000001</v>
      </c>
      <c r="D228" s="261">
        <f t="shared" si="164"/>
        <v>-0.36099999999999993</v>
      </c>
      <c r="E228" s="261">
        <f t="shared" si="164"/>
        <v>-0.59000000000000008</v>
      </c>
      <c r="F228" s="261">
        <f t="shared" si="164"/>
        <v>-0.49399999999999988</v>
      </c>
      <c r="G228" s="261">
        <f t="shared" si="164"/>
        <v>-1.32</v>
      </c>
      <c r="H228" s="261">
        <f t="shared" si="164"/>
        <v>-1.0090000000000001</v>
      </c>
      <c r="I228" s="261">
        <f t="shared" si="164"/>
        <v>-2.0140000000000002</v>
      </c>
      <c r="J228" s="261">
        <f t="shared" si="164"/>
        <v>-6.9429999999999996</v>
      </c>
      <c r="K228" s="261">
        <f t="shared" si="164"/>
        <v>-3.629</v>
      </c>
      <c r="L228" s="261">
        <f t="shared" si="164"/>
        <v>-2.835</v>
      </c>
      <c r="M228" s="261">
        <f t="shared" si="164"/>
        <v>-2.8140000000000001</v>
      </c>
      <c r="N228" s="261">
        <f t="shared" si="164"/>
        <v>-2.41</v>
      </c>
      <c r="O228" s="421">
        <f t="shared" si="164"/>
        <v>-1.413</v>
      </c>
      <c r="P228" s="394">
        <v>-3</v>
      </c>
      <c r="Q228" s="394">
        <v>-3</v>
      </c>
      <c r="R228" s="394">
        <v>-3</v>
      </c>
      <c r="S228" s="394"/>
      <c r="T228" s="394"/>
      <c r="U228" s="394"/>
      <c r="V228" s="394"/>
      <c r="W228" s="394"/>
      <c r="X228" s="394"/>
      <c r="Y228" s="481"/>
      <c r="Z228" s="309"/>
      <c r="AA228" s="309"/>
      <c r="AB228" s="309"/>
      <c r="AC228" s="309"/>
      <c r="AD228" s="309">
        <f t="shared" ref="AD228:AO228" si="165">AD333+AD334</f>
        <v>-3.097</v>
      </c>
      <c r="AE228" s="420">
        <f t="shared" si="165"/>
        <v>-2.1520000000000001</v>
      </c>
      <c r="AF228" s="420">
        <f t="shared" si="165"/>
        <v>-2.5049999999999999</v>
      </c>
      <c r="AG228" s="420">
        <f t="shared" si="165"/>
        <v>-1.726</v>
      </c>
      <c r="AH228" s="420">
        <f t="shared" si="165"/>
        <v>-1.4609999999999999</v>
      </c>
      <c r="AI228" s="420">
        <f t="shared" si="165"/>
        <v>-1.0840000000000001</v>
      </c>
      <c r="AJ228" s="420">
        <f t="shared" si="165"/>
        <v>-2.3290000000000002</v>
      </c>
      <c r="AK228" s="420">
        <f t="shared" si="165"/>
        <v>-8.956999999999999</v>
      </c>
      <c r="AL228" s="420">
        <f t="shared" si="165"/>
        <v>-6.4640000000000004</v>
      </c>
      <c r="AM228" s="422">
        <f t="shared" si="165"/>
        <v>-5.2240000000000002</v>
      </c>
      <c r="AN228" s="420">
        <f t="shared" si="165"/>
        <v>-4.4130000000000003</v>
      </c>
      <c r="AO228" s="309">
        <f t="shared" si="165"/>
        <v>-6</v>
      </c>
      <c r="AP228" s="396">
        <v>-6</v>
      </c>
      <c r="AQ228" s="396">
        <v>-6</v>
      </c>
      <c r="AR228" s="396">
        <v>-6</v>
      </c>
      <c r="AS228" s="261"/>
    </row>
    <row r="229" spans="1:45" s="432" customFormat="1" x14ac:dyDescent="0.35">
      <c r="A229" s="423" t="str">
        <f>CONCATENATE("Consensus Estimates - ",IFERROR(LEFT(A228,FIND("(",A228)-1),A228))</f>
        <v>Consensus Estimates - Capex</v>
      </c>
      <c r="B229" s="424"/>
      <c r="C229" s="425"/>
      <c r="D229" s="425"/>
      <c r="E229" s="425"/>
      <c r="F229" s="425"/>
      <c r="G229" s="425"/>
      <c r="H229" s="425"/>
      <c r="I229" s="425"/>
      <c r="J229" s="425"/>
      <c r="K229" s="426"/>
      <c r="L229" s="425"/>
      <c r="M229" s="426"/>
      <c r="N229" s="425"/>
      <c r="O229" s="427"/>
      <c r="P229" s="428" t="str">
        <f ca="1">IFERROR(VLOOKUP($A229,tb_ConsensusEstimate,MATCH(P$5,OFFSET(tb_ConsensusEstimate,0,0,1,COLUMNS(tb_ConsensusEstimate)),0),FALSE),"-")</f>
        <v>N/A</v>
      </c>
      <c r="Q229" s="428" t="str">
        <f ca="1">IFERROR(VLOOKUP($A229,tb_ConsensusEstimate,MATCH(Q$5,OFFSET(tb_ConsensusEstimate,0,0,1,COLUMNS(tb_ConsensusEstimate)),0),FALSE),"-")</f>
        <v>N/A</v>
      </c>
      <c r="R229" s="428" t="str">
        <f ca="1">IFERROR(VLOOKUP($A229,tb_ConsensusEstimate,MATCH(R$5,OFFSET(tb_ConsensusEstimate,0,0,1,COLUMNS(tb_ConsensusEstimate)),0),FALSE),"-")</f>
        <v>N/A</v>
      </c>
      <c r="S229" s="428"/>
      <c r="T229" s="428"/>
      <c r="U229" s="428"/>
      <c r="V229" s="428"/>
      <c r="W229" s="428"/>
      <c r="X229" s="428"/>
      <c r="Y229" s="428"/>
      <c r="Z229" s="429"/>
      <c r="AA229" s="429"/>
      <c r="AB229" s="429"/>
      <c r="AC229" s="429"/>
      <c r="AD229" s="429"/>
      <c r="AE229" s="429"/>
      <c r="AF229" s="429"/>
      <c r="AG229" s="429"/>
      <c r="AH229" s="429"/>
      <c r="AI229" s="429"/>
      <c r="AJ229" s="429"/>
      <c r="AK229" s="429"/>
      <c r="AL229" s="429"/>
      <c r="AM229" s="430"/>
      <c r="AN229" s="431" t="str">
        <f ca="1">IFERROR(VLOOKUP($A229,tb_ConsensusEstimate,MATCH(AN$5,OFFSET(tb_ConsensusEstimate,0,0,1,COLUMNS(tb_ConsensusEstimate)),0),FALSE),"-")</f>
        <v>N/A</v>
      </c>
      <c r="AO229" s="431" t="str">
        <f ca="1">IFERROR(VLOOKUP($A229,tb_ConsensusEstimate,MATCH(AO$5,OFFSET(tb_ConsensusEstimate,0,0,1,COLUMNS(tb_ConsensusEstimate)),0),FALSE),"-")</f>
        <v>N/A</v>
      </c>
      <c r="AP229" s="431" t="str">
        <f ca="1">IFERROR(VLOOKUP($A229,tb_ConsensusEstimate,MATCH(AP$5,OFFSET(tb_ConsensusEstimate,0,0,1,COLUMNS(tb_ConsensusEstimate)),0),FALSE),"-")</f>
        <v>N/A</v>
      </c>
      <c r="AQ229" s="431" t="str">
        <f ca="1">IFERROR(VLOOKUP($A229,tb_ConsensusEstimate,MATCH(AQ$5,OFFSET(tb_ConsensusEstimate,0,0,1,COLUMNS(tb_ConsensusEstimate)),0),FALSE),"-")</f>
        <v>N/A</v>
      </c>
      <c r="AR229" s="431" t="str">
        <f ca="1">IFERROR(VLOOKUP($A229,tb_ConsensusEstimate,MATCH(AR$5,OFFSET(tb_ConsensusEstimate,0,0,1,COLUMNS(tb_ConsensusEstimate)),0),FALSE),"-")</f>
        <v>N/A</v>
      </c>
      <c r="AS229" s="425"/>
    </row>
    <row r="230" spans="1:45" s="167" customFormat="1" x14ac:dyDescent="0.35">
      <c r="A230" s="166" t="s">
        <v>795</v>
      </c>
      <c r="B230" s="315"/>
      <c r="C230" s="166">
        <f t="shared" ref="C230:O231" si="166">C335</f>
        <v>0</v>
      </c>
      <c r="D230" s="166">
        <f t="shared" si="166"/>
        <v>0</v>
      </c>
      <c r="E230" s="166">
        <f t="shared" si="166"/>
        <v>0</v>
      </c>
      <c r="F230" s="166">
        <f t="shared" si="166"/>
        <v>0</v>
      </c>
      <c r="G230" s="166">
        <f t="shared" si="166"/>
        <v>0</v>
      </c>
      <c r="H230" s="166">
        <f t="shared" si="166"/>
        <v>0</v>
      </c>
      <c r="I230" s="166">
        <f t="shared" si="166"/>
        <v>0</v>
      </c>
      <c r="J230" s="166">
        <f t="shared" si="166"/>
        <v>0</v>
      </c>
      <c r="K230" s="166">
        <f t="shared" si="166"/>
        <v>0</v>
      </c>
      <c r="L230" s="166">
        <f t="shared" si="166"/>
        <v>0</v>
      </c>
      <c r="M230" s="166">
        <f t="shared" si="166"/>
        <v>0</v>
      </c>
      <c r="N230" s="166">
        <f t="shared" si="166"/>
        <v>0</v>
      </c>
      <c r="O230" s="311">
        <f t="shared" si="166"/>
        <v>0</v>
      </c>
      <c r="P230" s="248">
        <v>0</v>
      </c>
      <c r="Q230" s="248">
        <v>0</v>
      </c>
      <c r="R230" s="248">
        <v>0</v>
      </c>
      <c r="S230" s="248"/>
      <c r="T230" s="248"/>
      <c r="U230" s="248"/>
      <c r="V230" s="248"/>
      <c r="W230" s="248"/>
      <c r="X230" s="248"/>
      <c r="Y230" s="482"/>
      <c r="Z230" s="250"/>
      <c r="AA230" s="250"/>
      <c r="AB230" s="250"/>
      <c r="AC230" s="250"/>
      <c r="AD230" s="250">
        <f t="shared" ref="AD230:AO231" si="167">AD335</f>
        <v>0</v>
      </c>
      <c r="AE230" s="304">
        <f t="shared" si="167"/>
        <v>0</v>
      </c>
      <c r="AF230" s="304">
        <f t="shared" si="167"/>
        <v>0</v>
      </c>
      <c r="AG230" s="304">
        <f t="shared" si="167"/>
        <v>0</v>
      </c>
      <c r="AH230" s="304">
        <f t="shared" si="167"/>
        <v>0</v>
      </c>
      <c r="AI230" s="304">
        <f t="shared" si="167"/>
        <v>0</v>
      </c>
      <c r="AJ230" s="304">
        <f t="shared" si="167"/>
        <v>0</v>
      </c>
      <c r="AK230" s="304">
        <f t="shared" si="167"/>
        <v>0</v>
      </c>
      <c r="AL230" s="304">
        <f t="shared" si="167"/>
        <v>0</v>
      </c>
      <c r="AM230" s="312">
        <f t="shared" si="167"/>
        <v>0</v>
      </c>
      <c r="AN230" s="304">
        <f t="shared" si="167"/>
        <v>0</v>
      </c>
      <c r="AO230" s="250">
        <f t="shared" si="167"/>
        <v>0</v>
      </c>
      <c r="AP230" s="251">
        <v>0</v>
      </c>
      <c r="AQ230" s="251">
        <v>0</v>
      </c>
      <c r="AR230" s="251">
        <v>0</v>
      </c>
      <c r="AS230" s="166"/>
    </row>
    <row r="231" spans="1:45" s="167" customFormat="1" x14ac:dyDescent="0.35">
      <c r="A231" s="166" t="s">
        <v>796</v>
      </c>
      <c r="B231" s="315"/>
      <c r="C231" s="166">
        <f t="shared" si="166"/>
        <v>7.0000000000000001E-3</v>
      </c>
      <c r="D231" s="166">
        <f t="shared" si="166"/>
        <v>0</v>
      </c>
      <c r="E231" s="166">
        <f t="shared" si="166"/>
        <v>0</v>
      </c>
      <c r="F231" s="166">
        <f t="shared" si="166"/>
        <v>0</v>
      </c>
      <c r="G231" s="166">
        <f t="shared" si="166"/>
        <v>0</v>
      </c>
      <c r="H231" s="166">
        <f t="shared" si="166"/>
        <v>0</v>
      </c>
      <c r="I231" s="166">
        <f t="shared" si="166"/>
        <v>0</v>
      </c>
      <c r="J231" s="166">
        <f t="shared" si="166"/>
        <v>0</v>
      </c>
      <c r="K231" s="166">
        <f t="shared" si="166"/>
        <v>0</v>
      </c>
      <c r="L231" s="166">
        <f t="shared" si="166"/>
        <v>0</v>
      </c>
      <c r="M231" s="166">
        <f t="shared" si="166"/>
        <v>0</v>
      </c>
      <c r="N231" s="166">
        <f t="shared" si="166"/>
        <v>0</v>
      </c>
      <c r="O231" s="311">
        <f t="shared" si="166"/>
        <v>0</v>
      </c>
      <c r="P231" s="248">
        <v>0</v>
      </c>
      <c r="Q231" s="248">
        <v>0</v>
      </c>
      <c r="R231" s="248">
        <v>0</v>
      </c>
      <c r="S231" s="248"/>
      <c r="T231" s="248"/>
      <c r="U231" s="248"/>
      <c r="V231" s="248"/>
      <c r="W231" s="248"/>
      <c r="X231" s="248"/>
      <c r="Y231" s="482"/>
      <c r="Z231" s="250"/>
      <c r="AA231" s="250"/>
      <c r="AB231" s="250"/>
      <c r="AC231" s="250"/>
      <c r="AD231" s="250">
        <f t="shared" si="167"/>
        <v>0</v>
      </c>
      <c r="AE231" s="304">
        <f t="shared" si="167"/>
        <v>0</v>
      </c>
      <c r="AF231" s="304">
        <f t="shared" si="167"/>
        <v>4.0000000000000001E-3</v>
      </c>
      <c r="AG231" s="304">
        <f t="shared" si="167"/>
        <v>1.0999999999999999E-2</v>
      </c>
      <c r="AH231" s="304">
        <f t="shared" si="167"/>
        <v>7.0000000000000001E-3</v>
      </c>
      <c r="AI231" s="304">
        <f t="shared" si="167"/>
        <v>0</v>
      </c>
      <c r="AJ231" s="304">
        <f t="shared" si="167"/>
        <v>0</v>
      </c>
      <c r="AK231" s="304">
        <f t="shared" si="167"/>
        <v>0</v>
      </c>
      <c r="AL231" s="304">
        <f t="shared" si="167"/>
        <v>0</v>
      </c>
      <c r="AM231" s="312">
        <f t="shared" si="167"/>
        <v>0</v>
      </c>
      <c r="AN231" s="304">
        <f t="shared" si="167"/>
        <v>0</v>
      </c>
      <c r="AO231" s="250">
        <f t="shared" si="167"/>
        <v>0</v>
      </c>
      <c r="AP231" s="251">
        <v>0</v>
      </c>
      <c r="AQ231" s="251">
        <v>0</v>
      </c>
      <c r="AR231" s="251">
        <v>0</v>
      </c>
      <c r="AS231" s="166"/>
    </row>
    <row r="232" spans="1:45" s="167" customFormat="1" x14ac:dyDescent="0.35">
      <c r="A232" s="166" t="s">
        <v>797</v>
      </c>
      <c r="B232" s="315"/>
      <c r="C232" s="166">
        <f t="shared" ref="C232:O232" si="168">C345</f>
        <v>-35.173999999999999</v>
      </c>
      <c r="D232" s="166">
        <f t="shared" si="168"/>
        <v>-5.730000000000004</v>
      </c>
      <c r="E232" s="166">
        <f t="shared" si="168"/>
        <v>-38.79</v>
      </c>
      <c r="F232" s="166">
        <f t="shared" si="168"/>
        <v>-6.5309999999999988</v>
      </c>
      <c r="G232" s="166">
        <f t="shared" si="168"/>
        <v>-47.31</v>
      </c>
      <c r="H232" s="166">
        <f t="shared" si="168"/>
        <v>-8.9209999999999994</v>
      </c>
      <c r="I232" s="166">
        <f t="shared" si="168"/>
        <v>-52.338000000000001</v>
      </c>
      <c r="J232" s="166">
        <f t="shared" si="168"/>
        <v>0</v>
      </c>
      <c r="K232" s="166">
        <f t="shared" si="168"/>
        <v>-48.081000000000003</v>
      </c>
      <c r="L232" s="166">
        <f t="shared" si="168"/>
        <v>-12.733999999999995</v>
      </c>
      <c r="M232" s="166">
        <f t="shared" si="168"/>
        <v>-69.468999999999994</v>
      </c>
      <c r="N232" s="166">
        <f t="shared" si="168"/>
        <v>-14.551000000000002</v>
      </c>
      <c r="O232" s="311">
        <f t="shared" si="168"/>
        <v>-58.22</v>
      </c>
      <c r="P232" s="164" t="e">
        <f>P233*-P213/100</f>
        <v>#REF!</v>
      </c>
      <c r="Q232" s="164" t="e">
        <f>Q233*-Q213/100</f>
        <v>#REF!</v>
      </c>
      <c r="R232" s="164" t="e">
        <f>R233*-R213/100</f>
        <v>#REF!</v>
      </c>
      <c r="S232" s="164"/>
      <c r="T232" s="164"/>
      <c r="U232" s="164"/>
      <c r="V232" s="164"/>
      <c r="W232" s="164"/>
      <c r="X232" s="164"/>
      <c r="Y232" s="164"/>
      <c r="Z232" s="250"/>
      <c r="AA232" s="250"/>
      <c r="AB232" s="250"/>
      <c r="AC232" s="250"/>
      <c r="AD232" s="250">
        <f t="shared" ref="AD232:AO232" si="169">AD345</f>
        <v>-17.266999999999999</v>
      </c>
      <c r="AE232" s="304">
        <f t="shared" si="169"/>
        <v>-4.766</v>
      </c>
      <c r="AF232" s="304">
        <f t="shared" si="169"/>
        <v>-7.3109999999999999</v>
      </c>
      <c r="AG232" s="304">
        <f t="shared" si="169"/>
        <v>-43.453000000000003</v>
      </c>
      <c r="AH232" s="304">
        <f t="shared" si="169"/>
        <v>-40.904000000000003</v>
      </c>
      <c r="AI232" s="304">
        <f t="shared" si="169"/>
        <v>-45.320999999999998</v>
      </c>
      <c r="AJ232" s="304">
        <f t="shared" si="169"/>
        <v>-56.231000000000002</v>
      </c>
      <c r="AK232" s="304">
        <f t="shared" si="169"/>
        <v>-52.338000000000001</v>
      </c>
      <c r="AL232" s="304">
        <f t="shared" si="169"/>
        <v>-60.814999999999998</v>
      </c>
      <c r="AM232" s="312">
        <f t="shared" si="169"/>
        <v>-84.02</v>
      </c>
      <c r="AN232" s="304" t="e">
        <f t="shared" si="169"/>
        <v>#REF!</v>
      </c>
      <c r="AO232" s="250" t="e">
        <f t="shared" si="169"/>
        <v>#REF!</v>
      </c>
      <c r="AP232" s="250" t="e">
        <f>AP233*-AP213/100</f>
        <v>#REF!</v>
      </c>
      <c r="AQ232" s="250" t="e">
        <f>AQ233*-AQ213/100</f>
        <v>#REF!</v>
      </c>
      <c r="AR232" s="250" t="e">
        <f>AR233*-AR213/100</f>
        <v>#REF!</v>
      </c>
      <c r="AS232" s="166"/>
    </row>
    <row r="233" spans="1:45" s="493" customFormat="1" x14ac:dyDescent="0.35">
      <c r="A233" s="483" t="s">
        <v>798</v>
      </c>
      <c r="B233" s="484"/>
      <c r="C233" s="485">
        <f>3.6+14.2</f>
        <v>17.8</v>
      </c>
      <c r="D233" s="485">
        <v>2.9</v>
      </c>
      <c r="E233" s="485">
        <f>6.1+13.5</f>
        <v>19.600000000000001</v>
      </c>
      <c r="F233" s="485">
        <v>3.3</v>
      </c>
      <c r="G233" s="485">
        <f>8.8+15.1</f>
        <v>23.9</v>
      </c>
      <c r="H233" s="485">
        <v>4.5</v>
      </c>
      <c r="I233" s="485">
        <f>10.4+16</f>
        <v>26.4</v>
      </c>
      <c r="J233" s="485">
        <v>0</v>
      </c>
      <c r="K233" s="485">
        <f>16.6+7.6</f>
        <v>24.200000000000003</v>
      </c>
      <c r="L233" s="485">
        <v>6.4</v>
      </c>
      <c r="M233" s="485">
        <f>14.4+20.5</f>
        <v>34.9</v>
      </c>
      <c r="N233" s="485">
        <v>7.3</v>
      </c>
      <c r="O233" s="486">
        <f>16.6+12.6</f>
        <v>29.200000000000003</v>
      </c>
      <c r="P233" s="485">
        <v>8</v>
      </c>
      <c r="Q233" s="485">
        <v>29.2</v>
      </c>
      <c r="R233" s="485">
        <v>8</v>
      </c>
      <c r="S233" s="485"/>
      <c r="T233" s="485"/>
      <c r="U233" s="485"/>
      <c r="V233" s="485"/>
      <c r="W233" s="485"/>
      <c r="X233" s="485"/>
      <c r="Y233" s="487"/>
      <c r="Z233" s="488"/>
      <c r="AA233" s="488"/>
      <c r="AB233" s="488"/>
      <c r="AC233" s="488"/>
      <c r="AD233" s="489">
        <v>0</v>
      </c>
      <c r="AE233" s="489">
        <v>0</v>
      </c>
      <c r="AF233" s="489">
        <v>0</v>
      </c>
      <c r="AG233" s="489">
        <v>1.7</v>
      </c>
      <c r="AH233" s="490">
        <f>SUM(C233,D233)</f>
        <v>20.7</v>
      </c>
      <c r="AI233" s="490">
        <f>SUM(E233,F233)</f>
        <v>22.900000000000002</v>
      </c>
      <c r="AJ233" s="490">
        <f>SUM(G233,H233)</f>
        <v>28.4</v>
      </c>
      <c r="AK233" s="490">
        <f>SUM(I233,J233)</f>
        <v>26.4</v>
      </c>
      <c r="AL233" s="490">
        <f>SUM(K233,L233)</f>
        <v>30.6</v>
      </c>
      <c r="AM233" s="491">
        <f>SUM(M233,N233)</f>
        <v>42.199999999999996</v>
      </c>
      <c r="AN233" s="490">
        <f>SUM(O233,P233)</f>
        <v>37.200000000000003</v>
      </c>
      <c r="AO233" s="488">
        <f>SUM(Q233,R233)</f>
        <v>37.200000000000003</v>
      </c>
      <c r="AP233" s="489">
        <v>38</v>
      </c>
      <c r="AQ233" s="489">
        <v>38</v>
      </c>
      <c r="AR233" s="489">
        <v>38</v>
      </c>
      <c r="AS233" s="492"/>
    </row>
    <row r="234" spans="1:45" s="501" customFormat="1" x14ac:dyDescent="0.35">
      <c r="A234" s="494"/>
      <c r="B234" s="495"/>
      <c r="C234" s="496"/>
      <c r="D234" s="496"/>
      <c r="E234" s="496"/>
      <c r="F234" s="496"/>
      <c r="G234" s="496"/>
      <c r="H234" s="496"/>
      <c r="I234" s="496"/>
      <c r="J234" s="496"/>
      <c r="K234" s="496"/>
      <c r="L234" s="496"/>
      <c r="M234" s="496"/>
      <c r="N234" s="496"/>
      <c r="O234" s="497"/>
      <c r="P234" s="496"/>
      <c r="Q234" s="496"/>
      <c r="R234" s="496"/>
      <c r="S234" s="496"/>
      <c r="T234" s="496"/>
      <c r="U234" s="496"/>
      <c r="V234" s="496"/>
      <c r="W234" s="496"/>
      <c r="X234" s="496"/>
      <c r="Y234" s="496"/>
      <c r="Z234" s="498"/>
      <c r="AA234" s="498"/>
      <c r="AB234" s="498"/>
      <c r="AC234" s="498"/>
      <c r="AD234" s="498"/>
      <c r="AE234" s="498"/>
      <c r="AF234" s="498"/>
      <c r="AG234" s="498"/>
      <c r="AH234" s="498"/>
      <c r="AI234" s="498"/>
      <c r="AJ234" s="498"/>
      <c r="AK234" s="498"/>
      <c r="AL234" s="498"/>
      <c r="AM234" s="499"/>
      <c r="AN234" s="498"/>
      <c r="AO234" s="498"/>
      <c r="AP234" s="498"/>
      <c r="AQ234" s="498"/>
      <c r="AR234" s="498"/>
      <c r="AS234" s="500"/>
    </row>
    <row r="235" spans="1:45" s="167" customFormat="1" x14ac:dyDescent="0.35">
      <c r="A235" s="502" t="s">
        <v>799</v>
      </c>
      <c r="B235" s="315"/>
      <c r="C235" s="166">
        <f t="shared" ref="C235:O235" si="170">C342</f>
        <v>0</v>
      </c>
      <c r="D235" s="166">
        <f t="shared" si="170"/>
        <v>0</v>
      </c>
      <c r="E235" s="166">
        <f t="shared" si="170"/>
        <v>0</v>
      </c>
      <c r="F235" s="166">
        <f t="shared" si="170"/>
        <v>0</v>
      </c>
      <c r="G235" s="166">
        <f t="shared" si="170"/>
        <v>0</v>
      </c>
      <c r="H235" s="166">
        <f t="shared" si="170"/>
        <v>0</v>
      </c>
      <c r="I235" s="166">
        <f t="shared" si="170"/>
        <v>0</v>
      </c>
      <c r="J235" s="166">
        <f t="shared" si="170"/>
        <v>0</v>
      </c>
      <c r="K235" s="166">
        <f t="shared" si="170"/>
        <v>0</v>
      </c>
      <c r="L235" s="166">
        <f t="shared" si="170"/>
        <v>0</v>
      </c>
      <c r="M235" s="166">
        <f t="shared" si="170"/>
        <v>0</v>
      </c>
      <c r="N235" s="166">
        <f t="shared" si="170"/>
        <v>0</v>
      </c>
      <c r="O235" s="311">
        <f t="shared" si="170"/>
        <v>0</v>
      </c>
      <c r="P235" s="248">
        <v>0</v>
      </c>
      <c r="Q235" s="248">
        <v>0</v>
      </c>
      <c r="R235" s="248">
        <v>0</v>
      </c>
      <c r="S235" s="248"/>
      <c r="T235" s="248"/>
      <c r="U235" s="248"/>
      <c r="V235" s="248"/>
      <c r="W235" s="248"/>
      <c r="X235" s="248"/>
      <c r="Y235" s="482"/>
      <c r="Z235" s="250"/>
      <c r="AA235" s="250"/>
      <c r="AB235" s="250"/>
      <c r="AC235" s="250"/>
      <c r="AD235" s="250">
        <f t="shared" ref="AD235:AO235" si="171">AD342</f>
        <v>0</v>
      </c>
      <c r="AE235" s="304">
        <f t="shared" si="171"/>
        <v>0</v>
      </c>
      <c r="AF235" s="304">
        <f t="shared" si="171"/>
        <v>0</v>
      </c>
      <c r="AG235" s="304">
        <f t="shared" si="171"/>
        <v>0</v>
      </c>
      <c r="AH235" s="304">
        <f t="shared" si="171"/>
        <v>0</v>
      </c>
      <c r="AI235" s="304">
        <f t="shared" si="171"/>
        <v>0</v>
      </c>
      <c r="AJ235" s="304">
        <f t="shared" si="171"/>
        <v>0</v>
      </c>
      <c r="AK235" s="304">
        <f t="shared" si="171"/>
        <v>0</v>
      </c>
      <c r="AL235" s="304">
        <f t="shared" si="171"/>
        <v>0</v>
      </c>
      <c r="AM235" s="312">
        <f t="shared" si="171"/>
        <v>0</v>
      </c>
      <c r="AN235" s="304">
        <f t="shared" si="171"/>
        <v>0</v>
      </c>
      <c r="AO235" s="250">
        <f t="shared" si="171"/>
        <v>0</v>
      </c>
      <c r="AP235" s="251">
        <v>0</v>
      </c>
      <c r="AQ235" s="251">
        <v>0</v>
      </c>
      <c r="AR235" s="251">
        <v>0</v>
      </c>
      <c r="AS235" s="166"/>
    </row>
    <row r="236" spans="1:45" s="167" customFormat="1" x14ac:dyDescent="0.35">
      <c r="A236" s="502" t="s">
        <v>800</v>
      </c>
      <c r="B236" s="315"/>
      <c r="C236" s="166">
        <f t="shared" ref="C236:O236" si="172">C340+C341</f>
        <v>0.21</v>
      </c>
      <c r="D236" s="166">
        <f t="shared" si="172"/>
        <v>0</v>
      </c>
      <c r="E236" s="166">
        <f t="shared" si="172"/>
        <v>0.315</v>
      </c>
      <c r="F236" s="166">
        <f t="shared" si="172"/>
        <v>0</v>
      </c>
      <c r="G236" s="166">
        <f t="shared" si="172"/>
        <v>0</v>
      </c>
      <c r="H236" s="166">
        <f t="shared" si="172"/>
        <v>0</v>
      </c>
      <c r="I236" s="166">
        <f t="shared" si="172"/>
        <v>0</v>
      </c>
      <c r="J236" s="166">
        <f t="shared" si="172"/>
        <v>-1E-3</v>
      </c>
      <c r="K236" s="166">
        <f t="shared" si="172"/>
        <v>0</v>
      </c>
      <c r="L236" s="166">
        <f t="shared" si="172"/>
        <v>0</v>
      </c>
      <c r="M236" s="166">
        <f t="shared" si="172"/>
        <v>0</v>
      </c>
      <c r="N236" s="166">
        <f t="shared" si="172"/>
        <v>0</v>
      </c>
      <c r="O236" s="311">
        <f t="shared" si="172"/>
        <v>0</v>
      </c>
      <c r="P236" s="248">
        <v>0</v>
      </c>
      <c r="Q236" s="248">
        <v>0</v>
      </c>
      <c r="R236" s="248">
        <v>0</v>
      </c>
      <c r="S236" s="248"/>
      <c r="T236" s="248"/>
      <c r="U236" s="248"/>
      <c r="V236" s="248"/>
      <c r="W236" s="248"/>
      <c r="X236" s="248"/>
      <c r="Y236" s="482"/>
      <c r="Z236" s="250"/>
      <c r="AA236" s="250"/>
      <c r="AB236" s="250"/>
      <c r="AC236" s="250"/>
      <c r="AD236" s="250">
        <f t="shared" ref="AD236:AO236" si="173">AD340+AD341</f>
        <v>0</v>
      </c>
      <c r="AE236" s="304">
        <f t="shared" si="173"/>
        <v>0.17399999999999999</v>
      </c>
      <c r="AF236" s="304">
        <f t="shared" si="173"/>
        <v>0.97699999999999998</v>
      </c>
      <c r="AG236" s="304">
        <f t="shared" si="173"/>
        <v>0.51300000000000001</v>
      </c>
      <c r="AH236" s="304">
        <f t="shared" si="173"/>
        <v>0.21</v>
      </c>
      <c r="AI236" s="304">
        <f t="shared" si="173"/>
        <v>0.315</v>
      </c>
      <c r="AJ236" s="304">
        <f t="shared" si="173"/>
        <v>0</v>
      </c>
      <c r="AK236" s="304">
        <f t="shared" si="173"/>
        <v>-1E-3</v>
      </c>
      <c r="AL236" s="304">
        <f t="shared" si="173"/>
        <v>0</v>
      </c>
      <c r="AM236" s="312">
        <f t="shared" si="173"/>
        <v>0</v>
      </c>
      <c r="AN236" s="304">
        <f t="shared" si="173"/>
        <v>0</v>
      </c>
      <c r="AO236" s="250">
        <f t="shared" si="173"/>
        <v>0</v>
      </c>
      <c r="AP236" s="251">
        <v>0</v>
      </c>
      <c r="AQ236" s="251">
        <v>0</v>
      </c>
      <c r="AR236" s="251">
        <v>0</v>
      </c>
      <c r="AS236" s="166"/>
    </row>
    <row r="237" spans="1:45" s="513" customFormat="1" x14ac:dyDescent="0.35">
      <c r="A237" s="503" t="str">
        <f>CONCATENATE("Estimated Share Price for Issuance/Buybacks, ",HP.TradeCurrency)</f>
        <v>Estimated Share Price for Issuance/Buybacks, GBX</v>
      </c>
      <c r="B237" s="504"/>
      <c r="C237" s="505"/>
      <c r="D237" s="505"/>
      <c r="E237" s="505"/>
      <c r="F237" s="505"/>
      <c r="G237" s="505"/>
      <c r="H237" s="505"/>
      <c r="I237" s="505"/>
      <c r="J237" s="505"/>
      <c r="K237" s="505"/>
      <c r="L237" s="505"/>
      <c r="M237" s="505"/>
      <c r="N237" s="505"/>
      <c r="O237" s="506"/>
      <c r="P237" s="507">
        <v>1202</v>
      </c>
      <c r="Q237" s="507">
        <v>1322</v>
      </c>
      <c r="R237" s="507">
        <v>1322</v>
      </c>
      <c r="S237" s="507"/>
      <c r="T237" s="507"/>
      <c r="U237" s="507"/>
      <c r="V237" s="507"/>
      <c r="W237" s="507"/>
      <c r="X237" s="507"/>
      <c r="Y237" s="508"/>
      <c r="Z237" s="509"/>
      <c r="AA237" s="509"/>
      <c r="AB237" s="509"/>
      <c r="AC237" s="509"/>
      <c r="AD237" s="509"/>
      <c r="AE237" s="509"/>
      <c r="AF237" s="509"/>
      <c r="AG237" s="509"/>
      <c r="AH237" s="509"/>
      <c r="AI237" s="509"/>
      <c r="AJ237" s="509"/>
      <c r="AK237" s="509"/>
      <c r="AL237" s="509"/>
      <c r="AM237" s="510"/>
      <c r="AN237" s="509">
        <f>AVERAGE(O237,P237)</f>
        <v>1202</v>
      </c>
      <c r="AO237" s="509">
        <f>AVERAGE(Q237,R237)</f>
        <v>1322</v>
      </c>
      <c r="AP237" s="511">
        <v>1454</v>
      </c>
      <c r="AQ237" s="511">
        <v>1599</v>
      </c>
      <c r="AR237" s="511">
        <v>1759</v>
      </c>
      <c r="AS237" s="512"/>
    </row>
    <row r="238" spans="1:45" s="501" customFormat="1" x14ac:dyDescent="0.35">
      <c r="A238" s="514"/>
      <c r="B238" s="495"/>
      <c r="C238" s="515"/>
      <c r="D238" s="515"/>
      <c r="E238" s="515"/>
      <c r="F238" s="515"/>
      <c r="G238" s="515"/>
      <c r="H238" s="515"/>
      <c r="I238" s="515"/>
      <c r="J238" s="515"/>
      <c r="K238" s="515"/>
      <c r="L238" s="515"/>
      <c r="M238" s="515"/>
      <c r="N238" s="515"/>
      <c r="O238" s="516"/>
      <c r="P238" s="515"/>
      <c r="Q238" s="515"/>
      <c r="R238" s="515"/>
      <c r="S238" s="515"/>
      <c r="T238" s="515"/>
      <c r="U238" s="515"/>
      <c r="V238" s="515"/>
      <c r="W238" s="515"/>
      <c r="X238" s="515"/>
      <c r="Y238" s="515"/>
      <c r="Z238" s="517"/>
      <c r="AA238" s="517"/>
      <c r="AB238" s="517"/>
      <c r="AC238" s="517"/>
      <c r="AD238" s="517"/>
      <c r="AE238" s="517"/>
      <c r="AF238" s="517"/>
      <c r="AG238" s="517"/>
      <c r="AH238" s="517"/>
      <c r="AI238" s="517"/>
      <c r="AJ238" s="517"/>
      <c r="AK238" s="517"/>
      <c r="AL238" s="517"/>
      <c r="AM238" s="518"/>
      <c r="AN238" s="517"/>
      <c r="AO238" s="517"/>
      <c r="AP238" s="517"/>
      <c r="AQ238" s="517"/>
      <c r="AR238" s="517"/>
      <c r="AS238" s="500"/>
    </row>
    <row r="239" spans="1:45" s="167" customFormat="1" x14ac:dyDescent="0.35">
      <c r="A239" s="519" t="s">
        <v>801</v>
      </c>
      <c r="B239" s="315"/>
      <c r="C239" s="164">
        <f t="shared" ref="C239:O239" si="174">C322</f>
        <v>0.436</v>
      </c>
      <c r="D239" s="164">
        <f t="shared" si="174"/>
        <v>0.63400000000000012</v>
      </c>
      <c r="E239" s="164">
        <f t="shared" si="174"/>
        <v>0.98899999999999999</v>
      </c>
      <c r="F239" s="164">
        <f t="shared" si="174"/>
        <v>0.76999999999999991</v>
      </c>
      <c r="G239" s="164">
        <f t="shared" si="174"/>
        <v>0.89800000000000002</v>
      </c>
      <c r="H239" s="164">
        <f t="shared" si="174"/>
        <v>0.83399999999999996</v>
      </c>
      <c r="I239" s="164">
        <f t="shared" si="174"/>
        <v>0.97099999999999997</v>
      </c>
      <c r="J239" s="164">
        <f t="shared" si="174"/>
        <v>0.98699999999999999</v>
      </c>
      <c r="K239" s="164">
        <f t="shared" si="174"/>
        <v>1.113</v>
      </c>
      <c r="L239" s="164">
        <f t="shared" si="174"/>
        <v>1.1539999999999999</v>
      </c>
      <c r="M239" s="164">
        <f t="shared" si="174"/>
        <v>1.4159999999999999</v>
      </c>
      <c r="N239" s="164">
        <f t="shared" si="174"/>
        <v>1.125</v>
      </c>
      <c r="O239" s="165">
        <f t="shared" si="174"/>
        <v>1.591</v>
      </c>
      <c r="P239" s="164">
        <f>P240*P171</f>
        <v>0.75268720499999997</v>
      </c>
      <c r="Q239" s="164">
        <f>Q240*Q171</f>
        <v>0.8149841040000001</v>
      </c>
      <c r="R239" s="164">
        <f>R240*R171</f>
        <v>0.82795592550000008</v>
      </c>
      <c r="S239" s="164"/>
      <c r="T239" s="164"/>
      <c r="U239" s="164"/>
      <c r="V239" s="164"/>
      <c r="W239" s="164"/>
      <c r="X239" s="164"/>
      <c r="Y239" s="164"/>
      <c r="Z239" s="250"/>
      <c r="AA239" s="250"/>
      <c r="AB239" s="250"/>
      <c r="AC239" s="250"/>
      <c r="AD239" s="250">
        <f t="shared" ref="AD239:AM239" si="175">AD322</f>
        <v>0.73499999999999999</v>
      </c>
      <c r="AE239" s="250">
        <f t="shared" si="175"/>
        <v>0</v>
      </c>
      <c r="AF239" s="250">
        <f t="shared" si="175"/>
        <v>5.0000000000000001E-3</v>
      </c>
      <c r="AG239" s="250">
        <f t="shared" si="175"/>
        <v>0.57199999999999995</v>
      </c>
      <c r="AH239" s="250">
        <f t="shared" si="175"/>
        <v>1.07</v>
      </c>
      <c r="AI239" s="250">
        <f t="shared" si="175"/>
        <v>1.7589999999999999</v>
      </c>
      <c r="AJ239" s="250">
        <f t="shared" si="175"/>
        <v>1.732</v>
      </c>
      <c r="AK239" s="250">
        <f t="shared" si="175"/>
        <v>1.958</v>
      </c>
      <c r="AL239" s="250">
        <f t="shared" si="175"/>
        <v>2.2669999999999999</v>
      </c>
      <c r="AM239" s="264">
        <f t="shared" si="175"/>
        <v>2.5409999999999999</v>
      </c>
      <c r="AN239" s="250">
        <f>SUM(O239,P239)</f>
        <v>2.3436872050000002</v>
      </c>
      <c r="AO239" s="250">
        <f>SUM(Q239,R239)</f>
        <v>1.6429400295000001</v>
      </c>
      <c r="AP239" s="250">
        <f>AP240*AP171</f>
        <v>1.8893810339249999</v>
      </c>
      <c r="AQ239" s="250">
        <f>AQ240*AQ171</f>
        <v>2.0783191373175001</v>
      </c>
      <c r="AR239" s="250">
        <f>AR240*AR171</f>
        <v>2.2861510510492504</v>
      </c>
      <c r="AS239" s="166"/>
    </row>
    <row r="240" spans="1:45" s="273" customFormat="1" x14ac:dyDescent="0.35">
      <c r="A240" s="520" t="s">
        <v>802</v>
      </c>
      <c r="B240" s="379"/>
      <c r="C240" s="268">
        <f t="shared" ref="C240:O240" si="176">C239/C171</f>
        <v>1.1520676443387502E-3</v>
      </c>
      <c r="D240" s="268">
        <f t="shared" si="176"/>
        <v>1.3963650459434937E-3</v>
      </c>
      <c r="E240" s="268">
        <f t="shared" si="176"/>
        <v>2.7602259533803697E-3</v>
      </c>
      <c r="F240" s="268">
        <f t="shared" si="176"/>
        <v>1.7543699761223409E-3</v>
      </c>
      <c r="G240" s="268">
        <f t="shared" si="176"/>
        <v>2.0692674608843928E-3</v>
      </c>
      <c r="H240" s="268">
        <f t="shared" si="176"/>
        <v>1.4949478291887666E-3</v>
      </c>
      <c r="I240" s="268">
        <f t="shared" si="176"/>
        <v>1.8525302013934993E-3</v>
      </c>
      <c r="J240" s="268">
        <f t="shared" si="176"/>
        <v>1.7848779067559529E-3</v>
      </c>
      <c r="K240" s="268">
        <f t="shared" si="176"/>
        <v>1.9289829251214927E-3</v>
      </c>
      <c r="L240" s="268">
        <f t="shared" si="176"/>
        <v>1.9907569534173227E-3</v>
      </c>
      <c r="M240" s="268">
        <f t="shared" si="176"/>
        <v>2.4505901491814058E-3</v>
      </c>
      <c r="N240" s="268">
        <f t="shared" si="176"/>
        <v>2.2494331428480029E-3</v>
      </c>
      <c r="O240" s="269">
        <f t="shared" si="176"/>
        <v>3.1049657985382658E-3</v>
      </c>
      <c r="P240" s="521">
        <v>1.5E-3</v>
      </c>
      <c r="Q240" s="521">
        <v>1.5E-3</v>
      </c>
      <c r="R240" s="521">
        <v>1.5E-3</v>
      </c>
      <c r="S240" s="521"/>
      <c r="T240" s="521"/>
      <c r="U240" s="521"/>
      <c r="V240" s="521"/>
      <c r="W240" s="521"/>
      <c r="X240" s="521"/>
      <c r="Y240" s="522"/>
      <c r="Z240" s="270"/>
      <c r="AA240" s="270"/>
      <c r="AB240" s="270"/>
      <c r="AC240" s="270"/>
      <c r="AD240" s="270">
        <f t="shared" ref="AD240:AO240" si="177">AD239/AD171</f>
        <v>1.8572049444607285E-3</v>
      </c>
      <c r="AE240" s="271">
        <f t="shared" si="177"/>
        <v>0</v>
      </c>
      <c r="AF240" s="271">
        <f t="shared" si="177"/>
        <v>8.3880795324148963E-6</v>
      </c>
      <c r="AG240" s="271">
        <f t="shared" si="177"/>
        <v>8.5074611326524385E-4</v>
      </c>
      <c r="AH240" s="271">
        <f t="shared" si="177"/>
        <v>1.285306900055977E-3</v>
      </c>
      <c r="AI240" s="271">
        <f t="shared" si="177"/>
        <v>2.2064505122878848E-3</v>
      </c>
      <c r="AJ240" s="271">
        <f t="shared" si="177"/>
        <v>1.7462335496633056E-3</v>
      </c>
      <c r="AK240" s="271">
        <f t="shared" si="177"/>
        <v>1.8177986439853425E-3</v>
      </c>
      <c r="AL240" s="271">
        <f t="shared" si="177"/>
        <v>1.9599417982876662E-3</v>
      </c>
      <c r="AM240" s="272">
        <f t="shared" si="177"/>
        <v>2.3572609388596462E-3</v>
      </c>
      <c r="AN240" s="270">
        <f t="shared" si="177"/>
        <v>2.3108808542786591E-3</v>
      </c>
      <c r="AO240" s="270">
        <f t="shared" si="177"/>
        <v>1.5E-3</v>
      </c>
      <c r="AP240" s="523">
        <v>1.4999999999999998E-3</v>
      </c>
      <c r="AQ240" s="523">
        <v>1.4999999999999998E-3</v>
      </c>
      <c r="AR240" s="523">
        <v>1.4999999999999998E-3</v>
      </c>
      <c r="AS240" s="268"/>
    </row>
    <row r="241" spans="1:45" s="167" customFormat="1" x14ac:dyDescent="0.35">
      <c r="A241" s="423"/>
      <c r="B241" s="315"/>
      <c r="C241" s="164"/>
      <c r="D241" s="164"/>
      <c r="E241" s="164"/>
      <c r="F241" s="164"/>
      <c r="G241" s="164"/>
      <c r="H241" s="164"/>
      <c r="I241" s="164"/>
      <c r="J241" s="164"/>
      <c r="K241" s="164"/>
      <c r="L241" s="164"/>
      <c r="M241" s="164"/>
      <c r="N241" s="164"/>
      <c r="O241" s="165"/>
      <c r="P241" s="164"/>
      <c r="Q241" s="164"/>
      <c r="R241" s="164"/>
      <c r="S241" s="164"/>
      <c r="T241" s="164"/>
      <c r="U241" s="164"/>
      <c r="V241" s="164"/>
      <c r="W241" s="164"/>
      <c r="X241" s="164"/>
      <c r="Y241" s="164"/>
      <c r="Z241" s="250"/>
      <c r="AA241" s="250"/>
      <c r="AB241" s="250"/>
      <c r="AC241" s="250"/>
      <c r="AD241" s="250"/>
      <c r="AE241" s="250"/>
      <c r="AF241" s="250"/>
      <c r="AG241" s="250"/>
      <c r="AH241" s="250"/>
      <c r="AI241" s="250"/>
      <c r="AJ241" s="250"/>
      <c r="AK241" s="250"/>
      <c r="AL241" s="250"/>
      <c r="AM241" s="264"/>
      <c r="AN241" s="250"/>
      <c r="AO241" s="250"/>
      <c r="AP241" s="250"/>
      <c r="AQ241" s="250"/>
      <c r="AR241" s="250"/>
      <c r="AS241" s="166"/>
    </row>
    <row r="242" spans="1:45" s="167" customFormat="1" hidden="1" outlineLevel="1" x14ac:dyDescent="0.35">
      <c r="A242" s="164" t="s">
        <v>803</v>
      </c>
      <c r="B242" s="315"/>
      <c r="C242" s="164">
        <f t="shared" ref="C242:R242" si="178">C222+C228</f>
        <v>16.856999999999999</v>
      </c>
      <c r="D242" s="164">
        <f t="shared" si="178"/>
        <v>26.089000000000002</v>
      </c>
      <c r="E242" s="164">
        <f t="shared" si="178"/>
        <v>20.507999999999999</v>
      </c>
      <c r="F242" s="164">
        <f t="shared" si="178"/>
        <v>39.476000000000013</v>
      </c>
      <c r="G242" s="164">
        <f t="shared" si="178"/>
        <v>26.120000000000005</v>
      </c>
      <c r="H242" s="164">
        <f t="shared" si="178"/>
        <v>43.644000000000005</v>
      </c>
      <c r="I242" s="164">
        <f t="shared" si="178"/>
        <v>23.314000000000004</v>
      </c>
      <c r="J242" s="164">
        <f t="shared" si="178"/>
        <v>39.774000000000001</v>
      </c>
      <c r="K242" s="164">
        <f t="shared" si="178"/>
        <v>47.078999999999994</v>
      </c>
      <c r="L242" s="164">
        <f t="shared" si="178"/>
        <v>50.366999999999983</v>
      </c>
      <c r="M242" s="164">
        <f t="shared" si="178"/>
        <v>53.832000000000001</v>
      </c>
      <c r="N242" s="164">
        <f t="shared" si="178"/>
        <v>58.596000000000018</v>
      </c>
      <c r="O242" s="165">
        <f t="shared" si="178"/>
        <v>51.559999999999995</v>
      </c>
      <c r="P242" s="164">
        <f t="shared" si="178"/>
        <v>34.916976171869855</v>
      </c>
      <c r="Q242" s="164">
        <f t="shared" si="178"/>
        <v>38.02454243916884</v>
      </c>
      <c r="R242" s="164">
        <f t="shared" si="178"/>
        <v>38.753492926986439</v>
      </c>
      <c r="S242" s="164"/>
      <c r="T242" s="164"/>
      <c r="U242" s="164"/>
      <c r="V242" s="164"/>
      <c r="W242" s="164"/>
      <c r="X242" s="164"/>
      <c r="Y242" s="164"/>
      <c r="Z242" s="250"/>
      <c r="AA242" s="250"/>
      <c r="AB242" s="250"/>
      <c r="AC242" s="250"/>
      <c r="AD242" s="250">
        <f t="shared" ref="AD242:AR242" si="179">AD222+AD228</f>
        <v>20.614999999999998</v>
      </c>
      <c r="AE242" s="250">
        <f t="shared" si="179"/>
        <v>24.748999999999995</v>
      </c>
      <c r="AF242" s="250">
        <f t="shared" si="179"/>
        <v>31.937999999999999</v>
      </c>
      <c r="AG242" s="250">
        <f t="shared" si="179"/>
        <v>35.293999999999997</v>
      </c>
      <c r="AH242" s="250">
        <f t="shared" si="179"/>
        <v>42.945999999999998</v>
      </c>
      <c r="AI242" s="250">
        <f t="shared" si="179"/>
        <v>59.984000000000009</v>
      </c>
      <c r="AJ242" s="250">
        <f t="shared" si="179"/>
        <v>69.764000000000024</v>
      </c>
      <c r="AK242" s="250">
        <f t="shared" si="179"/>
        <v>63.088000000000001</v>
      </c>
      <c r="AL242" s="250">
        <f t="shared" si="179"/>
        <v>97.445999999999984</v>
      </c>
      <c r="AM242" s="264">
        <f t="shared" si="179"/>
        <v>112.42799999999998</v>
      </c>
      <c r="AN242" s="250">
        <f t="shared" si="179"/>
        <v>86.47697617186985</v>
      </c>
      <c r="AO242" s="250">
        <f t="shared" si="179"/>
        <v>76.778035366155294</v>
      </c>
      <c r="AP242" s="250">
        <f t="shared" si="179"/>
        <v>83.615968893848077</v>
      </c>
      <c r="AQ242" s="250">
        <f t="shared" si="179"/>
        <v>92.420664942242439</v>
      </c>
      <c r="AR242" s="250">
        <f t="shared" si="179"/>
        <v>101.97264912141895</v>
      </c>
      <c r="AS242" s="164"/>
    </row>
    <row r="243" spans="1:45" s="167" customFormat="1" hidden="1" outlineLevel="1" x14ac:dyDescent="0.35">
      <c r="A243" s="164" t="s">
        <v>804</v>
      </c>
      <c r="B243" s="315"/>
      <c r="C243" s="164">
        <f t="shared" ref="C243:R243" si="180">C242+C232</f>
        <v>-18.317</v>
      </c>
      <c r="D243" s="164">
        <f t="shared" si="180"/>
        <v>20.358999999999998</v>
      </c>
      <c r="E243" s="164">
        <f t="shared" si="180"/>
        <v>-18.282</v>
      </c>
      <c r="F243" s="164">
        <f t="shared" si="180"/>
        <v>32.945000000000014</v>
      </c>
      <c r="G243" s="164">
        <f t="shared" si="180"/>
        <v>-21.189999999999998</v>
      </c>
      <c r="H243" s="164">
        <f t="shared" si="180"/>
        <v>34.723000000000006</v>
      </c>
      <c r="I243" s="164">
        <f t="shared" si="180"/>
        <v>-29.023999999999997</v>
      </c>
      <c r="J243" s="164">
        <f t="shared" si="180"/>
        <v>39.774000000000001</v>
      </c>
      <c r="K243" s="164">
        <f t="shared" si="180"/>
        <v>-1.0020000000000095</v>
      </c>
      <c r="L243" s="164">
        <f t="shared" si="180"/>
        <v>37.632999999999988</v>
      </c>
      <c r="M243" s="164">
        <f t="shared" si="180"/>
        <v>-15.636999999999993</v>
      </c>
      <c r="N243" s="164">
        <f t="shared" si="180"/>
        <v>44.045000000000016</v>
      </c>
      <c r="O243" s="165">
        <f t="shared" si="180"/>
        <v>-6.6600000000000037</v>
      </c>
      <c r="P243" s="164" t="e">
        <f t="shared" si="180"/>
        <v>#REF!</v>
      </c>
      <c r="Q243" s="164" t="e">
        <f t="shared" si="180"/>
        <v>#REF!</v>
      </c>
      <c r="R243" s="164" t="e">
        <f t="shared" si="180"/>
        <v>#REF!</v>
      </c>
      <c r="S243" s="164"/>
      <c r="T243" s="164"/>
      <c r="U243" s="164"/>
      <c r="V243" s="164"/>
      <c r="W243" s="164"/>
      <c r="X243" s="164"/>
      <c r="Y243" s="164"/>
      <c r="Z243" s="250"/>
      <c r="AA243" s="250"/>
      <c r="AB243" s="250"/>
      <c r="AC243" s="250"/>
      <c r="AD243" s="250">
        <f t="shared" ref="AD243:AR243" si="181">AD242+AD232</f>
        <v>3.347999999999999</v>
      </c>
      <c r="AE243" s="250">
        <f t="shared" si="181"/>
        <v>19.982999999999997</v>
      </c>
      <c r="AF243" s="250">
        <f t="shared" si="181"/>
        <v>24.626999999999999</v>
      </c>
      <c r="AG243" s="250">
        <f t="shared" si="181"/>
        <v>-8.159000000000006</v>
      </c>
      <c r="AH243" s="250">
        <f t="shared" si="181"/>
        <v>2.0419999999999945</v>
      </c>
      <c r="AI243" s="250">
        <f t="shared" si="181"/>
        <v>14.663000000000011</v>
      </c>
      <c r="AJ243" s="250">
        <f t="shared" si="181"/>
        <v>13.533000000000023</v>
      </c>
      <c r="AK243" s="250">
        <f t="shared" si="181"/>
        <v>10.75</v>
      </c>
      <c r="AL243" s="250">
        <f t="shared" si="181"/>
        <v>36.630999999999986</v>
      </c>
      <c r="AM243" s="264">
        <f t="shared" si="181"/>
        <v>28.407999999999987</v>
      </c>
      <c r="AN243" s="250" t="e">
        <f t="shared" si="181"/>
        <v>#REF!</v>
      </c>
      <c r="AO243" s="250" t="e">
        <f t="shared" si="181"/>
        <v>#REF!</v>
      </c>
      <c r="AP243" s="250" t="e">
        <f t="shared" si="181"/>
        <v>#REF!</v>
      </c>
      <c r="AQ243" s="250" t="e">
        <f t="shared" si="181"/>
        <v>#REF!</v>
      </c>
      <c r="AR243" s="250" t="e">
        <f t="shared" si="181"/>
        <v>#REF!</v>
      </c>
      <c r="AS243" s="164"/>
    </row>
    <row r="244" spans="1:45" s="167" customFormat="1" hidden="1" outlineLevel="1" x14ac:dyDescent="0.35">
      <c r="A244" s="164" t="s">
        <v>805</v>
      </c>
      <c r="B244" s="315"/>
      <c r="C244" s="164">
        <f t="shared" ref="C244:R244" si="182">C243+C230+C231</f>
        <v>-18.309999999999999</v>
      </c>
      <c r="D244" s="164">
        <f t="shared" si="182"/>
        <v>20.358999999999998</v>
      </c>
      <c r="E244" s="164">
        <f t="shared" si="182"/>
        <v>-18.282</v>
      </c>
      <c r="F244" s="164">
        <f t="shared" si="182"/>
        <v>32.945000000000014</v>
      </c>
      <c r="G244" s="164">
        <f t="shared" si="182"/>
        <v>-21.189999999999998</v>
      </c>
      <c r="H244" s="164">
        <f t="shared" si="182"/>
        <v>34.723000000000006</v>
      </c>
      <c r="I244" s="164">
        <f t="shared" si="182"/>
        <v>-29.023999999999997</v>
      </c>
      <c r="J244" s="164">
        <f t="shared" si="182"/>
        <v>39.774000000000001</v>
      </c>
      <c r="K244" s="164">
        <f t="shared" si="182"/>
        <v>-1.0020000000000095</v>
      </c>
      <c r="L244" s="164">
        <f t="shared" si="182"/>
        <v>37.632999999999988</v>
      </c>
      <c r="M244" s="164">
        <f t="shared" si="182"/>
        <v>-15.636999999999993</v>
      </c>
      <c r="N244" s="164">
        <f t="shared" si="182"/>
        <v>44.045000000000016</v>
      </c>
      <c r="O244" s="165">
        <f t="shared" si="182"/>
        <v>-6.6600000000000037</v>
      </c>
      <c r="P244" s="164" t="e">
        <f t="shared" si="182"/>
        <v>#REF!</v>
      </c>
      <c r="Q244" s="164" t="e">
        <f t="shared" si="182"/>
        <v>#REF!</v>
      </c>
      <c r="R244" s="164" t="e">
        <f t="shared" si="182"/>
        <v>#REF!</v>
      </c>
      <c r="S244" s="164"/>
      <c r="T244" s="164"/>
      <c r="U244" s="164"/>
      <c r="V244" s="164"/>
      <c r="W244" s="164"/>
      <c r="X244" s="164"/>
      <c r="Y244" s="164"/>
      <c r="Z244" s="250"/>
      <c r="AA244" s="250"/>
      <c r="AB244" s="250"/>
      <c r="AC244" s="250"/>
      <c r="AD244" s="250">
        <f t="shared" ref="AD244:AR244" si="183">AD243+AD230+AD231</f>
        <v>3.347999999999999</v>
      </c>
      <c r="AE244" s="250">
        <f t="shared" si="183"/>
        <v>19.982999999999997</v>
      </c>
      <c r="AF244" s="250">
        <f t="shared" si="183"/>
        <v>24.631</v>
      </c>
      <c r="AG244" s="250">
        <f t="shared" si="183"/>
        <v>-8.1480000000000068</v>
      </c>
      <c r="AH244" s="250">
        <f t="shared" si="183"/>
        <v>2.0489999999999946</v>
      </c>
      <c r="AI244" s="250">
        <f t="shared" si="183"/>
        <v>14.663000000000011</v>
      </c>
      <c r="AJ244" s="250">
        <f t="shared" si="183"/>
        <v>13.533000000000023</v>
      </c>
      <c r="AK244" s="250">
        <f t="shared" si="183"/>
        <v>10.75</v>
      </c>
      <c r="AL244" s="250">
        <f t="shared" si="183"/>
        <v>36.630999999999986</v>
      </c>
      <c r="AM244" s="264">
        <f t="shared" si="183"/>
        <v>28.407999999999987</v>
      </c>
      <c r="AN244" s="250" t="e">
        <f t="shared" si="183"/>
        <v>#REF!</v>
      </c>
      <c r="AO244" s="250" t="e">
        <f t="shared" si="183"/>
        <v>#REF!</v>
      </c>
      <c r="AP244" s="250" t="e">
        <f t="shared" si="183"/>
        <v>#REF!</v>
      </c>
      <c r="AQ244" s="250" t="e">
        <f t="shared" si="183"/>
        <v>#REF!</v>
      </c>
      <c r="AR244" s="250" t="e">
        <f t="shared" si="183"/>
        <v>#REF!</v>
      </c>
      <c r="AS244" s="164"/>
    </row>
    <row r="245" spans="1:45" s="167" customFormat="1" hidden="1" outlineLevel="1" x14ac:dyDescent="0.35">
      <c r="A245" s="307" t="s">
        <v>806</v>
      </c>
      <c r="B245" s="368"/>
      <c r="C245" s="307">
        <f t="shared" ref="C245:R245" si="184">C244+C235+C236</f>
        <v>-18.099999999999998</v>
      </c>
      <c r="D245" s="307">
        <f t="shared" si="184"/>
        <v>20.358999999999998</v>
      </c>
      <c r="E245" s="307">
        <f t="shared" si="184"/>
        <v>-17.966999999999999</v>
      </c>
      <c r="F245" s="307">
        <f t="shared" si="184"/>
        <v>32.945000000000014</v>
      </c>
      <c r="G245" s="307">
        <f t="shared" si="184"/>
        <v>-21.189999999999998</v>
      </c>
      <c r="H245" s="307">
        <f t="shared" si="184"/>
        <v>34.723000000000006</v>
      </c>
      <c r="I245" s="307">
        <f t="shared" si="184"/>
        <v>-29.023999999999997</v>
      </c>
      <c r="J245" s="307">
        <f t="shared" si="184"/>
        <v>39.773000000000003</v>
      </c>
      <c r="K245" s="307">
        <f t="shared" si="184"/>
        <v>-1.0020000000000095</v>
      </c>
      <c r="L245" s="307">
        <f t="shared" si="184"/>
        <v>37.632999999999988</v>
      </c>
      <c r="M245" s="307">
        <f t="shared" si="184"/>
        <v>-15.636999999999993</v>
      </c>
      <c r="N245" s="307">
        <f t="shared" si="184"/>
        <v>44.045000000000016</v>
      </c>
      <c r="O245" s="308">
        <f t="shared" si="184"/>
        <v>-6.6600000000000037</v>
      </c>
      <c r="P245" s="307" t="e">
        <f t="shared" si="184"/>
        <v>#REF!</v>
      </c>
      <c r="Q245" s="307" t="e">
        <f t="shared" si="184"/>
        <v>#REF!</v>
      </c>
      <c r="R245" s="307" t="e">
        <f t="shared" si="184"/>
        <v>#REF!</v>
      </c>
      <c r="S245" s="307"/>
      <c r="T245" s="307"/>
      <c r="U245" s="307"/>
      <c r="V245" s="307"/>
      <c r="W245" s="307"/>
      <c r="X245" s="307"/>
      <c r="Y245" s="307"/>
      <c r="Z245" s="309"/>
      <c r="AA245" s="309"/>
      <c r="AB245" s="309"/>
      <c r="AC245" s="309"/>
      <c r="AD245" s="309">
        <f t="shared" ref="AD245:AR245" si="185">AD244+AD235+AD236</f>
        <v>3.347999999999999</v>
      </c>
      <c r="AE245" s="309">
        <f t="shared" si="185"/>
        <v>20.156999999999996</v>
      </c>
      <c r="AF245" s="309">
        <f t="shared" si="185"/>
        <v>25.608000000000001</v>
      </c>
      <c r="AG245" s="309">
        <f t="shared" si="185"/>
        <v>-7.6350000000000069</v>
      </c>
      <c r="AH245" s="309">
        <f t="shared" si="185"/>
        <v>2.2589999999999946</v>
      </c>
      <c r="AI245" s="309">
        <f t="shared" si="185"/>
        <v>14.97800000000001</v>
      </c>
      <c r="AJ245" s="309">
        <f t="shared" si="185"/>
        <v>13.533000000000023</v>
      </c>
      <c r="AK245" s="309">
        <f t="shared" si="185"/>
        <v>10.749000000000001</v>
      </c>
      <c r="AL245" s="309">
        <f t="shared" si="185"/>
        <v>36.630999999999986</v>
      </c>
      <c r="AM245" s="310">
        <f t="shared" si="185"/>
        <v>28.407999999999987</v>
      </c>
      <c r="AN245" s="309" t="e">
        <f t="shared" si="185"/>
        <v>#REF!</v>
      </c>
      <c r="AO245" s="309" t="e">
        <f t="shared" si="185"/>
        <v>#REF!</v>
      </c>
      <c r="AP245" s="309" t="e">
        <f t="shared" si="185"/>
        <v>#REF!</v>
      </c>
      <c r="AQ245" s="309" t="e">
        <f t="shared" si="185"/>
        <v>#REF!</v>
      </c>
      <c r="AR245" s="309" t="e">
        <f t="shared" si="185"/>
        <v>#REF!</v>
      </c>
      <c r="AS245" s="164"/>
    </row>
    <row r="246" spans="1:45" s="167" customFormat="1" collapsed="1" x14ac:dyDescent="0.35">
      <c r="A246" s="164" t="s">
        <v>807</v>
      </c>
      <c r="B246" s="315"/>
      <c r="C246" s="164">
        <f t="shared" ref="C246:R246" si="186">C224+C228</f>
        <v>19.02</v>
      </c>
      <c r="D246" s="164">
        <f t="shared" si="186"/>
        <v>20.49</v>
      </c>
      <c r="E246" s="164">
        <f t="shared" si="186"/>
        <v>20.001999999999999</v>
      </c>
      <c r="F246" s="164">
        <f t="shared" si="186"/>
        <v>35.965000000000018</v>
      </c>
      <c r="G246" s="164">
        <f t="shared" si="186"/>
        <v>27.143000000000008</v>
      </c>
      <c r="H246" s="164">
        <f t="shared" si="186"/>
        <v>35.187000000000012</v>
      </c>
      <c r="I246" s="164">
        <f t="shared" si="186"/>
        <v>22.948000000000004</v>
      </c>
      <c r="J246" s="164">
        <f t="shared" si="186"/>
        <v>32.265000000000001</v>
      </c>
      <c r="K246" s="164">
        <f t="shared" si="186"/>
        <v>40.446999999999989</v>
      </c>
      <c r="L246" s="164">
        <f t="shared" si="186"/>
        <v>44.340999999999987</v>
      </c>
      <c r="M246" s="164">
        <f t="shared" si="186"/>
        <v>43.354000000000006</v>
      </c>
      <c r="N246" s="164">
        <f t="shared" si="186"/>
        <v>35.066000000000031</v>
      </c>
      <c r="O246" s="165">
        <f t="shared" si="186"/>
        <v>59.704999999999998</v>
      </c>
      <c r="P246" s="164">
        <f t="shared" si="186"/>
        <v>29.824571751425793</v>
      </c>
      <c r="Q246" s="164">
        <f t="shared" si="186"/>
        <v>39.422945013593349</v>
      </c>
      <c r="R246" s="164">
        <f t="shared" si="186"/>
        <v>27.768928493006882</v>
      </c>
      <c r="S246" s="164"/>
      <c r="T246" s="164"/>
      <c r="U246" s="164"/>
      <c r="V246" s="164"/>
      <c r="W246" s="164"/>
      <c r="X246" s="164"/>
      <c r="Y246" s="164"/>
      <c r="Z246" s="250"/>
      <c r="AA246" s="250"/>
      <c r="AB246" s="250"/>
      <c r="AC246" s="250"/>
      <c r="AD246" s="250">
        <f t="shared" ref="AD246:AR246" si="187">AD224+AD228</f>
        <v>14.559999999999997</v>
      </c>
      <c r="AE246" s="250">
        <f t="shared" si="187"/>
        <v>33.520999999999994</v>
      </c>
      <c r="AF246" s="250">
        <f t="shared" si="187"/>
        <v>44.905999999999999</v>
      </c>
      <c r="AG246" s="250">
        <f t="shared" si="187"/>
        <v>28.198999999999998</v>
      </c>
      <c r="AH246" s="250">
        <f t="shared" si="187"/>
        <v>39.51</v>
      </c>
      <c r="AI246" s="250">
        <f t="shared" si="187"/>
        <v>55.967000000000013</v>
      </c>
      <c r="AJ246" s="250">
        <f t="shared" si="187"/>
        <v>62.33000000000002</v>
      </c>
      <c r="AK246" s="250">
        <f t="shared" si="187"/>
        <v>55.213000000000001</v>
      </c>
      <c r="AL246" s="250">
        <f t="shared" si="187"/>
        <v>84.787999999999982</v>
      </c>
      <c r="AM246" s="264">
        <f t="shared" si="187"/>
        <v>78.42</v>
      </c>
      <c r="AN246" s="250">
        <f t="shared" si="187"/>
        <v>89.529571751425792</v>
      </c>
      <c r="AO246" s="250">
        <f t="shared" si="187"/>
        <v>67.191873506600245</v>
      </c>
      <c r="AP246" s="250">
        <f t="shared" si="187"/>
        <v>64.195383951848171</v>
      </c>
      <c r="AQ246" s="250">
        <f t="shared" si="187"/>
        <v>77.531549820042457</v>
      </c>
      <c r="AR246" s="250">
        <f t="shared" si="187"/>
        <v>85.594622486998958</v>
      </c>
      <c r="AS246" s="164"/>
    </row>
    <row r="247" spans="1:45" s="167" customFormat="1" x14ac:dyDescent="0.35">
      <c r="A247" s="164" t="s">
        <v>808</v>
      </c>
      <c r="B247" s="315"/>
      <c r="C247" s="164">
        <f t="shared" ref="C247:R247" si="188">C246+C232</f>
        <v>-16.154</v>
      </c>
      <c r="D247" s="164">
        <f t="shared" si="188"/>
        <v>14.759999999999994</v>
      </c>
      <c r="E247" s="164">
        <f t="shared" si="188"/>
        <v>-18.788</v>
      </c>
      <c r="F247" s="164">
        <f t="shared" si="188"/>
        <v>29.434000000000019</v>
      </c>
      <c r="G247" s="164">
        <f t="shared" si="188"/>
        <v>-20.166999999999994</v>
      </c>
      <c r="H247" s="164">
        <f t="shared" si="188"/>
        <v>26.266000000000012</v>
      </c>
      <c r="I247" s="164">
        <f t="shared" si="188"/>
        <v>-29.389999999999997</v>
      </c>
      <c r="J247" s="164">
        <f t="shared" si="188"/>
        <v>32.265000000000001</v>
      </c>
      <c r="K247" s="164">
        <f t="shared" si="188"/>
        <v>-7.6340000000000146</v>
      </c>
      <c r="L247" s="164">
        <f t="shared" si="188"/>
        <v>31.606999999999992</v>
      </c>
      <c r="M247" s="164">
        <f t="shared" si="188"/>
        <v>-26.114999999999988</v>
      </c>
      <c r="N247" s="164">
        <f t="shared" si="188"/>
        <v>20.515000000000029</v>
      </c>
      <c r="O247" s="165">
        <f t="shared" si="188"/>
        <v>1.4849999999999994</v>
      </c>
      <c r="P247" s="164" t="e">
        <f t="shared" si="188"/>
        <v>#REF!</v>
      </c>
      <c r="Q247" s="164" t="e">
        <f t="shared" si="188"/>
        <v>#REF!</v>
      </c>
      <c r="R247" s="164" t="e">
        <f t="shared" si="188"/>
        <v>#REF!</v>
      </c>
      <c r="S247" s="164"/>
      <c r="T247" s="164"/>
      <c r="U247" s="164"/>
      <c r="V247" s="164"/>
      <c r="W247" s="164"/>
      <c r="X247" s="164"/>
      <c r="Y247" s="164"/>
      <c r="Z247" s="250"/>
      <c r="AA247" s="250"/>
      <c r="AB247" s="250"/>
      <c r="AC247" s="250"/>
      <c r="AD247" s="250">
        <f t="shared" ref="AD247:AR247" si="189">AD246+AD232</f>
        <v>-2.7070000000000025</v>
      </c>
      <c r="AE247" s="250">
        <f t="shared" si="189"/>
        <v>28.754999999999995</v>
      </c>
      <c r="AF247" s="250">
        <f t="shared" si="189"/>
        <v>37.594999999999999</v>
      </c>
      <c r="AG247" s="250">
        <f t="shared" si="189"/>
        <v>-15.254000000000005</v>
      </c>
      <c r="AH247" s="250">
        <f t="shared" si="189"/>
        <v>-1.3940000000000055</v>
      </c>
      <c r="AI247" s="250">
        <f t="shared" si="189"/>
        <v>10.646000000000015</v>
      </c>
      <c r="AJ247" s="250">
        <f t="shared" si="189"/>
        <v>6.099000000000018</v>
      </c>
      <c r="AK247" s="250">
        <f t="shared" si="189"/>
        <v>2.875</v>
      </c>
      <c r="AL247" s="250">
        <f t="shared" si="189"/>
        <v>23.972999999999985</v>
      </c>
      <c r="AM247" s="264">
        <f t="shared" si="189"/>
        <v>-5.5999999999999943</v>
      </c>
      <c r="AN247" s="250" t="e">
        <f t="shared" si="189"/>
        <v>#REF!</v>
      </c>
      <c r="AO247" s="250" t="e">
        <f t="shared" si="189"/>
        <v>#REF!</v>
      </c>
      <c r="AP247" s="250" t="e">
        <f t="shared" si="189"/>
        <v>#REF!</v>
      </c>
      <c r="AQ247" s="250" t="e">
        <f t="shared" si="189"/>
        <v>#REF!</v>
      </c>
      <c r="AR247" s="250" t="e">
        <f t="shared" si="189"/>
        <v>#REF!</v>
      </c>
      <c r="AS247" s="164"/>
    </row>
    <row r="248" spans="1:45" s="167" customFormat="1" x14ac:dyDescent="0.35">
      <c r="A248" s="164" t="s">
        <v>809</v>
      </c>
      <c r="B248" s="315"/>
      <c r="C248" s="164">
        <f t="shared" ref="C248:R248" si="190">C247+C230+C231</f>
        <v>-16.146999999999998</v>
      </c>
      <c r="D248" s="164">
        <f t="shared" si="190"/>
        <v>14.759999999999994</v>
      </c>
      <c r="E248" s="164">
        <f t="shared" si="190"/>
        <v>-18.788</v>
      </c>
      <c r="F248" s="164">
        <f t="shared" si="190"/>
        <v>29.434000000000019</v>
      </c>
      <c r="G248" s="164">
        <f t="shared" si="190"/>
        <v>-20.166999999999994</v>
      </c>
      <c r="H248" s="164">
        <f t="shared" si="190"/>
        <v>26.266000000000012</v>
      </c>
      <c r="I248" s="164">
        <f t="shared" si="190"/>
        <v>-29.389999999999997</v>
      </c>
      <c r="J248" s="164">
        <f t="shared" si="190"/>
        <v>32.265000000000001</v>
      </c>
      <c r="K248" s="164">
        <f t="shared" si="190"/>
        <v>-7.6340000000000146</v>
      </c>
      <c r="L248" s="164">
        <f t="shared" si="190"/>
        <v>31.606999999999992</v>
      </c>
      <c r="M248" s="164">
        <f t="shared" si="190"/>
        <v>-26.114999999999988</v>
      </c>
      <c r="N248" s="164">
        <f t="shared" si="190"/>
        <v>20.515000000000029</v>
      </c>
      <c r="O248" s="165">
        <f t="shared" si="190"/>
        <v>1.4849999999999994</v>
      </c>
      <c r="P248" s="164" t="e">
        <f t="shared" si="190"/>
        <v>#REF!</v>
      </c>
      <c r="Q248" s="164" t="e">
        <f t="shared" si="190"/>
        <v>#REF!</v>
      </c>
      <c r="R248" s="164" t="e">
        <f t="shared" si="190"/>
        <v>#REF!</v>
      </c>
      <c r="S248" s="164"/>
      <c r="T248" s="164"/>
      <c r="U248" s="164"/>
      <c r="V248" s="164"/>
      <c r="W248" s="164"/>
      <c r="X248" s="164"/>
      <c r="Y248" s="164"/>
      <c r="Z248" s="250"/>
      <c r="AA248" s="250"/>
      <c r="AB248" s="250"/>
      <c r="AC248" s="250"/>
      <c r="AD248" s="250">
        <f t="shared" ref="AD248:AR248" si="191">AD247+AD230+AD231</f>
        <v>-2.7070000000000025</v>
      </c>
      <c r="AE248" s="250">
        <f t="shared" si="191"/>
        <v>28.754999999999995</v>
      </c>
      <c r="AF248" s="250">
        <f t="shared" si="191"/>
        <v>37.598999999999997</v>
      </c>
      <c r="AG248" s="250">
        <f t="shared" si="191"/>
        <v>-15.243000000000006</v>
      </c>
      <c r="AH248" s="250">
        <f t="shared" si="191"/>
        <v>-1.3870000000000056</v>
      </c>
      <c r="AI248" s="250">
        <f t="shared" si="191"/>
        <v>10.646000000000015</v>
      </c>
      <c r="AJ248" s="250">
        <f t="shared" si="191"/>
        <v>6.099000000000018</v>
      </c>
      <c r="AK248" s="250">
        <f t="shared" si="191"/>
        <v>2.875</v>
      </c>
      <c r="AL248" s="250">
        <f t="shared" si="191"/>
        <v>23.972999999999985</v>
      </c>
      <c r="AM248" s="264">
        <f t="shared" si="191"/>
        <v>-5.5999999999999943</v>
      </c>
      <c r="AN248" s="250" t="e">
        <f t="shared" si="191"/>
        <v>#REF!</v>
      </c>
      <c r="AO248" s="250" t="e">
        <f t="shared" si="191"/>
        <v>#REF!</v>
      </c>
      <c r="AP248" s="250" t="e">
        <f t="shared" si="191"/>
        <v>#REF!</v>
      </c>
      <c r="AQ248" s="250" t="e">
        <f t="shared" si="191"/>
        <v>#REF!</v>
      </c>
      <c r="AR248" s="250" t="e">
        <f t="shared" si="191"/>
        <v>#REF!</v>
      </c>
      <c r="AS248" s="164"/>
    </row>
    <row r="249" spans="1:45" s="167" customFormat="1" x14ac:dyDescent="0.35">
      <c r="A249" s="307" t="s">
        <v>810</v>
      </c>
      <c r="B249" s="368"/>
      <c r="C249" s="307">
        <f t="shared" ref="C249:R249" si="192">C248+C235+C236</f>
        <v>-15.936999999999998</v>
      </c>
      <c r="D249" s="307">
        <f t="shared" si="192"/>
        <v>14.759999999999994</v>
      </c>
      <c r="E249" s="307">
        <f t="shared" si="192"/>
        <v>-18.472999999999999</v>
      </c>
      <c r="F249" s="307">
        <f t="shared" si="192"/>
        <v>29.434000000000019</v>
      </c>
      <c r="G249" s="307">
        <f t="shared" si="192"/>
        <v>-20.166999999999994</v>
      </c>
      <c r="H249" s="307">
        <f t="shared" si="192"/>
        <v>26.266000000000012</v>
      </c>
      <c r="I249" s="307">
        <f t="shared" si="192"/>
        <v>-29.389999999999997</v>
      </c>
      <c r="J249" s="307">
        <f t="shared" si="192"/>
        <v>32.264000000000003</v>
      </c>
      <c r="K249" s="307">
        <f t="shared" si="192"/>
        <v>-7.6340000000000146</v>
      </c>
      <c r="L249" s="307">
        <f t="shared" si="192"/>
        <v>31.606999999999992</v>
      </c>
      <c r="M249" s="307">
        <f t="shared" si="192"/>
        <v>-26.114999999999988</v>
      </c>
      <c r="N249" s="307">
        <f t="shared" si="192"/>
        <v>20.515000000000029</v>
      </c>
      <c r="O249" s="308">
        <f t="shared" si="192"/>
        <v>1.4849999999999994</v>
      </c>
      <c r="P249" s="307" t="e">
        <f t="shared" si="192"/>
        <v>#REF!</v>
      </c>
      <c r="Q249" s="307" t="e">
        <f t="shared" si="192"/>
        <v>#REF!</v>
      </c>
      <c r="R249" s="307" t="e">
        <f t="shared" si="192"/>
        <v>#REF!</v>
      </c>
      <c r="S249" s="307"/>
      <c r="T249" s="307"/>
      <c r="U249" s="307"/>
      <c r="V249" s="307"/>
      <c r="W249" s="307"/>
      <c r="X249" s="307"/>
      <c r="Y249" s="307"/>
      <c r="Z249" s="309"/>
      <c r="AA249" s="309"/>
      <c r="AB249" s="309"/>
      <c r="AC249" s="309"/>
      <c r="AD249" s="309">
        <f t="shared" ref="AD249:AR249" si="193">AD248+AD235+AD236</f>
        <v>-2.7070000000000025</v>
      </c>
      <c r="AE249" s="309">
        <f t="shared" si="193"/>
        <v>28.928999999999995</v>
      </c>
      <c r="AF249" s="309">
        <f t="shared" si="193"/>
        <v>38.575999999999993</v>
      </c>
      <c r="AG249" s="309">
        <f t="shared" si="193"/>
        <v>-14.730000000000006</v>
      </c>
      <c r="AH249" s="309">
        <f t="shared" si="193"/>
        <v>-1.1770000000000056</v>
      </c>
      <c r="AI249" s="309">
        <f t="shared" si="193"/>
        <v>10.961000000000015</v>
      </c>
      <c r="AJ249" s="309">
        <f t="shared" si="193"/>
        <v>6.099000000000018</v>
      </c>
      <c r="AK249" s="309">
        <f t="shared" si="193"/>
        <v>2.8740000000000001</v>
      </c>
      <c r="AL249" s="309">
        <f t="shared" si="193"/>
        <v>23.972999999999985</v>
      </c>
      <c r="AM249" s="310">
        <f t="shared" si="193"/>
        <v>-5.5999999999999943</v>
      </c>
      <c r="AN249" s="309" t="e">
        <f t="shared" si="193"/>
        <v>#REF!</v>
      </c>
      <c r="AO249" s="309" t="e">
        <f t="shared" si="193"/>
        <v>#REF!</v>
      </c>
      <c r="AP249" s="309" t="e">
        <f t="shared" si="193"/>
        <v>#REF!</v>
      </c>
      <c r="AQ249" s="309" t="e">
        <f t="shared" si="193"/>
        <v>#REF!</v>
      </c>
      <c r="AR249" s="309" t="e">
        <f t="shared" si="193"/>
        <v>#REF!</v>
      </c>
      <c r="AS249" s="164"/>
    </row>
    <row r="250" spans="1:45" s="167" customFormat="1" x14ac:dyDescent="0.35">
      <c r="A250" s="164"/>
      <c r="B250" s="315"/>
      <c r="C250" s="164"/>
      <c r="D250" s="164"/>
      <c r="E250" s="164"/>
      <c r="F250" s="164"/>
      <c r="G250" s="164"/>
      <c r="H250" s="164"/>
      <c r="I250" s="164"/>
      <c r="J250" s="164"/>
      <c r="K250" s="164"/>
      <c r="L250" s="164"/>
      <c r="M250" s="164"/>
      <c r="N250" s="164"/>
      <c r="O250" s="165"/>
      <c r="P250" s="164"/>
      <c r="Q250" s="164"/>
      <c r="R250" s="164"/>
      <c r="S250" s="164"/>
      <c r="T250" s="164"/>
      <c r="U250" s="164"/>
      <c r="V250" s="164"/>
      <c r="W250" s="164"/>
      <c r="X250" s="164"/>
      <c r="Y250" s="164"/>
      <c r="Z250" s="250"/>
      <c r="AA250" s="250"/>
      <c r="AB250" s="250"/>
      <c r="AC250" s="250"/>
      <c r="AD250" s="250"/>
      <c r="AE250" s="250"/>
      <c r="AF250" s="250"/>
      <c r="AG250" s="250"/>
      <c r="AH250" s="250"/>
      <c r="AI250" s="250"/>
      <c r="AJ250" s="250"/>
      <c r="AK250" s="250"/>
      <c r="AL250" s="250"/>
      <c r="AM250" s="264"/>
      <c r="AN250" s="250"/>
      <c r="AO250" s="250"/>
      <c r="AP250" s="250"/>
      <c r="AQ250" s="250"/>
      <c r="AR250" s="250"/>
      <c r="AS250" s="166"/>
    </row>
    <row r="251" spans="1:45" s="167" customFormat="1" x14ac:dyDescent="0.35">
      <c r="A251" s="242" t="s">
        <v>811</v>
      </c>
      <c r="B251" s="243"/>
      <c r="C251" s="243"/>
      <c r="D251" s="243"/>
      <c r="E251" s="243"/>
      <c r="F251" s="243"/>
      <c r="G251" s="243"/>
      <c r="H251" s="243"/>
      <c r="I251" s="243"/>
      <c r="J251" s="243"/>
      <c r="K251" s="243"/>
      <c r="L251" s="243"/>
      <c r="M251" s="243"/>
      <c r="N251" s="243"/>
      <c r="O251" s="245"/>
      <c r="P251" s="243"/>
      <c r="Q251" s="243"/>
      <c r="R251" s="243"/>
      <c r="S251" s="243"/>
      <c r="T251" s="243"/>
      <c r="U251" s="243"/>
      <c r="V251" s="243"/>
      <c r="W251" s="243"/>
      <c r="X251" s="243"/>
      <c r="Y251" s="243"/>
      <c r="Z251" s="243"/>
      <c r="AA251" s="243"/>
      <c r="AB251" s="243"/>
      <c r="AC251" s="243"/>
      <c r="AD251" s="243"/>
      <c r="AE251" s="243"/>
      <c r="AF251" s="243"/>
      <c r="AG251" s="243"/>
      <c r="AH251" s="243"/>
      <c r="AI251" s="243"/>
      <c r="AJ251" s="243"/>
      <c r="AK251" s="243"/>
      <c r="AL251" s="243"/>
      <c r="AM251" s="245"/>
      <c r="AN251" s="243"/>
      <c r="AO251" s="243"/>
      <c r="AP251" s="243"/>
      <c r="AQ251" s="243"/>
      <c r="AR251" s="243"/>
      <c r="AS251" s="166"/>
    </row>
    <row r="252" spans="1:45" s="167" customFormat="1" x14ac:dyDescent="0.35">
      <c r="A252" s="166" t="s">
        <v>812</v>
      </c>
      <c r="B252" s="315"/>
      <c r="C252" s="166">
        <f t="shared" ref="C252:R252" si="194">C426</f>
        <v>46.62</v>
      </c>
      <c r="D252" s="166">
        <f t="shared" si="194"/>
        <v>61.643000000000001</v>
      </c>
      <c r="E252" s="166">
        <f t="shared" si="194"/>
        <v>43.317999999999998</v>
      </c>
      <c r="F252" s="166">
        <f t="shared" si="194"/>
        <v>72.831000000000003</v>
      </c>
      <c r="G252" s="166">
        <f t="shared" si="194"/>
        <v>52.774000000000001</v>
      </c>
      <c r="H252" s="166">
        <f t="shared" si="194"/>
        <v>79.263000000000005</v>
      </c>
      <c r="I252" s="166">
        <f t="shared" si="194"/>
        <v>49.433</v>
      </c>
      <c r="J252" s="166">
        <f t="shared" si="194"/>
        <v>80.138999999999996</v>
      </c>
      <c r="K252" s="166">
        <f t="shared" si="194"/>
        <v>71.245000000000005</v>
      </c>
      <c r="L252" s="166">
        <f t="shared" si="194"/>
        <v>101.724</v>
      </c>
      <c r="M252" s="166">
        <f t="shared" si="194"/>
        <v>74.283000000000001</v>
      </c>
      <c r="N252" s="166">
        <f t="shared" si="194"/>
        <v>97.316000000000003</v>
      </c>
      <c r="O252" s="311">
        <f t="shared" si="194"/>
        <v>97.721999999999994</v>
      </c>
      <c r="P252" s="164" t="e">
        <f t="shared" si="194"/>
        <v>#REF!</v>
      </c>
      <c r="Q252" s="164" t="e">
        <f t="shared" si="194"/>
        <v>#REF!</v>
      </c>
      <c r="R252" s="164" t="e">
        <f t="shared" si="194"/>
        <v>#REF!</v>
      </c>
      <c r="S252" s="164"/>
      <c r="T252" s="164"/>
      <c r="U252" s="164"/>
      <c r="V252" s="164"/>
      <c r="W252" s="164"/>
      <c r="X252" s="164"/>
      <c r="Y252" s="164"/>
      <c r="Z252" s="250"/>
      <c r="AA252" s="250"/>
      <c r="AB252" s="250"/>
      <c r="AC252" s="250"/>
      <c r="AD252" s="250">
        <f t="shared" ref="AD252:AR252" si="195">AD426</f>
        <v>8.6760000000000002</v>
      </c>
      <c r="AE252" s="250">
        <f t="shared" si="195"/>
        <v>37.72</v>
      </c>
      <c r="AF252" s="304">
        <f t="shared" si="195"/>
        <v>74.641999999999996</v>
      </c>
      <c r="AG252" s="304">
        <f t="shared" si="195"/>
        <v>62.360999999999997</v>
      </c>
      <c r="AH252" s="304">
        <f t="shared" si="195"/>
        <v>61.643000000000001</v>
      </c>
      <c r="AI252" s="304">
        <f t="shared" si="195"/>
        <v>72.831000000000003</v>
      </c>
      <c r="AJ252" s="304">
        <f t="shared" si="195"/>
        <v>79.263000000000005</v>
      </c>
      <c r="AK252" s="304">
        <f t="shared" si="195"/>
        <v>80.138999999999996</v>
      </c>
      <c r="AL252" s="304">
        <f t="shared" si="195"/>
        <v>101.724</v>
      </c>
      <c r="AM252" s="312">
        <f t="shared" si="195"/>
        <v>97.316000000000003</v>
      </c>
      <c r="AN252" s="304" t="e">
        <f t="shared" si="195"/>
        <v>#REF!</v>
      </c>
      <c r="AO252" s="250" t="e">
        <f t="shared" si="195"/>
        <v>#REF!</v>
      </c>
      <c r="AP252" s="250" t="e">
        <f t="shared" si="195"/>
        <v>#REF!</v>
      </c>
      <c r="AQ252" s="250" t="e">
        <f t="shared" si="195"/>
        <v>#REF!</v>
      </c>
      <c r="AR252" s="250" t="e">
        <f t="shared" si="195"/>
        <v>#REF!</v>
      </c>
      <c r="AS252" s="166"/>
    </row>
    <row r="253" spans="1:45" s="167" customFormat="1" x14ac:dyDescent="0.35">
      <c r="A253" s="303" t="s">
        <v>813</v>
      </c>
      <c r="B253" s="315"/>
      <c r="C253" s="166">
        <f t="shared" ref="C253:O253" si="196">C444</f>
        <v>0</v>
      </c>
      <c r="D253" s="166">
        <f t="shared" si="196"/>
        <v>0</v>
      </c>
      <c r="E253" s="166">
        <f t="shared" si="196"/>
        <v>0</v>
      </c>
      <c r="F253" s="166">
        <f t="shared" si="196"/>
        <v>0</v>
      </c>
      <c r="G253" s="166">
        <f t="shared" si="196"/>
        <v>0</v>
      </c>
      <c r="H253" s="166">
        <f t="shared" si="196"/>
        <v>0</v>
      </c>
      <c r="I253" s="166">
        <f t="shared" si="196"/>
        <v>0</v>
      </c>
      <c r="J253" s="166">
        <f t="shared" si="196"/>
        <v>0</v>
      </c>
      <c r="K253" s="166">
        <f t="shared" si="196"/>
        <v>0</v>
      </c>
      <c r="L253" s="166">
        <f t="shared" si="196"/>
        <v>0</v>
      </c>
      <c r="M253" s="166">
        <f t="shared" si="196"/>
        <v>0</v>
      </c>
      <c r="N253" s="166">
        <f t="shared" si="196"/>
        <v>0</v>
      </c>
      <c r="O253" s="311">
        <f t="shared" si="196"/>
        <v>0</v>
      </c>
      <c r="P253" s="164">
        <f>P255-P254</f>
        <v>0</v>
      </c>
      <c r="Q253" s="164">
        <f>Q255-Q254</f>
        <v>0</v>
      </c>
      <c r="R253" s="164">
        <f>R255-R254</f>
        <v>0</v>
      </c>
      <c r="S253" s="164"/>
      <c r="T253" s="164"/>
      <c r="U253" s="164"/>
      <c r="V253" s="164"/>
      <c r="W253" s="164"/>
      <c r="X253" s="164"/>
      <c r="Y253" s="164"/>
      <c r="Z253" s="250"/>
      <c r="AA253" s="250"/>
      <c r="AB253" s="250"/>
      <c r="AC253" s="250"/>
      <c r="AD253" s="250">
        <f t="shared" ref="AD253:AO253" si="197">AD444</f>
        <v>0</v>
      </c>
      <c r="AE253" s="250">
        <f t="shared" si="197"/>
        <v>0</v>
      </c>
      <c r="AF253" s="304">
        <f t="shared" si="197"/>
        <v>0</v>
      </c>
      <c r="AG253" s="304">
        <f t="shared" si="197"/>
        <v>0</v>
      </c>
      <c r="AH253" s="304">
        <f t="shared" si="197"/>
        <v>0</v>
      </c>
      <c r="AI253" s="304">
        <f t="shared" si="197"/>
        <v>0</v>
      </c>
      <c r="AJ253" s="304">
        <f t="shared" si="197"/>
        <v>0</v>
      </c>
      <c r="AK253" s="304">
        <f t="shared" si="197"/>
        <v>0</v>
      </c>
      <c r="AL253" s="304">
        <f t="shared" si="197"/>
        <v>0</v>
      </c>
      <c r="AM253" s="312">
        <f t="shared" si="197"/>
        <v>0</v>
      </c>
      <c r="AN253" s="304">
        <f t="shared" si="197"/>
        <v>0</v>
      </c>
      <c r="AO253" s="250">
        <f t="shared" si="197"/>
        <v>0</v>
      </c>
      <c r="AP253" s="250">
        <f>AP255-AP254</f>
        <v>0</v>
      </c>
      <c r="AQ253" s="250">
        <f>AQ255-AQ254</f>
        <v>0</v>
      </c>
      <c r="AR253" s="250">
        <f>AR255-AR254</f>
        <v>0</v>
      </c>
      <c r="AS253" s="166"/>
    </row>
    <row r="254" spans="1:45" s="167" customFormat="1" x14ac:dyDescent="0.35">
      <c r="A254" s="303" t="s">
        <v>814</v>
      </c>
      <c r="B254" s="315"/>
      <c r="C254" s="166">
        <f t="shared" ref="C254:O254" si="198">C450</f>
        <v>0</v>
      </c>
      <c r="D254" s="166">
        <f t="shared" si="198"/>
        <v>0</v>
      </c>
      <c r="E254" s="166">
        <f t="shared" si="198"/>
        <v>0</v>
      </c>
      <c r="F254" s="166">
        <f t="shared" si="198"/>
        <v>0</v>
      </c>
      <c r="G254" s="166">
        <f t="shared" si="198"/>
        <v>0</v>
      </c>
      <c r="H254" s="166">
        <f t="shared" si="198"/>
        <v>0</v>
      </c>
      <c r="I254" s="166">
        <f t="shared" si="198"/>
        <v>0</v>
      </c>
      <c r="J254" s="166">
        <f t="shared" si="198"/>
        <v>0</v>
      </c>
      <c r="K254" s="166">
        <f t="shared" si="198"/>
        <v>0</v>
      </c>
      <c r="L254" s="166">
        <f t="shared" si="198"/>
        <v>0</v>
      </c>
      <c r="M254" s="166">
        <f t="shared" si="198"/>
        <v>0</v>
      </c>
      <c r="N254" s="166">
        <f t="shared" si="198"/>
        <v>0</v>
      </c>
      <c r="O254" s="311">
        <f t="shared" si="198"/>
        <v>0</v>
      </c>
      <c r="P254" s="164">
        <f>MAX(0,O254+P235)</f>
        <v>0</v>
      </c>
      <c r="Q254" s="164">
        <f>MAX(0,AN254+Q235)</f>
        <v>0</v>
      </c>
      <c r="R254" s="164">
        <f>MAX(0,Q254+R235)</f>
        <v>0</v>
      </c>
      <c r="S254" s="164"/>
      <c r="T254" s="164"/>
      <c r="U254" s="164"/>
      <c r="V254" s="164"/>
      <c r="W254" s="164"/>
      <c r="X254" s="164"/>
      <c r="Y254" s="164"/>
      <c r="Z254" s="250"/>
      <c r="AA254" s="250"/>
      <c r="AB254" s="250"/>
      <c r="AC254" s="250"/>
      <c r="AD254" s="250">
        <f t="shared" ref="AD254:AO254" si="199">AD450</f>
        <v>0</v>
      </c>
      <c r="AE254" s="250">
        <f t="shared" si="199"/>
        <v>0</v>
      </c>
      <c r="AF254" s="304">
        <f t="shared" si="199"/>
        <v>0</v>
      </c>
      <c r="AG254" s="304">
        <f t="shared" si="199"/>
        <v>0</v>
      </c>
      <c r="AH254" s="304">
        <f t="shared" si="199"/>
        <v>0</v>
      </c>
      <c r="AI254" s="304">
        <f t="shared" si="199"/>
        <v>0</v>
      </c>
      <c r="AJ254" s="304">
        <f t="shared" si="199"/>
        <v>0</v>
      </c>
      <c r="AK254" s="304">
        <f t="shared" si="199"/>
        <v>0</v>
      </c>
      <c r="AL254" s="304">
        <f t="shared" si="199"/>
        <v>0</v>
      </c>
      <c r="AM254" s="312">
        <f t="shared" si="199"/>
        <v>0</v>
      </c>
      <c r="AN254" s="304">
        <f t="shared" si="199"/>
        <v>0</v>
      </c>
      <c r="AO254" s="250">
        <f t="shared" si="199"/>
        <v>0</v>
      </c>
      <c r="AP254" s="250">
        <f>MAX(0,AO254+AP235)</f>
        <v>0</v>
      </c>
      <c r="AQ254" s="250">
        <f>MAX(0,AP254+AQ235)</f>
        <v>0</v>
      </c>
      <c r="AR254" s="250">
        <f>MAX(0,AQ254+AR235)</f>
        <v>0</v>
      </c>
      <c r="AS254" s="166"/>
    </row>
    <row r="255" spans="1:45" s="167" customFormat="1" x14ac:dyDescent="0.35">
      <c r="A255" s="407" t="s">
        <v>815</v>
      </c>
      <c r="B255" s="406"/>
      <c r="C255" s="407">
        <f t="shared" ref="C255:O255" si="200">C444+C450</f>
        <v>0</v>
      </c>
      <c r="D255" s="407">
        <f t="shared" si="200"/>
        <v>0</v>
      </c>
      <c r="E255" s="407">
        <f t="shared" si="200"/>
        <v>0</v>
      </c>
      <c r="F255" s="407">
        <f t="shared" si="200"/>
        <v>0</v>
      </c>
      <c r="G255" s="407">
        <f t="shared" si="200"/>
        <v>0</v>
      </c>
      <c r="H255" s="407">
        <f t="shared" si="200"/>
        <v>0</v>
      </c>
      <c r="I255" s="407">
        <f t="shared" si="200"/>
        <v>0</v>
      </c>
      <c r="J255" s="407">
        <f t="shared" si="200"/>
        <v>0</v>
      </c>
      <c r="K255" s="407">
        <f t="shared" si="200"/>
        <v>0</v>
      </c>
      <c r="L255" s="407">
        <f t="shared" si="200"/>
        <v>0</v>
      </c>
      <c r="M255" s="407">
        <f t="shared" si="200"/>
        <v>0</v>
      </c>
      <c r="N255" s="407">
        <f t="shared" si="200"/>
        <v>0</v>
      </c>
      <c r="O255" s="408">
        <f t="shared" si="200"/>
        <v>0</v>
      </c>
      <c r="P255" s="409">
        <f>O255+P235</f>
        <v>0</v>
      </c>
      <c r="Q255" s="409">
        <f>AN255+Q235</f>
        <v>0</v>
      </c>
      <c r="R255" s="409">
        <f>Q255+R235</f>
        <v>0</v>
      </c>
      <c r="S255" s="409"/>
      <c r="T255" s="409"/>
      <c r="U255" s="409"/>
      <c r="V255" s="409"/>
      <c r="W255" s="409"/>
      <c r="X255" s="409"/>
      <c r="Y255" s="409"/>
      <c r="Z255" s="410"/>
      <c r="AA255" s="410"/>
      <c r="AB255" s="410"/>
      <c r="AC255" s="410"/>
      <c r="AD255" s="410">
        <f t="shared" ref="AD255:AO255" si="201">AD444+AD450</f>
        <v>0</v>
      </c>
      <c r="AE255" s="410">
        <f t="shared" si="201"/>
        <v>0</v>
      </c>
      <c r="AF255" s="411">
        <f t="shared" si="201"/>
        <v>0</v>
      </c>
      <c r="AG255" s="411">
        <f t="shared" si="201"/>
        <v>0</v>
      </c>
      <c r="AH255" s="411">
        <f t="shared" si="201"/>
        <v>0</v>
      </c>
      <c r="AI255" s="411">
        <f t="shared" si="201"/>
        <v>0</v>
      </c>
      <c r="AJ255" s="411">
        <f t="shared" si="201"/>
        <v>0</v>
      </c>
      <c r="AK255" s="411">
        <f t="shared" si="201"/>
        <v>0</v>
      </c>
      <c r="AL255" s="411">
        <f t="shared" si="201"/>
        <v>0</v>
      </c>
      <c r="AM255" s="412">
        <f t="shared" si="201"/>
        <v>0</v>
      </c>
      <c r="AN255" s="411">
        <f t="shared" si="201"/>
        <v>0</v>
      </c>
      <c r="AO255" s="410">
        <f t="shared" si="201"/>
        <v>0</v>
      </c>
      <c r="AP255" s="410">
        <f>AO255+AP235</f>
        <v>0</v>
      </c>
      <c r="AQ255" s="410">
        <f>AP255+AQ235</f>
        <v>0</v>
      </c>
      <c r="AR255" s="410">
        <f>AQ255+AR235</f>
        <v>0</v>
      </c>
      <c r="AS255" s="166"/>
    </row>
    <row r="256" spans="1:45" s="167" customFormat="1" x14ac:dyDescent="0.35">
      <c r="A256" s="166" t="s">
        <v>816</v>
      </c>
      <c r="B256" s="315"/>
      <c r="C256" s="166">
        <f t="shared" ref="C256:R256" si="202">C442+C449</f>
        <v>0</v>
      </c>
      <c r="D256" s="166">
        <f t="shared" si="202"/>
        <v>0</v>
      </c>
      <c r="E256" s="166">
        <f t="shared" si="202"/>
        <v>0</v>
      </c>
      <c r="F256" s="166">
        <f t="shared" si="202"/>
        <v>0</v>
      </c>
      <c r="G256" s="166">
        <f t="shared" si="202"/>
        <v>0</v>
      </c>
      <c r="H256" s="166">
        <f t="shared" si="202"/>
        <v>0</v>
      </c>
      <c r="I256" s="166">
        <f t="shared" si="202"/>
        <v>7.5919999999999996</v>
      </c>
      <c r="J256" s="166">
        <f t="shared" si="202"/>
        <v>9.8390000000000004</v>
      </c>
      <c r="K256" s="166">
        <f t="shared" si="202"/>
        <v>8.6940000000000008</v>
      </c>
      <c r="L256" s="166">
        <f t="shared" si="202"/>
        <v>8.3019999999999996</v>
      </c>
      <c r="M256" s="166">
        <f t="shared" si="202"/>
        <v>7.8289999999999997</v>
      </c>
      <c r="N256" s="166">
        <f t="shared" si="202"/>
        <v>6.6660000000000004</v>
      </c>
      <c r="O256" s="311">
        <f t="shared" si="202"/>
        <v>6.4290000000000003</v>
      </c>
      <c r="P256" s="164">
        <f t="shared" si="202"/>
        <v>6.3640031235544186</v>
      </c>
      <c r="Q256" s="164">
        <f t="shared" si="202"/>
        <v>6.5997404876751116</v>
      </c>
      <c r="R256" s="164">
        <f t="shared" si="202"/>
        <v>6.5897665198151429</v>
      </c>
      <c r="S256" s="164"/>
      <c r="T256" s="164"/>
      <c r="U256" s="164"/>
      <c r="V256" s="164"/>
      <c r="W256" s="164"/>
      <c r="X256" s="164"/>
      <c r="Y256" s="164"/>
      <c r="Z256" s="250"/>
      <c r="AA256" s="250"/>
      <c r="AB256" s="250"/>
      <c r="AC256" s="250"/>
      <c r="AD256" s="250">
        <f t="shared" ref="AD256:AR256" si="203">AD442+AD449</f>
        <v>0</v>
      </c>
      <c r="AE256" s="250">
        <f t="shared" si="203"/>
        <v>0</v>
      </c>
      <c r="AF256" s="304">
        <f t="shared" si="203"/>
        <v>0</v>
      </c>
      <c r="AG256" s="304">
        <f t="shared" si="203"/>
        <v>0</v>
      </c>
      <c r="AH256" s="304">
        <f t="shared" si="203"/>
        <v>0</v>
      </c>
      <c r="AI256" s="304">
        <f t="shared" si="203"/>
        <v>0</v>
      </c>
      <c r="AJ256" s="304">
        <f t="shared" si="203"/>
        <v>0</v>
      </c>
      <c r="AK256" s="304">
        <f t="shared" si="203"/>
        <v>9.8390000000000004</v>
      </c>
      <c r="AL256" s="304">
        <f t="shared" si="203"/>
        <v>8.3019999999999996</v>
      </c>
      <c r="AM256" s="312">
        <f t="shared" si="203"/>
        <v>6.6660000000000004</v>
      </c>
      <c r="AN256" s="304">
        <f t="shared" si="203"/>
        <v>6.3640031235544186</v>
      </c>
      <c r="AO256" s="250">
        <f t="shared" si="203"/>
        <v>6.5897665198151429</v>
      </c>
      <c r="AP256" s="250">
        <f t="shared" si="203"/>
        <v>6.7921739916760853</v>
      </c>
      <c r="AQ256" s="250">
        <f t="shared" si="203"/>
        <v>6.9986296129742467</v>
      </c>
      <c r="AR256" s="250">
        <f t="shared" si="203"/>
        <v>7.2092143466983689</v>
      </c>
      <c r="AS256" s="166"/>
    </row>
    <row r="257" spans="1:45" s="167" customFormat="1" x14ac:dyDescent="0.35">
      <c r="A257" s="166" t="s">
        <v>66</v>
      </c>
      <c r="B257" s="315"/>
      <c r="C257" s="166">
        <f t="shared" ref="C257:R257" si="204">C255+C256-C252</f>
        <v>-46.62</v>
      </c>
      <c r="D257" s="166">
        <f t="shared" si="204"/>
        <v>-61.643000000000001</v>
      </c>
      <c r="E257" s="166">
        <f t="shared" si="204"/>
        <v>-43.317999999999998</v>
      </c>
      <c r="F257" s="166">
        <f t="shared" si="204"/>
        <v>-72.831000000000003</v>
      </c>
      <c r="G257" s="166">
        <f t="shared" si="204"/>
        <v>-52.774000000000001</v>
      </c>
      <c r="H257" s="166">
        <f t="shared" si="204"/>
        <v>-79.263000000000005</v>
      </c>
      <c r="I257" s="166">
        <f t="shared" si="204"/>
        <v>-41.841000000000001</v>
      </c>
      <c r="J257" s="166">
        <f t="shared" si="204"/>
        <v>-70.3</v>
      </c>
      <c r="K257" s="166">
        <f t="shared" si="204"/>
        <v>-62.551000000000002</v>
      </c>
      <c r="L257" s="166">
        <f t="shared" si="204"/>
        <v>-93.421999999999997</v>
      </c>
      <c r="M257" s="166">
        <f t="shared" si="204"/>
        <v>-66.454000000000008</v>
      </c>
      <c r="N257" s="166">
        <f t="shared" si="204"/>
        <v>-90.65</v>
      </c>
      <c r="O257" s="311">
        <f t="shared" si="204"/>
        <v>-91.292999999999992</v>
      </c>
      <c r="P257" s="164" t="e">
        <f t="shared" si="204"/>
        <v>#REF!</v>
      </c>
      <c r="Q257" s="164" t="e">
        <f t="shared" si="204"/>
        <v>#REF!</v>
      </c>
      <c r="R257" s="164" t="e">
        <f t="shared" si="204"/>
        <v>#REF!</v>
      </c>
      <c r="S257" s="164"/>
      <c r="T257" s="164"/>
      <c r="U257" s="164"/>
      <c r="V257" s="164"/>
      <c r="W257" s="164"/>
      <c r="X257" s="164"/>
      <c r="Y257" s="164"/>
      <c r="Z257" s="250"/>
      <c r="AA257" s="250"/>
      <c r="AB257" s="250"/>
      <c r="AC257" s="250"/>
      <c r="AD257" s="250">
        <f t="shared" ref="AD257:AR257" si="205">AD255+AD256-AD252</f>
        <v>-8.6760000000000002</v>
      </c>
      <c r="AE257" s="250">
        <f t="shared" si="205"/>
        <v>-37.72</v>
      </c>
      <c r="AF257" s="304">
        <f t="shared" si="205"/>
        <v>-74.641999999999996</v>
      </c>
      <c r="AG257" s="304">
        <f t="shared" si="205"/>
        <v>-62.360999999999997</v>
      </c>
      <c r="AH257" s="304">
        <f t="shared" si="205"/>
        <v>-61.643000000000001</v>
      </c>
      <c r="AI257" s="304">
        <f t="shared" si="205"/>
        <v>-72.831000000000003</v>
      </c>
      <c r="AJ257" s="304">
        <f t="shared" si="205"/>
        <v>-79.263000000000005</v>
      </c>
      <c r="AK257" s="304">
        <f t="shared" si="205"/>
        <v>-70.3</v>
      </c>
      <c r="AL257" s="304">
        <f t="shared" si="205"/>
        <v>-93.421999999999997</v>
      </c>
      <c r="AM257" s="312">
        <f t="shared" si="205"/>
        <v>-90.65</v>
      </c>
      <c r="AN257" s="304" t="e">
        <f t="shared" si="205"/>
        <v>#REF!</v>
      </c>
      <c r="AO257" s="250" t="e">
        <f t="shared" si="205"/>
        <v>#REF!</v>
      </c>
      <c r="AP257" s="250" t="e">
        <f t="shared" si="205"/>
        <v>#REF!</v>
      </c>
      <c r="AQ257" s="250" t="e">
        <f t="shared" si="205"/>
        <v>#REF!</v>
      </c>
      <c r="AR257" s="250" t="e">
        <f t="shared" si="205"/>
        <v>#REF!</v>
      </c>
      <c r="AS257" s="166"/>
    </row>
    <row r="258" spans="1:45" s="167" customFormat="1" x14ac:dyDescent="0.35">
      <c r="A258" s="164"/>
      <c r="B258" s="315"/>
      <c r="C258" s="164"/>
      <c r="D258" s="164"/>
      <c r="E258" s="164"/>
      <c r="F258" s="164"/>
      <c r="G258" s="164"/>
      <c r="H258" s="164"/>
      <c r="I258" s="164"/>
      <c r="J258" s="164"/>
      <c r="K258" s="164"/>
      <c r="L258" s="164"/>
      <c r="M258" s="164"/>
      <c r="N258" s="164"/>
      <c r="O258" s="165"/>
      <c r="P258" s="164"/>
      <c r="Q258" s="164"/>
      <c r="R258" s="164"/>
      <c r="S258" s="164"/>
      <c r="T258" s="164"/>
      <c r="U258" s="164"/>
      <c r="V258" s="164"/>
      <c r="W258" s="164"/>
      <c r="X258" s="164"/>
      <c r="Y258" s="164"/>
      <c r="Z258" s="250"/>
      <c r="AA258" s="250"/>
      <c r="AB258" s="250"/>
      <c r="AC258" s="250"/>
      <c r="AD258" s="250"/>
      <c r="AE258" s="250"/>
      <c r="AF258" s="250"/>
      <c r="AG258" s="250"/>
      <c r="AH258" s="250"/>
      <c r="AI258" s="250"/>
      <c r="AJ258" s="250"/>
      <c r="AK258" s="250"/>
      <c r="AL258" s="250"/>
      <c r="AM258" s="264"/>
      <c r="AN258" s="250"/>
      <c r="AO258" s="250"/>
      <c r="AP258" s="250"/>
      <c r="AQ258" s="250"/>
      <c r="AR258" s="250"/>
      <c r="AS258" s="166"/>
    </row>
    <row r="259" spans="1:45" s="167" customFormat="1" x14ac:dyDescent="0.35">
      <c r="A259" s="166" t="s">
        <v>817</v>
      </c>
      <c r="B259" s="315"/>
      <c r="C259" s="524">
        <f t="shared" ref="C259:O259" si="206">C281</f>
        <v>0</v>
      </c>
      <c r="D259" s="524">
        <f t="shared" si="206"/>
        <v>0</v>
      </c>
      <c r="E259" s="524">
        <f t="shared" si="206"/>
        <v>0</v>
      </c>
      <c r="F259" s="524">
        <f t="shared" si="206"/>
        <v>0</v>
      </c>
      <c r="G259" s="524">
        <f t="shared" si="206"/>
        <v>0</v>
      </c>
      <c r="H259" s="524">
        <f t="shared" si="206"/>
        <v>0</v>
      </c>
      <c r="I259" s="524">
        <f t="shared" si="206"/>
        <v>0</v>
      </c>
      <c r="J259" s="524">
        <f t="shared" si="206"/>
        <v>0</v>
      </c>
      <c r="K259" s="524">
        <f t="shared" si="206"/>
        <v>0</v>
      </c>
      <c r="L259" s="524">
        <f t="shared" si="206"/>
        <v>0</v>
      </c>
      <c r="M259" s="524">
        <f t="shared" si="206"/>
        <v>0</v>
      </c>
      <c r="N259" s="524">
        <f t="shared" si="206"/>
        <v>0</v>
      </c>
      <c r="O259" s="525">
        <f t="shared" si="206"/>
        <v>0</v>
      </c>
      <c r="P259" s="524">
        <f>MAX(0,P260*AVERAGE(O255,P255)*P3/AN3)</f>
        <v>0</v>
      </c>
      <c r="Q259" s="524">
        <f>MAX(0,Q260*AVERAGE(AN255,Q255)*Q3/AO3)</f>
        <v>0</v>
      </c>
      <c r="R259" s="524">
        <f>MAX(0,R260*AVERAGE(Q255,R255)*R3/AO3)</f>
        <v>0</v>
      </c>
      <c r="S259" s="524"/>
      <c r="T259" s="524"/>
      <c r="U259" s="524"/>
      <c r="V259" s="524"/>
      <c r="W259" s="524"/>
      <c r="X259" s="524"/>
      <c r="Y259" s="524"/>
      <c r="Z259" s="526"/>
      <c r="AA259" s="526"/>
      <c r="AB259" s="526"/>
      <c r="AC259" s="526"/>
      <c r="AD259" s="526">
        <f t="shared" ref="AD259:AM259" si="207">AD281</f>
        <v>0</v>
      </c>
      <c r="AE259" s="527">
        <f t="shared" si="207"/>
        <v>0</v>
      </c>
      <c r="AF259" s="527">
        <f t="shared" si="207"/>
        <v>0</v>
      </c>
      <c r="AG259" s="527">
        <f t="shared" si="207"/>
        <v>0</v>
      </c>
      <c r="AH259" s="527">
        <f t="shared" si="207"/>
        <v>0</v>
      </c>
      <c r="AI259" s="527">
        <f t="shared" si="207"/>
        <v>0</v>
      </c>
      <c r="AJ259" s="527">
        <f t="shared" si="207"/>
        <v>0</v>
      </c>
      <c r="AK259" s="527">
        <f t="shared" si="207"/>
        <v>0</v>
      </c>
      <c r="AL259" s="527">
        <f t="shared" si="207"/>
        <v>0</v>
      </c>
      <c r="AM259" s="528">
        <f t="shared" si="207"/>
        <v>0</v>
      </c>
      <c r="AN259" s="527">
        <f>IF(OR(ISBLANK(O259),ISBLANK(P259)),"n/a",SUM(O259,P259))</f>
        <v>0</v>
      </c>
      <c r="AO259" s="526">
        <f>IF(OR(ISBLANK(Q259),ISBLANK(R259)),"n/a",SUM(Q259,R259))</f>
        <v>0</v>
      </c>
      <c r="AP259" s="526">
        <f>MAX(0,AP260*AVERAGE(AO255,AP255))</f>
        <v>0</v>
      </c>
      <c r="AQ259" s="526">
        <f>MAX(0,AQ260*AVERAGE(AP255,AQ255))</f>
        <v>0</v>
      </c>
      <c r="AR259" s="526">
        <f>MAX(0,AR260*AVERAGE(AQ255,AR255))</f>
        <v>0</v>
      </c>
      <c r="AS259" s="166"/>
    </row>
    <row r="260" spans="1:45" s="167" customFormat="1" x14ac:dyDescent="0.35">
      <c r="A260" s="261" t="s">
        <v>818</v>
      </c>
      <c r="B260" s="368"/>
      <c r="C260" s="230" t="str">
        <f>IFERROR(C259/AVERAGE(C255,AG255)*(AH3/C3),"n/a")</f>
        <v>n/a</v>
      </c>
      <c r="D260" s="230" t="str">
        <f>IFERROR(D259/AVERAGE(D255,C255)*(AH3/D3),"n/a")</f>
        <v>n/a</v>
      </c>
      <c r="E260" s="230" t="str">
        <f>IFERROR(E259/AVERAGE(E255,AH255)*(AI3/E3),"n/a")</f>
        <v>n/a</v>
      </c>
      <c r="F260" s="230" t="str">
        <f>IFERROR(F259/AVERAGE(F255,E255)*(AI3/F3),"n/a")</f>
        <v>n/a</v>
      </c>
      <c r="G260" s="230" t="str">
        <f>IFERROR(G259/AVERAGE(G255,AI255)*(AJ3/G3),"n/a")</f>
        <v>n/a</v>
      </c>
      <c r="H260" s="230" t="str">
        <f>IFERROR(H259/AVERAGE(H255,G255)*(AJ3/H3),"n/a")</f>
        <v>n/a</v>
      </c>
      <c r="I260" s="230" t="str">
        <f>IFERROR(I259/AVERAGE(I255,AJ255)*(AK3/I3),"n/a")</f>
        <v>n/a</v>
      </c>
      <c r="J260" s="230" t="str">
        <f>IFERROR(J259/AVERAGE(J255,I255)*(AK3/J3),"n/a")</f>
        <v>n/a</v>
      </c>
      <c r="K260" s="230" t="str">
        <f>IFERROR(K259/AVERAGE(K255,AK255)*(AL3/K3),"n/a")</f>
        <v>n/a</v>
      </c>
      <c r="L260" s="230" t="str">
        <f>IFERROR(L259/AVERAGE(L255,K255)*(AL3/L3),"n/a")</f>
        <v>n/a</v>
      </c>
      <c r="M260" s="230" t="str">
        <f>IFERROR(M259/AVERAGE(M255,AL255)*(AM3/M3),"n/a")</f>
        <v>n/a</v>
      </c>
      <c r="N260" s="230" t="str">
        <f>IFERROR(N259/AVERAGE(N255,M255)*(AM3/N3),"n/a")</f>
        <v>n/a</v>
      </c>
      <c r="O260" s="231" t="str">
        <f>IFERROR(O259/AVERAGE(O255,AM255)*(AN3/O3),"n/a")</f>
        <v>n/a</v>
      </c>
      <c r="P260" s="373">
        <v>0.03</v>
      </c>
      <c r="Q260" s="373">
        <v>0.03</v>
      </c>
      <c r="R260" s="373">
        <v>0.03</v>
      </c>
      <c r="S260" s="373"/>
      <c r="T260" s="373"/>
      <c r="U260" s="373"/>
      <c r="V260" s="373"/>
      <c r="W260" s="373"/>
      <c r="X260" s="373"/>
      <c r="Y260" s="374"/>
      <c r="Z260" s="232"/>
      <c r="AA260" s="232"/>
      <c r="AB260" s="232"/>
      <c r="AC260" s="232"/>
      <c r="AD260" s="232"/>
      <c r="AE260" s="232" t="str">
        <f>IFERROR(AE259/AVERAGE(AD255,AE255),"n/a")</f>
        <v>n/a</v>
      </c>
      <c r="AF260" s="232" t="str">
        <f>IFERROR(AF259/AVERAGE(AE255,AF255),"n/a")</f>
        <v>n/a</v>
      </c>
      <c r="AG260" s="375" t="str">
        <f>IFERROR(AG259/AVERAGE(AF255,AG255),"n/a")</f>
        <v>n/a</v>
      </c>
      <c r="AH260" s="375" t="str">
        <f>IFERROR(AH259/AVERAGE(C255,D255),"n/a")</f>
        <v>n/a</v>
      </c>
      <c r="AI260" s="375" t="str">
        <f>IFERROR(AI259/AVERAGE(E255,F255),"n/a")</f>
        <v>n/a</v>
      </c>
      <c r="AJ260" s="375" t="str">
        <f>IFERROR(AJ259/AVERAGE(G255,H255),"n/a")</f>
        <v>n/a</v>
      </c>
      <c r="AK260" s="375" t="str">
        <f>IFERROR(AK259/AVERAGE(I255,J255),"n/a")</f>
        <v>n/a</v>
      </c>
      <c r="AL260" s="375" t="str">
        <f>IFERROR(AL259/AVERAGE(K255,L255),"n/a")</f>
        <v>n/a</v>
      </c>
      <c r="AM260" s="376" t="str">
        <f>IFERROR(AM259/AVERAGE(M255,N255),"n/a")</f>
        <v>n/a</v>
      </c>
      <c r="AN260" s="375" t="str">
        <f>IFERROR(AN259/AVERAGE(O255,P255),"n/a")</f>
        <v>n/a</v>
      </c>
      <c r="AO260" s="232" t="str">
        <f>IFERROR(AO259/AVERAGE(Q255,R255),"n/a")</f>
        <v>n/a</v>
      </c>
      <c r="AP260" s="377">
        <v>0.03</v>
      </c>
      <c r="AQ260" s="377">
        <v>0.03</v>
      </c>
      <c r="AR260" s="377">
        <v>0.03</v>
      </c>
      <c r="AS260" s="166"/>
    </row>
    <row r="261" spans="1:45" s="167" customFormat="1" x14ac:dyDescent="0.35">
      <c r="A261" s="164" t="s">
        <v>819</v>
      </c>
      <c r="B261" s="315"/>
      <c r="C261" s="524">
        <f t="shared" ref="C261:O261" si="208">-C284</f>
        <v>8.7999999999999995E-2</v>
      </c>
      <c r="D261" s="524">
        <f t="shared" si="208"/>
        <v>5.3999999999999992E-2</v>
      </c>
      <c r="E261" s="524">
        <f t="shared" si="208"/>
        <v>3.7999999999999999E-2</v>
      </c>
      <c r="F261" s="524">
        <f t="shared" si="208"/>
        <v>7.9000000000000015E-2</v>
      </c>
      <c r="G261" s="524">
        <f t="shared" si="208"/>
        <v>0.11</v>
      </c>
      <c r="H261" s="524">
        <f t="shared" si="208"/>
        <v>0.22300000000000003</v>
      </c>
      <c r="I261" s="524">
        <f t="shared" si="208"/>
        <v>0.154</v>
      </c>
      <c r="J261" s="524">
        <f t="shared" si="208"/>
        <v>4.6000000000000013E-2</v>
      </c>
      <c r="K261" s="524">
        <f t="shared" si="208"/>
        <v>2.4E-2</v>
      </c>
      <c r="L261" s="524">
        <f t="shared" si="208"/>
        <v>4.0000000000000001E-3</v>
      </c>
      <c r="M261" s="524">
        <f t="shared" si="208"/>
        <v>6.0000000000000001E-3</v>
      </c>
      <c r="N261" s="524">
        <f t="shared" si="208"/>
        <v>0.246</v>
      </c>
      <c r="O261" s="525">
        <f t="shared" si="208"/>
        <v>0.151</v>
      </c>
      <c r="P261" s="524">
        <f>MAX(0,P262*O252*P3/AN3)</f>
        <v>0.14537820821917807</v>
      </c>
      <c r="Q261" s="524" t="e">
        <f>MAX(0,Q262*AN252*Q3/AO3)</f>
        <v>#REF!</v>
      </c>
      <c r="R261" s="524" t="e">
        <f>MAX(0,R262*Q252*R3/AO3)</f>
        <v>#REF!</v>
      </c>
      <c r="S261" s="524"/>
      <c r="T261" s="524"/>
      <c r="U261" s="524"/>
      <c r="V261" s="524"/>
      <c r="W261" s="524"/>
      <c r="X261" s="524"/>
      <c r="Y261" s="524"/>
      <c r="Z261" s="526"/>
      <c r="AA261" s="526"/>
      <c r="AB261" s="526"/>
      <c r="AC261" s="526"/>
      <c r="AD261" s="526">
        <f t="shared" ref="AD261:AM261" si="209">-AD284</f>
        <v>8.1000000000000003E-2</v>
      </c>
      <c r="AE261" s="526">
        <f t="shared" si="209"/>
        <v>0.10199999999999999</v>
      </c>
      <c r="AF261" s="526">
        <f t="shared" si="209"/>
        <v>0.19500000000000001</v>
      </c>
      <c r="AG261" s="526">
        <f t="shared" si="209"/>
        <v>0.21299999999999999</v>
      </c>
      <c r="AH261" s="526">
        <f t="shared" si="209"/>
        <v>0.14199999999999999</v>
      </c>
      <c r="AI261" s="526">
        <f t="shared" si="209"/>
        <v>0.11700000000000001</v>
      </c>
      <c r="AJ261" s="526">
        <f t="shared" si="209"/>
        <v>0.33300000000000002</v>
      </c>
      <c r="AK261" s="526">
        <f t="shared" si="209"/>
        <v>0.2</v>
      </c>
      <c r="AL261" s="526">
        <f t="shared" si="209"/>
        <v>2.8000000000000001E-2</v>
      </c>
      <c r="AM261" s="529">
        <f t="shared" si="209"/>
        <v>0.252</v>
      </c>
      <c r="AN261" s="526">
        <f>IF(OR(ISBLANK(O261),ISBLANK(P261)),"n/a",SUM(O261,P261))</f>
        <v>0.29637820821917804</v>
      </c>
      <c r="AO261" s="526" t="e">
        <f>IF(OR(ISBLANK(Q261),ISBLANK(R261)),"n/a",SUM(Q261,R261))</f>
        <v>#REF!</v>
      </c>
      <c r="AP261" s="526" t="e">
        <f>MAX(0,AP262*AO252)</f>
        <v>#REF!</v>
      </c>
      <c r="AQ261" s="526" t="e">
        <f>MAX(0,AQ262*AP252)</f>
        <v>#REF!</v>
      </c>
      <c r="AR261" s="526" t="e">
        <f>MAX(0,AR262*AQ252)</f>
        <v>#REF!</v>
      </c>
      <c r="AS261" s="166"/>
    </row>
    <row r="262" spans="1:45" s="167" customFormat="1" x14ac:dyDescent="0.35">
      <c r="A262" s="307" t="s">
        <v>820</v>
      </c>
      <c r="B262" s="368"/>
      <c r="C262" s="230">
        <f>IFERROR(C261/AVERAGE(C252,AG252)*(AH3/C3),"N/A")</f>
        <v>3.2035899357007983E-3</v>
      </c>
      <c r="D262" s="230">
        <f>IFERROR(D261/AVERAGE(D252,C252)*(AH3/D3),"N/A")</f>
        <v>2.0116757825722432E-3</v>
      </c>
      <c r="E262" s="230">
        <f>IFERROR(E261/AVERAGE(E252,AH252)*(AI3/E3),"N/A")</f>
        <v>1.4363513072971619E-3</v>
      </c>
      <c r="F262" s="230">
        <f>IFERROR(F261/AVERAGE(F252,E252)*(AI3/F3),"N/A")</f>
        <v>2.7431900793841255E-3</v>
      </c>
      <c r="G262" s="230">
        <f>IFERROR(G261/AVERAGE(G252,AI252)*(AJ3/G3),"N/A")</f>
        <v>3.4744878267446429E-3</v>
      </c>
      <c r="H262" s="230">
        <f>IFERROR(H261/AVERAGE(H252,G252)*(AJ3/H3),"N/A")</f>
        <v>6.8116684353126044E-3</v>
      </c>
      <c r="I262" s="230">
        <f>IFERROR(I261/AVERAGE(I252,AJ252)*(AK3/I3),"N/A")</f>
        <v>4.7604601068645756E-3</v>
      </c>
      <c r="J262" s="230">
        <f>IFERROR(J261/AVERAGE(J252,I252)*(AK3/J3),"N/A")</f>
        <v>1.4278624163475834E-3</v>
      </c>
      <c r="K262" s="230">
        <f>IFERROR(K261/AVERAGE(K252,AK252)*(AL3/K3),"N/A")</f>
        <v>6.2897922702761068E-4</v>
      </c>
      <c r="L262" s="230">
        <f>IFERROR(L261/AVERAGE(L252,K252)*(AL3/L3),"N/A")</f>
        <v>9.3268716851475561E-5</v>
      </c>
      <c r="M262" s="230">
        <f>IFERROR(M261/AVERAGE(M252,AL252)*(AM3/M3),"N/A")</f>
        <v>1.3524659715856164E-4</v>
      </c>
      <c r="N262" s="230">
        <f>IFERROR(N261/AVERAGE(N252,M252)*(AM3/N3),"N/A")</f>
        <v>5.7818209670953604E-3</v>
      </c>
      <c r="O262" s="231">
        <f>IFERROR(O261/AVERAGE(O252,AM252)*(AN3/O3),"N/A")</f>
        <v>3.0715864957419664E-3</v>
      </c>
      <c r="P262" s="373">
        <v>3.0000000000000001E-3</v>
      </c>
      <c r="Q262" s="373">
        <v>3.0000000000000001E-3</v>
      </c>
      <c r="R262" s="373">
        <v>3.0000000000000001E-3</v>
      </c>
      <c r="S262" s="373"/>
      <c r="T262" s="373"/>
      <c r="U262" s="373"/>
      <c r="V262" s="373"/>
      <c r="W262" s="373"/>
      <c r="X262" s="373"/>
      <c r="Y262" s="374"/>
      <c r="Z262" s="232"/>
      <c r="AA262" s="232"/>
      <c r="AB262" s="232"/>
      <c r="AC262" s="232"/>
      <c r="AD262" s="232"/>
      <c r="AE262" s="232">
        <f>IFERROR(AE261/AVERAGE(AD252,AE252),"n/a")</f>
        <v>4.3969307698939562E-3</v>
      </c>
      <c r="AF262" s="232">
        <f>IFERROR(AF261/AVERAGE(AE252,AF252),"n/a")</f>
        <v>3.4709243338495225E-3</v>
      </c>
      <c r="AG262" s="232">
        <f>IFERROR(AG261/AVERAGE(AF252,AG252),"n/a")</f>
        <v>3.109420961584783E-3</v>
      </c>
      <c r="AH262" s="232">
        <f>IFERROR(AH261/AVERAGE(C252,D252),"n/a")</f>
        <v>2.6232415506682798E-3</v>
      </c>
      <c r="AI262" s="232">
        <f>IFERROR(AI261/AVERAGE(E252,F252),"n/a")</f>
        <v>2.0146535915074601E-3</v>
      </c>
      <c r="AJ262" s="232">
        <f>IFERROR(AJ261/AVERAGE(G252,H252),"n/a")</f>
        <v>5.0440406855654096E-3</v>
      </c>
      <c r="AK262" s="232">
        <f>IFERROR(AK261/AVERAGE(I252,J252),"n/a")</f>
        <v>3.0870867162658602E-3</v>
      </c>
      <c r="AL262" s="232">
        <f>IFERROR(AL261/AVERAGE(K252,L252),"n/a")</f>
        <v>3.2375743630361513E-4</v>
      </c>
      <c r="AM262" s="233">
        <f>IFERROR(AM261/AVERAGE(M252,N252),"n/a")</f>
        <v>2.9370800529140615E-3</v>
      </c>
      <c r="AN262" s="232" t="str">
        <f>IFERROR(AN261/AVERAGE(O252,P252),"n/a")</f>
        <v>n/a</v>
      </c>
      <c r="AO262" s="232" t="str">
        <f>IFERROR(AO261/AVERAGE(Q252,R252),"n/a")</f>
        <v>n/a</v>
      </c>
      <c r="AP262" s="377">
        <v>3.0000000000000001E-3</v>
      </c>
      <c r="AQ262" s="377">
        <v>3.0000000000000001E-3</v>
      </c>
      <c r="AR262" s="377">
        <v>3.0000000000000001E-3</v>
      </c>
      <c r="AS262" s="166"/>
    </row>
    <row r="263" spans="1:45" s="167" customFormat="1" x14ac:dyDescent="0.35">
      <c r="A263" s="164" t="s">
        <v>821</v>
      </c>
      <c r="B263" s="315"/>
      <c r="C263" s="524">
        <f t="shared" ref="C263:O263" si="210">C281+C284</f>
        <v>-8.7999999999999995E-2</v>
      </c>
      <c r="D263" s="524">
        <f t="shared" si="210"/>
        <v>-5.3999999999999992E-2</v>
      </c>
      <c r="E263" s="524">
        <f t="shared" si="210"/>
        <v>-3.7999999999999999E-2</v>
      </c>
      <c r="F263" s="524">
        <f t="shared" si="210"/>
        <v>-7.9000000000000015E-2</v>
      </c>
      <c r="G263" s="524">
        <f t="shared" si="210"/>
        <v>-0.11</v>
      </c>
      <c r="H263" s="524">
        <f t="shared" si="210"/>
        <v>-0.22300000000000003</v>
      </c>
      <c r="I263" s="524">
        <f t="shared" si="210"/>
        <v>-0.154</v>
      </c>
      <c r="J263" s="524">
        <f t="shared" si="210"/>
        <v>-4.6000000000000013E-2</v>
      </c>
      <c r="K263" s="524">
        <f t="shared" si="210"/>
        <v>-2.4E-2</v>
      </c>
      <c r="L263" s="524">
        <f t="shared" si="210"/>
        <v>-4.0000000000000001E-3</v>
      </c>
      <c r="M263" s="524">
        <f t="shared" si="210"/>
        <v>-6.0000000000000001E-3</v>
      </c>
      <c r="N263" s="524">
        <f t="shared" si="210"/>
        <v>-0.246</v>
      </c>
      <c r="O263" s="525">
        <f t="shared" si="210"/>
        <v>-0.151</v>
      </c>
      <c r="P263" s="524">
        <f>IFERROR(P259-P261,"n/a")</f>
        <v>-0.14537820821917807</v>
      </c>
      <c r="Q263" s="524" t="str">
        <f>IFERROR(Q259-Q261,"n/a")</f>
        <v>n/a</v>
      </c>
      <c r="R263" s="524" t="str">
        <f>IFERROR(R259-R261,"n/a")</f>
        <v>n/a</v>
      </c>
      <c r="S263" s="524"/>
      <c r="T263" s="524"/>
      <c r="U263" s="524"/>
      <c r="V263" s="524"/>
      <c r="W263" s="524"/>
      <c r="X263" s="524"/>
      <c r="Y263" s="524"/>
      <c r="Z263" s="526"/>
      <c r="AA263" s="526"/>
      <c r="AB263" s="526"/>
      <c r="AC263" s="526"/>
      <c r="AD263" s="526">
        <f t="shared" ref="AD263:AM263" si="211">AD281+AD284</f>
        <v>-8.1000000000000003E-2</v>
      </c>
      <c r="AE263" s="526">
        <f t="shared" si="211"/>
        <v>-0.10199999999999999</v>
      </c>
      <c r="AF263" s="526">
        <f t="shared" si="211"/>
        <v>-0.19500000000000001</v>
      </c>
      <c r="AG263" s="526">
        <f t="shared" si="211"/>
        <v>-0.21299999999999999</v>
      </c>
      <c r="AH263" s="526">
        <f t="shared" si="211"/>
        <v>-0.14199999999999999</v>
      </c>
      <c r="AI263" s="526">
        <f t="shared" si="211"/>
        <v>-0.11700000000000001</v>
      </c>
      <c r="AJ263" s="526">
        <f t="shared" si="211"/>
        <v>-0.33300000000000002</v>
      </c>
      <c r="AK263" s="526">
        <f t="shared" si="211"/>
        <v>-0.2</v>
      </c>
      <c r="AL263" s="526">
        <f t="shared" si="211"/>
        <v>-2.8000000000000001E-2</v>
      </c>
      <c r="AM263" s="529">
        <f t="shared" si="211"/>
        <v>-0.252</v>
      </c>
      <c r="AN263" s="526">
        <f>SUM(O263,P263)</f>
        <v>-0.29637820821917804</v>
      </c>
      <c r="AO263" s="526">
        <f>SUM(Q263,R263)</f>
        <v>0</v>
      </c>
      <c r="AP263" s="526" t="str">
        <f>IFERROR(AP259-AP261,"n/a")</f>
        <v>n/a</v>
      </c>
      <c r="AQ263" s="526" t="str">
        <f>IFERROR(AQ259-AQ261,"n/a")</f>
        <v>n/a</v>
      </c>
      <c r="AR263" s="526" t="str">
        <f>IFERROR(AR259-AR261,"n/a")</f>
        <v>n/a</v>
      </c>
      <c r="AS263" s="166"/>
    </row>
    <row r="264" spans="1:45" s="167" customFormat="1" x14ac:dyDescent="0.35">
      <c r="A264" s="307" t="s">
        <v>822</v>
      </c>
      <c r="B264" s="368"/>
      <c r="C264" s="230" t="str">
        <f>IFERROR(IF(C263/AVERAGE(AG255,C255)&lt;0,"n/a",C263/AVERAGE(AG255,C255)*AH3/C3),"n/a")</f>
        <v>n/a</v>
      </c>
      <c r="D264" s="230" t="str">
        <f>IFERROR(IF(D263/AVERAGE(C255,D255)&lt;0,"n/a",D263/AVERAGE(C255,D255)*AH3/D3),"n/a")</f>
        <v>n/a</v>
      </c>
      <c r="E264" s="230" t="str">
        <f>IFERROR(IF(E263/AVERAGE(AH255,E255)&lt;0,"n/a",E263/AVERAGE(AH255,E255)*AI3/E3),"n/a")</f>
        <v>n/a</v>
      </c>
      <c r="F264" s="230" t="str">
        <f>IFERROR(IF(F263/AVERAGE(E255,F255)&lt;0,"n/a",F263/AVERAGE(E255,F255)*AI3/F3),"n/a")</f>
        <v>n/a</v>
      </c>
      <c r="G264" s="230" t="str">
        <f>IFERROR(IF(G263/AVERAGE(AI255,G255)&lt;0,"n/a",G263/AVERAGE(AI255,G255)*AJ3/G3),"n/a")</f>
        <v>n/a</v>
      </c>
      <c r="H264" s="230" t="str">
        <f>IFERROR(IF(H263/AVERAGE(G255,H255)&lt;0,"n/a",H263/AVERAGE(G255,H255)*AJ3/H3),"n/a")</f>
        <v>n/a</v>
      </c>
      <c r="I264" s="230" t="str">
        <f>IFERROR(IF(I263/AVERAGE(AJ255,I255)&lt;0,"n/a",I263/AVERAGE(AJ255,I255)*AK3/I3),"n/a")</f>
        <v>n/a</v>
      </c>
      <c r="J264" s="230" t="str">
        <f>IFERROR(IF(J263/AVERAGE(I255,J255)&lt;0,"n/a",J263/AVERAGE(I255,J255)*AK3/J3),"n/a")</f>
        <v>n/a</v>
      </c>
      <c r="K264" s="230" t="str">
        <f>IFERROR(IF(K263/AVERAGE(AK255,K255)&lt;0,"n/a",K263/AVERAGE(AK255,K255)*AL3/K3),"n/a")</f>
        <v>n/a</v>
      </c>
      <c r="L264" s="230" t="str">
        <f>IFERROR(IF(L263/AVERAGE(K255,L255)&lt;0,"n/a",L263/AVERAGE(K255,L255)*AL3/L3),"n/a")</f>
        <v>n/a</v>
      </c>
      <c r="M264" s="230" t="str">
        <f>IFERROR(IF(M263/AVERAGE(AL255,M255)&lt;0,"n/a",M263/AVERAGE(AL255,M255)*AM3/M3),"n/a")</f>
        <v>n/a</v>
      </c>
      <c r="N264" s="230" t="str">
        <f>IFERROR(IF(N263/AVERAGE(M255,N255)&lt;0,"n/a",N263/AVERAGE(M255,N255)*AM3/N3),"n/a")</f>
        <v>n/a</v>
      </c>
      <c r="O264" s="231" t="str">
        <f>IFERROR(IF(O263/AVERAGE(AM255,O255)&lt;0,"n/a",O263/AVERAGE(AM255,O255)*AN3/O3),"n/a")</f>
        <v>n/a</v>
      </c>
      <c r="P264" s="230" t="str">
        <f>IFERROR(IF(P263/AVERAGE(O255,P255)&lt;0,"n/a",P263/AVERAGE(O255,P255)*AN3/P3),"n/a")</f>
        <v>n/a</v>
      </c>
      <c r="Q264" s="230" t="str">
        <f>IFERROR(IF(Q263/AVERAGE(AN255,Q255)&lt;0,"n/a",Q263/AVERAGE(AN255,Q255)*AO3/Q3),"n/a")</f>
        <v>n/a</v>
      </c>
      <c r="R264" s="230" t="str">
        <f>IFERROR(IF(R263/AVERAGE(Q255,R255)&lt;0,"n/a",R263/AVERAGE(Q255,R255)*AO3/R3),"n/a")</f>
        <v>n/a</v>
      </c>
      <c r="S264" s="230"/>
      <c r="T264" s="230"/>
      <c r="U264" s="230"/>
      <c r="V264" s="230"/>
      <c r="W264" s="230"/>
      <c r="X264" s="230"/>
      <c r="Y264" s="230"/>
      <c r="Z264" s="232"/>
      <c r="AA264" s="232"/>
      <c r="AB264" s="232"/>
      <c r="AC264" s="232"/>
      <c r="AD264" s="232"/>
      <c r="AE264" s="232" t="str">
        <f>IFERROR(IF(AE263/AVERAGE(AD255,AE255)&lt;0,"n/a",AE263/AVERAGE(AD255,AE255)),"n/a")</f>
        <v>n/a</v>
      </c>
      <c r="AF264" s="232" t="str">
        <f>IFERROR(IF(AF263/AVERAGE(AE255,AF255)&lt;0,"n/a",AF263/AVERAGE(AE255,AF255)),"n/a")</f>
        <v>n/a</v>
      </c>
      <c r="AG264" s="232" t="str">
        <f>IFERROR(IF(AG263/AVERAGE(AF255,AG255)&lt;0,"n/a",AG263/AVERAGE(AF255,AG255)),"n/a")</f>
        <v>n/a</v>
      </c>
      <c r="AH264" s="232" t="str">
        <f>IFERROR(IF(AH263/AVERAGE(C255,D255)&lt;0,"n/a",AH263/AVERAGE(C255,D255)),"n/a")</f>
        <v>n/a</v>
      </c>
      <c r="AI264" s="232" t="str">
        <f>IFERROR(IF(AI263/AVERAGE(E255,F255)&lt;0,"n/a",AI263/AVERAGE(E255,F255)),"n/a")</f>
        <v>n/a</v>
      </c>
      <c r="AJ264" s="232" t="str">
        <f>IFERROR(IF(AJ263/AVERAGE(G255,H255)&lt;0,"n/a",AJ263/AVERAGE(G255,H255)),"n/a")</f>
        <v>n/a</v>
      </c>
      <c r="AK264" s="232" t="str">
        <f>IFERROR(IF(AK263/AVERAGE(I255,J255)&lt;0,"n/a",AK263/AVERAGE(I255,J255)),"n/a")</f>
        <v>n/a</v>
      </c>
      <c r="AL264" s="232" t="str">
        <f>IFERROR(IF(AL263/AVERAGE(K255,L255)&lt;0,"n/a",AL263/AVERAGE(K255,L255)),"n/a")</f>
        <v>n/a</v>
      </c>
      <c r="AM264" s="233" t="str">
        <f>IFERROR(IF(AM263/AVERAGE(M255,N255)&lt;0,"n/a",AM263/AVERAGE(M255,N255)),"n/a")</f>
        <v>n/a</v>
      </c>
      <c r="AN264" s="232" t="str">
        <f>IFERROR(IF(AN263/AVERAGE(O255,P255)&lt;0,"n/a",AN263/AVERAGE(O255,P255)),"n/a")</f>
        <v>n/a</v>
      </c>
      <c r="AO264" s="232" t="str">
        <f>IFERROR(IF(AO263/AVERAGE(Q255,R255)&lt;0,"n/a",AO263/AVERAGE(Q255,R255)),"n/a")</f>
        <v>n/a</v>
      </c>
      <c r="AP264" s="232" t="str">
        <f>IFERROR(IF(AP263/AVERAGE(AO255,AP255)&lt;0,"n/a",AP263/AVERAGE(AO255,AP255)),"n/a")</f>
        <v>n/a</v>
      </c>
      <c r="AQ264" s="232" t="str">
        <f>IFERROR(IF(AQ263/AVERAGE(AP255,AQ255)&lt;0,"n/a",AQ263/AVERAGE(AP255,AQ255)),"n/a")</f>
        <v>n/a</v>
      </c>
      <c r="AR264" s="232" t="str">
        <f>IFERROR(IF(AR263/AVERAGE(AQ255,AR255)&lt;0,"n/a",AR263/AVERAGE(AQ255,AR255)),"n/a")</f>
        <v>n/a</v>
      </c>
      <c r="AS264" s="166"/>
    </row>
    <row r="265" spans="1:45" s="167" customFormat="1" x14ac:dyDescent="0.35">
      <c r="A265" s="307"/>
      <c r="B265" s="368"/>
      <c r="C265" s="230"/>
      <c r="D265" s="230"/>
      <c r="E265" s="230"/>
      <c r="F265" s="230"/>
      <c r="G265" s="230"/>
      <c r="H265" s="230"/>
      <c r="I265" s="230"/>
      <c r="J265" s="230"/>
      <c r="K265" s="230"/>
      <c r="L265" s="230"/>
      <c r="M265" s="230"/>
      <c r="N265" s="230"/>
      <c r="O265" s="231"/>
      <c r="P265" s="230"/>
      <c r="Q265" s="230"/>
      <c r="R265" s="230"/>
      <c r="S265" s="230"/>
      <c r="T265" s="230"/>
      <c r="U265" s="230"/>
      <c r="V265" s="230"/>
      <c r="W265" s="230"/>
      <c r="X265" s="230"/>
      <c r="Y265" s="230"/>
      <c r="Z265" s="232"/>
      <c r="AA265" s="232"/>
      <c r="AB265" s="232"/>
      <c r="AC265" s="232"/>
      <c r="AD265" s="232"/>
      <c r="AE265" s="232"/>
      <c r="AF265" s="232"/>
      <c r="AG265" s="232"/>
      <c r="AH265" s="232"/>
      <c r="AI265" s="232"/>
      <c r="AJ265" s="232"/>
      <c r="AK265" s="232"/>
      <c r="AL265" s="232"/>
      <c r="AM265" s="233"/>
      <c r="AN265" s="232"/>
      <c r="AO265" s="232"/>
      <c r="AP265" s="232"/>
      <c r="AQ265" s="232"/>
      <c r="AR265" s="232"/>
      <c r="AS265" s="166"/>
    </row>
    <row r="266" spans="1:45" s="167" customFormat="1" x14ac:dyDescent="0.35">
      <c r="A266" s="307" t="s">
        <v>823</v>
      </c>
      <c r="B266" s="368"/>
      <c r="C266" s="530" t="str">
        <f t="shared" ref="C266:R266" si="212">IFERROR(IF(OR(C185&lt;0,C263&lt;0),"n/a",C185/C263),"n/a")</f>
        <v>n/a</v>
      </c>
      <c r="D266" s="530" t="str">
        <f t="shared" si="212"/>
        <v>n/a</v>
      </c>
      <c r="E266" s="530" t="str">
        <f t="shared" si="212"/>
        <v>n/a</v>
      </c>
      <c r="F266" s="530" t="str">
        <f t="shared" si="212"/>
        <v>n/a</v>
      </c>
      <c r="G266" s="530" t="str">
        <f t="shared" si="212"/>
        <v>n/a</v>
      </c>
      <c r="H266" s="530" t="str">
        <f t="shared" si="212"/>
        <v>n/a</v>
      </c>
      <c r="I266" s="530" t="str">
        <f t="shared" si="212"/>
        <v>n/a</v>
      </c>
      <c r="J266" s="530" t="str">
        <f t="shared" si="212"/>
        <v>n/a</v>
      </c>
      <c r="K266" s="530" t="str">
        <f t="shared" si="212"/>
        <v>n/a</v>
      </c>
      <c r="L266" s="530" t="str">
        <f t="shared" si="212"/>
        <v>n/a</v>
      </c>
      <c r="M266" s="530" t="str">
        <f t="shared" si="212"/>
        <v>n/a</v>
      </c>
      <c r="N266" s="530" t="str">
        <f t="shared" si="212"/>
        <v>n/a</v>
      </c>
      <c r="O266" s="531" t="str">
        <f t="shared" si="212"/>
        <v>n/a</v>
      </c>
      <c r="P266" s="530" t="str">
        <f t="shared" si="212"/>
        <v>n/a</v>
      </c>
      <c r="Q266" s="530" t="str">
        <f t="shared" si="212"/>
        <v>n/a</v>
      </c>
      <c r="R266" s="530" t="str">
        <f t="shared" si="212"/>
        <v>n/a</v>
      </c>
      <c r="S266" s="530"/>
      <c r="T266" s="530"/>
      <c r="U266" s="530"/>
      <c r="V266" s="530"/>
      <c r="W266" s="530"/>
      <c r="X266" s="530"/>
      <c r="Y266" s="530"/>
      <c r="Z266" s="532"/>
      <c r="AA266" s="532"/>
      <c r="AB266" s="532"/>
      <c r="AC266" s="532"/>
      <c r="AD266" s="532" t="str">
        <f t="shared" ref="AD266:AR266" si="213">IFERROR(IF(OR(AD185&lt;0,AD263&lt;0),"n/a",AD185/AD263),"n/a")</f>
        <v>n/a</v>
      </c>
      <c r="AE266" s="532" t="str">
        <f t="shared" si="213"/>
        <v>n/a</v>
      </c>
      <c r="AF266" s="532" t="str">
        <f t="shared" si="213"/>
        <v>n/a</v>
      </c>
      <c r="AG266" s="532" t="str">
        <f t="shared" si="213"/>
        <v>n/a</v>
      </c>
      <c r="AH266" s="532" t="str">
        <f t="shared" si="213"/>
        <v>n/a</v>
      </c>
      <c r="AI266" s="532" t="str">
        <f t="shared" si="213"/>
        <v>n/a</v>
      </c>
      <c r="AJ266" s="532" t="str">
        <f t="shared" si="213"/>
        <v>n/a</v>
      </c>
      <c r="AK266" s="532" t="str">
        <f t="shared" si="213"/>
        <v>n/a</v>
      </c>
      <c r="AL266" s="532" t="str">
        <f t="shared" si="213"/>
        <v>n/a</v>
      </c>
      <c r="AM266" s="533" t="str">
        <f t="shared" si="213"/>
        <v>n/a</v>
      </c>
      <c r="AN266" s="532" t="str">
        <f t="shared" si="213"/>
        <v>n/a</v>
      </c>
      <c r="AO266" s="532" t="str">
        <f t="shared" si="213"/>
        <v>n/a</v>
      </c>
      <c r="AP266" s="532" t="str">
        <f t="shared" si="213"/>
        <v>n/a</v>
      </c>
      <c r="AQ266" s="532" t="str">
        <f t="shared" si="213"/>
        <v>n/a</v>
      </c>
      <c r="AR266" s="532" t="str">
        <f t="shared" si="213"/>
        <v>n/a</v>
      </c>
      <c r="AS266" s="166"/>
    </row>
    <row r="267" spans="1:45" s="541" customFormat="1" x14ac:dyDescent="0.35">
      <c r="A267" s="534" t="s">
        <v>824</v>
      </c>
      <c r="B267" s="535"/>
      <c r="C267" s="530"/>
      <c r="D267" s="530"/>
      <c r="E267" s="530"/>
      <c r="F267" s="530"/>
      <c r="G267" s="530"/>
      <c r="H267" s="530"/>
      <c r="I267" s="530"/>
      <c r="J267" s="530"/>
      <c r="K267" s="536"/>
      <c r="L267" s="530"/>
      <c r="M267" s="536"/>
      <c r="N267" s="530"/>
      <c r="O267" s="537"/>
      <c r="P267" s="536"/>
      <c r="Q267" s="536"/>
      <c r="R267" s="536"/>
      <c r="S267" s="536"/>
      <c r="T267" s="536"/>
      <c r="U267" s="536"/>
      <c r="V267" s="536"/>
      <c r="W267" s="536"/>
      <c r="X267" s="536"/>
      <c r="Y267" s="536"/>
      <c r="Z267" s="532"/>
      <c r="AA267" s="532"/>
      <c r="AB267" s="532"/>
      <c r="AC267" s="532"/>
      <c r="AD267" s="532" t="str">
        <f t="shared" ref="AD267:AR267" si="214">IF(AD257&lt;0,"n/a",AD257/AD185)</f>
        <v>n/a</v>
      </c>
      <c r="AE267" s="532" t="str">
        <f t="shared" si="214"/>
        <v>n/a</v>
      </c>
      <c r="AF267" s="538" t="str">
        <f t="shared" si="214"/>
        <v>n/a</v>
      </c>
      <c r="AG267" s="538" t="str">
        <f t="shared" si="214"/>
        <v>n/a</v>
      </c>
      <c r="AH267" s="538" t="str">
        <f t="shared" si="214"/>
        <v>n/a</v>
      </c>
      <c r="AI267" s="538" t="str">
        <f t="shared" si="214"/>
        <v>n/a</v>
      </c>
      <c r="AJ267" s="538" t="str">
        <f t="shared" si="214"/>
        <v>n/a</v>
      </c>
      <c r="AK267" s="538" t="str">
        <f t="shared" si="214"/>
        <v>n/a</v>
      </c>
      <c r="AL267" s="538" t="str">
        <f t="shared" si="214"/>
        <v>n/a</v>
      </c>
      <c r="AM267" s="539" t="str">
        <f t="shared" si="214"/>
        <v>n/a</v>
      </c>
      <c r="AN267" s="538" t="e">
        <f t="shared" si="214"/>
        <v>#REF!</v>
      </c>
      <c r="AO267" s="532" t="e">
        <f t="shared" si="214"/>
        <v>#REF!</v>
      </c>
      <c r="AP267" s="532" t="e">
        <f t="shared" si="214"/>
        <v>#REF!</v>
      </c>
      <c r="AQ267" s="532" t="e">
        <f t="shared" si="214"/>
        <v>#REF!</v>
      </c>
      <c r="AR267" s="532" t="e">
        <f t="shared" si="214"/>
        <v>#REF!</v>
      </c>
      <c r="AS267" s="540"/>
    </row>
    <row r="268" spans="1:45" s="541" customFormat="1" x14ac:dyDescent="0.35">
      <c r="A268" s="534" t="s">
        <v>825</v>
      </c>
      <c r="B268" s="535"/>
      <c r="C268" s="530"/>
      <c r="D268" s="530"/>
      <c r="E268" s="530"/>
      <c r="F268" s="530"/>
      <c r="G268" s="530"/>
      <c r="H268" s="530"/>
      <c r="I268" s="530"/>
      <c r="J268" s="530"/>
      <c r="K268" s="536"/>
      <c r="L268" s="530"/>
      <c r="M268" s="536"/>
      <c r="N268" s="530"/>
      <c r="O268" s="537"/>
      <c r="P268" s="536"/>
      <c r="Q268" s="536"/>
      <c r="R268" s="536"/>
      <c r="S268" s="536"/>
      <c r="T268" s="536"/>
      <c r="U268" s="536"/>
      <c r="V268" s="536"/>
      <c r="W268" s="536"/>
      <c r="X268" s="536"/>
      <c r="Y268" s="536"/>
      <c r="Z268" s="532"/>
      <c r="AA268" s="532"/>
      <c r="AB268" s="532"/>
      <c r="AC268" s="532"/>
      <c r="AD268" s="532" t="str">
        <f t="shared" ref="AD268:AR268" si="215">IF(AD257&lt;0,"n/a",AD257/AD224)</f>
        <v>n/a</v>
      </c>
      <c r="AE268" s="532" t="str">
        <f t="shared" si="215"/>
        <v>n/a</v>
      </c>
      <c r="AF268" s="538" t="str">
        <f t="shared" si="215"/>
        <v>n/a</v>
      </c>
      <c r="AG268" s="538" t="str">
        <f t="shared" si="215"/>
        <v>n/a</v>
      </c>
      <c r="AH268" s="538" t="str">
        <f t="shared" si="215"/>
        <v>n/a</v>
      </c>
      <c r="AI268" s="538" t="str">
        <f t="shared" si="215"/>
        <v>n/a</v>
      </c>
      <c r="AJ268" s="538" t="str">
        <f t="shared" si="215"/>
        <v>n/a</v>
      </c>
      <c r="AK268" s="538" t="str">
        <f t="shared" si="215"/>
        <v>n/a</v>
      </c>
      <c r="AL268" s="538" t="str">
        <f t="shared" si="215"/>
        <v>n/a</v>
      </c>
      <c r="AM268" s="539" t="str">
        <f t="shared" si="215"/>
        <v>n/a</v>
      </c>
      <c r="AN268" s="538" t="e">
        <f t="shared" si="215"/>
        <v>#REF!</v>
      </c>
      <c r="AO268" s="532" t="e">
        <f t="shared" si="215"/>
        <v>#REF!</v>
      </c>
      <c r="AP268" s="532" t="e">
        <f t="shared" si="215"/>
        <v>#REF!</v>
      </c>
      <c r="AQ268" s="532" t="e">
        <f t="shared" si="215"/>
        <v>#REF!</v>
      </c>
      <c r="AR268" s="532" t="e">
        <f t="shared" si="215"/>
        <v>#REF!</v>
      </c>
      <c r="AS268" s="540"/>
    </row>
    <row r="269" spans="1:45" x14ac:dyDescent="0.35">
      <c r="A269" s="542"/>
      <c r="B269" s="542"/>
      <c r="C269" s="326"/>
      <c r="D269" s="326"/>
      <c r="E269" s="326"/>
      <c r="F269" s="326"/>
      <c r="G269" s="326"/>
      <c r="H269" s="326"/>
      <c r="I269" s="326"/>
      <c r="J269" s="326"/>
      <c r="K269" s="326"/>
      <c r="L269" s="326"/>
      <c r="M269" s="326"/>
      <c r="N269" s="326"/>
      <c r="O269" s="327"/>
      <c r="P269" s="326"/>
      <c r="Q269" s="326"/>
      <c r="R269" s="326"/>
      <c r="S269" s="326"/>
      <c r="T269" s="326"/>
      <c r="U269" s="326"/>
      <c r="V269" s="326"/>
      <c r="W269" s="326"/>
      <c r="X269" s="326"/>
      <c r="Y269" s="326"/>
      <c r="Z269" s="328"/>
      <c r="AA269" s="328"/>
      <c r="AB269" s="328"/>
      <c r="AC269" s="328"/>
      <c r="AD269" s="328"/>
      <c r="AE269" s="328"/>
      <c r="AF269" s="328"/>
      <c r="AG269" s="328"/>
      <c r="AH269" s="328"/>
      <c r="AI269" s="328"/>
      <c r="AJ269" s="328"/>
      <c r="AK269" s="328"/>
      <c r="AL269" s="328"/>
      <c r="AM269" s="353"/>
      <c r="AN269" s="328"/>
      <c r="AO269" s="328"/>
      <c r="AP269" s="328"/>
      <c r="AQ269" s="328"/>
      <c r="AR269" s="328"/>
      <c r="AS269" s="171"/>
    </row>
    <row r="270" spans="1:45" x14ac:dyDescent="0.35">
      <c r="A270" s="465" t="s">
        <v>826</v>
      </c>
      <c r="B270" s="466"/>
      <c r="C270" s="467"/>
      <c r="D270" s="467"/>
      <c r="E270" s="467"/>
      <c r="F270" s="467"/>
      <c r="G270" s="467"/>
      <c r="H270" s="467"/>
      <c r="I270" s="467"/>
      <c r="J270" s="467"/>
      <c r="K270" s="467"/>
      <c r="L270" s="467"/>
      <c r="M270" s="467"/>
      <c r="N270" s="467"/>
      <c r="O270" s="468"/>
      <c r="P270" s="467"/>
      <c r="Q270" s="467"/>
      <c r="R270" s="467"/>
      <c r="S270" s="467"/>
      <c r="T270" s="467"/>
      <c r="U270" s="467"/>
      <c r="V270" s="467"/>
      <c r="W270" s="467"/>
      <c r="X270" s="467"/>
      <c r="Y270" s="467"/>
      <c r="Z270" s="467"/>
      <c r="AA270" s="467"/>
      <c r="AB270" s="467"/>
      <c r="AC270" s="467"/>
      <c r="AD270" s="467"/>
      <c r="AE270" s="467"/>
      <c r="AF270" s="467"/>
      <c r="AG270" s="467"/>
      <c r="AH270" s="467"/>
      <c r="AI270" s="467"/>
      <c r="AJ270" s="467"/>
      <c r="AK270" s="467"/>
      <c r="AL270" s="467"/>
      <c r="AM270" s="468"/>
      <c r="AN270" s="467"/>
      <c r="AO270" s="467"/>
      <c r="AP270" s="467"/>
      <c r="AQ270" s="467"/>
      <c r="AR270" s="467"/>
      <c r="AS270" s="171"/>
    </row>
    <row r="271" spans="1:45" x14ac:dyDescent="0.35">
      <c r="A271" s="543" t="s">
        <v>827</v>
      </c>
      <c r="B271" s="542"/>
      <c r="C271" s="524"/>
      <c r="D271" s="524"/>
      <c r="E271" s="524"/>
      <c r="F271" s="524"/>
      <c r="G271" s="524"/>
      <c r="H271" s="524"/>
      <c r="I271" s="524"/>
      <c r="J271" s="524"/>
      <c r="K271" s="524"/>
      <c r="L271" s="524"/>
      <c r="M271" s="524"/>
      <c r="N271" s="524"/>
      <c r="O271" s="525"/>
      <c r="P271" s="524">
        <f>P259</f>
        <v>0</v>
      </c>
      <c r="Q271" s="524">
        <f>Q259</f>
        <v>0</v>
      </c>
      <c r="R271" s="524">
        <f>R259</f>
        <v>0</v>
      </c>
      <c r="S271" s="524"/>
      <c r="T271" s="524"/>
      <c r="U271" s="524"/>
      <c r="V271" s="524"/>
      <c r="W271" s="524"/>
      <c r="X271" s="524"/>
      <c r="Y271" s="524"/>
      <c r="Z271" s="526"/>
      <c r="AA271" s="526"/>
      <c r="AB271" s="526"/>
      <c r="AC271" s="526"/>
      <c r="AD271" s="526"/>
      <c r="AE271" s="526"/>
      <c r="AF271" s="526"/>
      <c r="AG271" s="526"/>
      <c r="AH271" s="526"/>
      <c r="AI271" s="526"/>
      <c r="AJ271" s="526"/>
      <c r="AK271" s="526"/>
      <c r="AL271" s="526"/>
      <c r="AM271" s="529"/>
      <c r="AN271" s="526" t="str">
        <f>IF(OR(ISBLANK(O271),ISBLANK(P271)),"n/a",SUM(O271,P271))</f>
        <v>n/a</v>
      </c>
      <c r="AO271" s="526">
        <f>IF(OR(ISBLANK(Q271),ISBLANK(R271)),"n/a",SUM(Q271,R271))</f>
        <v>0</v>
      </c>
      <c r="AP271" s="526">
        <f>AP259</f>
        <v>0</v>
      </c>
      <c r="AQ271" s="526">
        <f>AQ259</f>
        <v>0</v>
      </c>
      <c r="AR271" s="526">
        <f>AR259</f>
        <v>0</v>
      </c>
      <c r="AS271" s="171"/>
    </row>
    <row r="272" spans="1:45" x14ac:dyDescent="0.35">
      <c r="A272" s="544" t="s">
        <v>828</v>
      </c>
      <c r="B272" s="545"/>
      <c r="C272" s="546">
        <f t="shared" ref="C272:O272" si="216">-C141</f>
        <v>0</v>
      </c>
      <c r="D272" s="546">
        <f t="shared" si="216"/>
        <v>0</v>
      </c>
      <c r="E272" s="546">
        <f t="shared" si="216"/>
        <v>0</v>
      </c>
      <c r="F272" s="546">
        <f t="shared" si="216"/>
        <v>0</v>
      </c>
      <c r="G272" s="546">
        <f t="shared" si="216"/>
        <v>0</v>
      </c>
      <c r="H272" s="546">
        <f t="shared" si="216"/>
        <v>0</v>
      </c>
      <c r="I272" s="546">
        <f t="shared" si="216"/>
        <v>0.109</v>
      </c>
      <c r="J272" s="546">
        <f t="shared" si="216"/>
        <v>0.20700000000000002</v>
      </c>
      <c r="K272" s="546">
        <f t="shared" si="216"/>
        <v>0.13800000000000001</v>
      </c>
      <c r="L272" s="546">
        <f t="shared" si="216"/>
        <v>0.33899999999999997</v>
      </c>
      <c r="M272" s="546">
        <f t="shared" si="216"/>
        <v>-6.6000000000000003E-2</v>
      </c>
      <c r="N272" s="546">
        <f t="shared" si="216"/>
        <v>0.31900000000000001</v>
      </c>
      <c r="O272" s="547">
        <f t="shared" si="216"/>
        <v>9.9000000000000005E-2</v>
      </c>
      <c r="P272" s="546">
        <f>P407+P402</f>
        <v>8.9266224657534241E-2</v>
      </c>
      <c r="Q272" s="546">
        <f>Q407+Q402</f>
        <v>8.958290735670045E-2</v>
      </c>
      <c r="R272" s="546">
        <f>R407+R402</f>
        <v>9.1891468648066563E-2</v>
      </c>
      <c r="S272" s="546"/>
      <c r="T272" s="546"/>
      <c r="U272" s="546"/>
      <c r="V272" s="546"/>
      <c r="W272" s="546"/>
      <c r="X272" s="546"/>
      <c r="Y272" s="546"/>
      <c r="Z272" s="548"/>
      <c r="AA272" s="548"/>
      <c r="AB272" s="548"/>
      <c r="AC272" s="548"/>
      <c r="AD272" s="548">
        <f t="shared" ref="AD272:AM272" si="217">-AD141</f>
        <v>0</v>
      </c>
      <c r="AE272" s="548">
        <f t="shared" si="217"/>
        <v>0</v>
      </c>
      <c r="AF272" s="548">
        <f t="shared" si="217"/>
        <v>0</v>
      </c>
      <c r="AG272" s="548">
        <f t="shared" si="217"/>
        <v>0</v>
      </c>
      <c r="AH272" s="548">
        <f t="shared" si="217"/>
        <v>0</v>
      </c>
      <c r="AI272" s="548">
        <f t="shared" si="217"/>
        <v>0</v>
      </c>
      <c r="AJ272" s="548">
        <f t="shared" si="217"/>
        <v>0</v>
      </c>
      <c r="AK272" s="548">
        <f t="shared" si="217"/>
        <v>0.316</v>
      </c>
      <c r="AL272" s="548">
        <f t="shared" si="217"/>
        <v>0.47699999999999998</v>
      </c>
      <c r="AM272" s="549">
        <f t="shared" si="217"/>
        <v>0.253</v>
      </c>
      <c r="AN272" s="548">
        <f>IF(OR(ISBLANK(O272),ISBLANK(P272)),"n/a",SUM(O272,P272))</f>
        <v>0.18826622465753423</v>
      </c>
      <c r="AO272" s="548">
        <f>IF(OR(ISBLANK(Q272),ISBLANK(R272)),"n/a",SUM(Q272,R272))</f>
        <v>0.18147437600476701</v>
      </c>
      <c r="AP272" s="548">
        <f>AP407+AP402</f>
        <v>0.18782305918248512</v>
      </c>
      <c r="AQ272" s="548">
        <f>AQ407+AQ402</f>
        <v>0.19359212405784909</v>
      </c>
      <c r="AR272" s="548">
        <f>AR407+AR402</f>
        <v>0.19947657023072032</v>
      </c>
      <c r="AS272" s="171"/>
    </row>
    <row r="273" spans="1:45" x14ac:dyDescent="0.35">
      <c r="A273" s="550" t="s">
        <v>829</v>
      </c>
      <c r="B273" s="551"/>
      <c r="C273" s="552">
        <f t="shared" ref="C273:O273" si="218">SUM(C271:C272)</f>
        <v>0</v>
      </c>
      <c r="D273" s="552">
        <f t="shared" si="218"/>
        <v>0</v>
      </c>
      <c r="E273" s="552">
        <f t="shared" si="218"/>
        <v>0</v>
      </c>
      <c r="F273" s="552">
        <f t="shared" si="218"/>
        <v>0</v>
      </c>
      <c r="G273" s="552">
        <f t="shared" si="218"/>
        <v>0</v>
      </c>
      <c r="H273" s="552">
        <f t="shared" si="218"/>
        <v>0</v>
      </c>
      <c r="I273" s="552">
        <f t="shared" si="218"/>
        <v>0.109</v>
      </c>
      <c r="J273" s="552">
        <f t="shared" si="218"/>
        <v>0.20700000000000002</v>
      </c>
      <c r="K273" s="552">
        <f t="shared" si="218"/>
        <v>0.13800000000000001</v>
      </c>
      <c r="L273" s="552">
        <f t="shared" si="218"/>
        <v>0.33899999999999997</v>
      </c>
      <c r="M273" s="552">
        <f t="shared" si="218"/>
        <v>-6.6000000000000003E-2</v>
      </c>
      <c r="N273" s="552">
        <f t="shared" si="218"/>
        <v>0.31900000000000001</v>
      </c>
      <c r="O273" s="553">
        <f t="shared" si="218"/>
        <v>9.9000000000000005E-2</v>
      </c>
      <c r="P273" s="552">
        <f>IF(AND(ISNUMBER(P271),ISNUMBER(P272)),SUM(P271:P272),"n/a")</f>
        <v>8.9266224657534241E-2</v>
      </c>
      <c r="Q273" s="552">
        <f>IF(AND(ISNUMBER(Q271),ISNUMBER(Q272)),SUM(Q271:Q272),"n/a")</f>
        <v>8.958290735670045E-2</v>
      </c>
      <c r="R273" s="552">
        <f>IF(AND(ISNUMBER(R271),ISNUMBER(R272)),SUM(R271:R272),"n/a")</f>
        <v>9.1891468648066563E-2</v>
      </c>
      <c r="S273" s="552"/>
      <c r="T273" s="552"/>
      <c r="U273" s="552"/>
      <c r="V273" s="552"/>
      <c r="W273" s="552"/>
      <c r="X273" s="552"/>
      <c r="Y273" s="552"/>
      <c r="Z273" s="554"/>
      <c r="AA273" s="554"/>
      <c r="AB273" s="554"/>
      <c r="AC273" s="554"/>
      <c r="AD273" s="554">
        <f t="shared" ref="AD273:AM273" si="219">SUM(AD271:AD272)</f>
        <v>0</v>
      </c>
      <c r="AE273" s="554">
        <f t="shared" si="219"/>
        <v>0</v>
      </c>
      <c r="AF273" s="554">
        <f t="shared" si="219"/>
        <v>0</v>
      </c>
      <c r="AG273" s="554">
        <f t="shared" si="219"/>
        <v>0</v>
      </c>
      <c r="AH273" s="554">
        <f t="shared" si="219"/>
        <v>0</v>
      </c>
      <c r="AI273" s="554">
        <f t="shared" si="219"/>
        <v>0</v>
      </c>
      <c r="AJ273" s="554">
        <f t="shared" si="219"/>
        <v>0</v>
      </c>
      <c r="AK273" s="554">
        <f t="shared" si="219"/>
        <v>0.316</v>
      </c>
      <c r="AL273" s="554">
        <f t="shared" si="219"/>
        <v>0.47699999999999998</v>
      </c>
      <c r="AM273" s="555">
        <f t="shared" si="219"/>
        <v>0.253</v>
      </c>
      <c r="AN273" s="554" t="str">
        <f>IF(AND(ISNUMBER(AN271),ISNUMBER(AN272)),SUM(AN271:AN272),"n/a")</f>
        <v>n/a</v>
      </c>
      <c r="AO273" s="554">
        <f>IF(AND(ISNUMBER(AO271),ISNUMBER(AO272)),SUM(AO271:AO272),"n/a")</f>
        <v>0.18147437600476701</v>
      </c>
      <c r="AP273" s="554">
        <f>IF(AND(ISNUMBER(AP271),ISNUMBER(AP272)),SUM(AP271:AP272),"n/a")</f>
        <v>0.18782305918248512</v>
      </c>
      <c r="AQ273" s="554">
        <f>IF(AND(ISNUMBER(AQ271),ISNUMBER(AQ272)),SUM(AQ271:AQ272),"n/a")</f>
        <v>0.19359212405784909</v>
      </c>
      <c r="AR273" s="554">
        <f>IF(AND(ISNUMBER(AR271),ISNUMBER(AR272)),SUM(AR271:AR272),"n/a")</f>
        <v>0.19947657023072032</v>
      </c>
      <c r="AS273" s="171"/>
    </row>
    <row r="274" spans="1:45" x14ac:dyDescent="0.35">
      <c r="A274" s="556" t="s">
        <v>830</v>
      </c>
      <c r="B274" s="545"/>
      <c r="C274" s="546"/>
      <c r="D274" s="546"/>
      <c r="E274" s="546"/>
      <c r="F274" s="546"/>
      <c r="G274" s="546"/>
      <c r="H274" s="546"/>
      <c r="I274" s="546"/>
      <c r="J274" s="546"/>
      <c r="K274" s="546"/>
      <c r="L274" s="546"/>
      <c r="M274" s="546"/>
      <c r="N274" s="546"/>
      <c r="O274" s="547"/>
      <c r="P274" s="557">
        <v>0</v>
      </c>
      <c r="Q274" s="557">
        <v>0</v>
      </c>
      <c r="R274" s="557">
        <v>0</v>
      </c>
      <c r="S274" s="557"/>
      <c r="T274" s="557"/>
      <c r="U274" s="557"/>
      <c r="V274" s="557"/>
      <c r="W274" s="557"/>
      <c r="X274" s="557"/>
      <c r="Y274" s="558"/>
      <c r="Z274" s="548"/>
      <c r="AA274" s="548"/>
      <c r="AB274" s="548"/>
      <c r="AC274" s="548"/>
      <c r="AD274" s="548"/>
      <c r="AE274" s="548"/>
      <c r="AF274" s="548"/>
      <c r="AG274" s="548"/>
      <c r="AH274" s="548"/>
      <c r="AI274" s="548"/>
      <c r="AJ274" s="548"/>
      <c r="AK274" s="548"/>
      <c r="AL274" s="548"/>
      <c r="AM274" s="549"/>
      <c r="AN274" s="548" t="str">
        <f>IF(OR(ISBLANK(O274),ISBLANK(P274)),"n/a",SUM(O274,P274))</f>
        <v>n/a</v>
      </c>
      <c r="AO274" s="548">
        <f>IF(OR(ISBLANK(Q274),ISBLANK(R274)),"n/a",SUM(Q274,R274))</f>
        <v>0</v>
      </c>
      <c r="AP274" s="559">
        <v>0</v>
      </c>
      <c r="AQ274" s="559">
        <v>0</v>
      </c>
      <c r="AR274" s="559">
        <v>0</v>
      </c>
      <c r="AS274" s="171"/>
    </row>
    <row r="275" spans="1:45" x14ac:dyDescent="0.35">
      <c r="A275" s="560" t="s">
        <v>831</v>
      </c>
      <c r="B275" s="561"/>
      <c r="C275" s="562">
        <f t="shared" ref="C275:O275" si="220">SUM(C273:C274)</f>
        <v>0</v>
      </c>
      <c r="D275" s="562">
        <f t="shared" si="220"/>
        <v>0</v>
      </c>
      <c r="E275" s="562">
        <f t="shared" si="220"/>
        <v>0</v>
      </c>
      <c r="F275" s="562">
        <f t="shared" si="220"/>
        <v>0</v>
      </c>
      <c r="G275" s="562">
        <f t="shared" si="220"/>
        <v>0</v>
      </c>
      <c r="H275" s="562">
        <f t="shared" si="220"/>
        <v>0</v>
      </c>
      <c r="I275" s="562">
        <f t="shared" si="220"/>
        <v>0.109</v>
      </c>
      <c r="J275" s="562">
        <f t="shared" si="220"/>
        <v>0.20700000000000002</v>
      </c>
      <c r="K275" s="562">
        <f t="shared" si="220"/>
        <v>0.13800000000000001</v>
      </c>
      <c r="L275" s="562">
        <f t="shared" si="220"/>
        <v>0.33899999999999997</v>
      </c>
      <c r="M275" s="562">
        <f t="shared" si="220"/>
        <v>-6.6000000000000003E-2</v>
      </c>
      <c r="N275" s="562">
        <f t="shared" si="220"/>
        <v>0.31900000000000001</v>
      </c>
      <c r="O275" s="563">
        <f t="shared" si="220"/>
        <v>9.9000000000000005E-2</v>
      </c>
      <c r="P275" s="562">
        <f>IF(AND(ISNUMBER(P273),ISNUMBER(P274)),SUM(P273:P274),"n/a")</f>
        <v>8.9266224657534241E-2</v>
      </c>
      <c r="Q275" s="562">
        <f>IF(AND(ISNUMBER(Q273),ISNUMBER(Q274)),SUM(Q273:Q274),"n/a")</f>
        <v>8.958290735670045E-2</v>
      </c>
      <c r="R275" s="562">
        <f>IF(AND(ISNUMBER(R273),ISNUMBER(R274)),SUM(R273:R274),"n/a")</f>
        <v>9.1891468648066563E-2</v>
      </c>
      <c r="S275" s="562"/>
      <c r="T275" s="562"/>
      <c r="U275" s="562"/>
      <c r="V275" s="562"/>
      <c r="W275" s="562"/>
      <c r="X275" s="562"/>
      <c r="Y275" s="562"/>
      <c r="Z275" s="564"/>
      <c r="AA275" s="564"/>
      <c r="AB275" s="564"/>
      <c r="AC275" s="564"/>
      <c r="AD275" s="564">
        <f t="shared" ref="AD275:AM275" si="221">SUM(AD273:AD274)</f>
        <v>0</v>
      </c>
      <c r="AE275" s="564">
        <f t="shared" si="221"/>
        <v>0</v>
      </c>
      <c r="AF275" s="564">
        <f t="shared" si="221"/>
        <v>0</v>
      </c>
      <c r="AG275" s="564">
        <f t="shared" si="221"/>
        <v>0</v>
      </c>
      <c r="AH275" s="564">
        <f t="shared" si="221"/>
        <v>0</v>
      </c>
      <c r="AI275" s="564">
        <f t="shared" si="221"/>
        <v>0</v>
      </c>
      <c r="AJ275" s="564">
        <f t="shared" si="221"/>
        <v>0</v>
      </c>
      <c r="AK275" s="564">
        <f t="shared" si="221"/>
        <v>0.316</v>
      </c>
      <c r="AL275" s="564">
        <f t="shared" si="221"/>
        <v>0.47699999999999998</v>
      </c>
      <c r="AM275" s="565">
        <f t="shared" si="221"/>
        <v>0.253</v>
      </c>
      <c r="AN275" s="564" t="str">
        <f>IF(AND(ISNUMBER(AN273),ISNUMBER(AN274)),SUM(AN273:AN274),"n/a")</f>
        <v>n/a</v>
      </c>
      <c r="AO275" s="564">
        <f>IF(AND(ISNUMBER(AO273),ISNUMBER(AO274)),SUM(AO273:AO274),"n/a")</f>
        <v>0.18147437600476701</v>
      </c>
      <c r="AP275" s="564">
        <f>IF(AND(ISNUMBER(AP273),ISNUMBER(AP274)),SUM(AP273:AP274),"n/a")</f>
        <v>0.18782305918248512</v>
      </c>
      <c r="AQ275" s="564">
        <f>IF(AND(ISNUMBER(AQ273),ISNUMBER(AQ274)),SUM(AQ273:AQ274),"n/a")</f>
        <v>0.19359212405784909</v>
      </c>
      <c r="AR275" s="564">
        <f>IF(AND(ISNUMBER(AR273),ISNUMBER(AR274)),SUM(AR273:AR274),"n/a")</f>
        <v>0.19947657023072032</v>
      </c>
      <c r="AS275" s="171"/>
    </row>
    <row r="276" spans="1:45" x14ac:dyDescent="0.35">
      <c r="A276" s="542"/>
      <c r="B276" s="542"/>
      <c r="C276" s="326"/>
      <c r="D276" s="326"/>
      <c r="E276" s="326"/>
      <c r="F276" s="326"/>
      <c r="G276" s="326"/>
      <c r="H276" s="326"/>
      <c r="I276" s="326"/>
      <c r="J276" s="326"/>
      <c r="K276" s="326"/>
      <c r="L276" s="326"/>
      <c r="M276" s="326"/>
      <c r="N276" s="326"/>
      <c r="O276" s="327"/>
      <c r="P276" s="326"/>
      <c r="Q276" s="326"/>
      <c r="R276" s="326"/>
      <c r="S276" s="326"/>
      <c r="T276" s="326"/>
      <c r="U276" s="326"/>
      <c r="V276" s="326"/>
      <c r="W276" s="326"/>
      <c r="X276" s="326"/>
      <c r="Y276" s="326"/>
      <c r="Z276" s="328"/>
      <c r="AA276" s="328"/>
      <c r="AB276" s="328"/>
      <c r="AC276" s="328"/>
      <c r="AD276" s="328"/>
      <c r="AE276" s="328"/>
      <c r="AF276" s="328"/>
      <c r="AG276" s="328"/>
      <c r="AH276" s="328"/>
      <c r="AI276" s="328"/>
      <c r="AJ276" s="328"/>
      <c r="AK276" s="328"/>
      <c r="AL276" s="328"/>
      <c r="AM276" s="353"/>
      <c r="AN276" s="328"/>
      <c r="AO276" s="328"/>
      <c r="AP276" s="328"/>
      <c r="AQ276" s="328"/>
      <c r="AR276" s="328"/>
      <c r="AS276" s="171"/>
    </row>
    <row r="277" spans="1:45" x14ac:dyDescent="0.35">
      <c r="A277" s="246" t="s">
        <v>819</v>
      </c>
      <c r="B277" s="542"/>
      <c r="C277" s="524">
        <f t="shared" ref="C277:O277" si="222">-C139</f>
        <v>-8.7999999999999995E-2</v>
      </c>
      <c r="D277" s="524">
        <f t="shared" si="222"/>
        <v>-5.3999999999999992E-2</v>
      </c>
      <c r="E277" s="524">
        <f t="shared" si="222"/>
        <v>-3.7999999999999999E-2</v>
      </c>
      <c r="F277" s="524">
        <f t="shared" si="222"/>
        <v>-7.9000000000000015E-2</v>
      </c>
      <c r="G277" s="524">
        <f t="shared" si="222"/>
        <v>-0.11</v>
      </c>
      <c r="H277" s="524">
        <f t="shared" si="222"/>
        <v>-0.22300000000000003</v>
      </c>
      <c r="I277" s="524">
        <f t="shared" si="222"/>
        <v>-0.154</v>
      </c>
      <c r="J277" s="524">
        <f t="shared" si="222"/>
        <v>-4.6000000000000013E-2</v>
      </c>
      <c r="K277" s="524">
        <f t="shared" si="222"/>
        <v>-2.4E-2</v>
      </c>
      <c r="L277" s="524">
        <f t="shared" si="222"/>
        <v>-4.0000000000000001E-3</v>
      </c>
      <c r="M277" s="524">
        <f t="shared" si="222"/>
        <v>-6.0000000000000001E-3</v>
      </c>
      <c r="N277" s="524">
        <f t="shared" si="222"/>
        <v>-0.246</v>
      </c>
      <c r="O277" s="525">
        <f t="shared" si="222"/>
        <v>-0.151</v>
      </c>
      <c r="P277" s="524">
        <f>-P261</f>
        <v>-0.14537820821917807</v>
      </c>
      <c r="Q277" s="524" t="e">
        <f>-Q261</f>
        <v>#REF!</v>
      </c>
      <c r="R277" s="524" t="e">
        <f>-R261</f>
        <v>#REF!</v>
      </c>
      <c r="S277" s="524"/>
      <c r="T277" s="524"/>
      <c r="U277" s="524"/>
      <c r="V277" s="524"/>
      <c r="W277" s="524"/>
      <c r="X277" s="524"/>
      <c r="Y277" s="524"/>
      <c r="Z277" s="526"/>
      <c r="AA277" s="526"/>
      <c r="AB277" s="526"/>
      <c r="AC277" s="526"/>
      <c r="AD277" s="526">
        <f t="shared" ref="AD277:AM277" si="223">-AD139</f>
        <v>-8.1000000000000003E-2</v>
      </c>
      <c r="AE277" s="526">
        <f t="shared" si="223"/>
        <v>-0.10199999999999999</v>
      </c>
      <c r="AF277" s="526">
        <f t="shared" si="223"/>
        <v>-0.19500000000000001</v>
      </c>
      <c r="AG277" s="526">
        <f t="shared" si="223"/>
        <v>-0.21299999999999999</v>
      </c>
      <c r="AH277" s="526">
        <f t="shared" si="223"/>
        <v>-0.14199999999999999</v>
      </c>
      <c r="AI277" s="526">
        <f t="shared" si="223"/>
        <v>-0.11700000000000001</v>
      </c>
      <c r="AJ277" s="526">
        <f t="shared" si="223"/>
        <v>-0.33300000000000002</v>
      </c>
      <c r="AK277" s="526">
        <f t="shared" si="223"/>
        <v>-0.2</v>
      </c>
      <c r="AL277" s="526">
        <f t="shared" si="223"/>
        <v>-2.8000000000000001E-2</v>
      </c>
      <c r="AM277" s="529">
        <f t="shared" si="223"/>
        <v>-0.252</v>
      </c>
      <c r="AN277" s="526">
        <f>IF(OR(ISBLANK(O277),ISBLANK(P277)),"n/a",SUM(O277,P277))</f>
        <v>-0.29637820821917804</v>
      </c>
      <c r="AO277" s="526" t="e">
        <f>IF(OR(ISBLANK(Q277),ISBLANK(R277)),"n/a",SUM(Q277,R277))</f>
        <v>#REF!</v>
      </c>
      <c r="AP277" s="526" t="e">
        <f>-AP261</f>
        <v>#REF!</v>
      </c>
      <c r="AQ277" s="526" t="e">
        <f>-AQ261</f>
        <v>#REF!</v>
      </c>
      <c r="AR277" s="526" t="e">
        <f>-AR261</f>
        <v>#REF!</v>
      </c>
      <c r="AS277" s="171"/>
    </row>
    <row r="278" spans="1:45" x14ac:dyDescent="0.35">
      <c r="A278" s="556" t="s">
        <v>832</v>
      </c>
      <c r="B278" s="545"/>
      <c r="C278" s="546"/>
      <c r="D278" s="546"/>
      <c r="E278" s="546"/>
      <c r="F278" s="546"/>
      <c r="G278" s="546"/>
      <c r="H278" s="546"/>
      <c r="I278" s="546"/>
      <c r="J278" s="546"/>
      <c r="K278" s="546"/>
      <c r="L278" s="546"/>
      <c r="M278" s="546"/>
      <c r="N278" s="546"/>
      <c r="O278" s="547"/>
      <c r="P278" s="557">
        <v>0</v>
      </c>
      <c r="Q278" s="557">
        <v>0</v>
      </c>
      <c r="R278" s="557">
        <v>0</v>
      </c>
      <c r="S278" s="557"/>
      <c r="T278" s="557"/>
      <c r="U278" s="557"/>
      <c r="V278" s="557"/>
      <c r="W278" s="557"/>
      <c r="X278" s="557"/>
      <c r="Y278" s="558"/>
      <c r="Z278" s="548"/>
      <c r="AA278" s="548"/>
      <c r="AB278" s="548"/>
      <c r="AC278" s="548"/>
      <c r="AD278" s="548"/>
      <c r="AE278" s="548"/>
      <c r="AF278" s="548"/>
      <c r="AG278" s="548"/>
      <c r="AH278" s="548"/>
      <c r="AI278" s="548"/>
      <c r="AJ278" s="548"/>
      <c r="AK278" s="548"/>
      <c r="AL278" s="548"/>
      <c r="AM278" s="549"/>
      <c r="AN278" s="548" t="str">
        <f>IF(OR(ISBLANK(O278),ISBLANK(P278)),"n/a",SUM(O278,P278))</f>
        <v>n/a</v>
      </c>
      <c r="AO278" s="548">
        <f>IF(OR(ISBLANK(Q278),ISBLANK(R278)),"n/a",SUM(Q278,R278))</f>
        <v>0</v>
      </c>
      <c r="AP278" s="559">
        <v>0</v>
      </c>
      <c r="AQ278" s="559">
        <v>0</v>
      </c>
      <c r="AR278" s="559">
        <v>0</v>
      </c>
      <c r="AS278" s="171"/>
    </row>
    <row r="279" spans="1:45" x14ac:dyDescent="0.35">
      <c r="A279" s="560" t="s">
        <v>833</v>
      </c>
      <c r="B279" s="561"/>
      <c r="C279" s="562">
        <f t="shared" ref="C279:O279" si="224">SUM(C277:C278)</f>
        <v>-8.7999999999999995E-2</v>
      </c>
      <c r="D279" s="562">
        <f t="shared" si="224"/>
        <v>-5.3999999999999992E-2</v>
      </c>
      <c r="E279" s="562">
        <f t="shared" si="224"/>
        <v>-3.7999999999999999E-2</v>
      </c>
      <c r="F279" s="562">
        <f t="shared" si="224"/>
        <v>-7.9000000000000015E-2</v>
      </c>
      <c r="G279" s="562">
        <f t="shared" si="224"/>
        <v>-0.11</v>
      </c>
      <c r="H279" s="562">
        <f t="shared" si="224"/>
        <v>-0.22300000000000003</v>
      </c>
      <c r="I279" s="562">
        <f t="shared" si="224"/>
        <v>-0.154</v>
      </c>
      <c r="J279" s="562">
        <f t="shared" si="224"/>
        <v>-4.6000000000000013E-2</v>
      </c>
      <c r="K279" s="562">
        <f t="shared" si="224"/>
        <v>-2.4E-2</v>
      </c>
      <c r="L279" s="562">
        <f t="shared" si="224"/>
        <v>-4.0000000000000001E-3</v>
      </c>
      <c r="M279" s="562">
        <f t="shared" si="224"/>
        <v>-6.0000000000000001E-3</v>
      </c>
      <c r="N279" s="562">
        <f t="shared" si="224"/>
        <v>-0.246</v>
      </c>
      <c r="O279" s="563">
        <f t="shared" si="224"/>
        <v>-0.151</v>
      </c>
      <c r="P279" s="562">
        <f>IF(AND(ISNUMBER(P277),ISNUMBER(P278)),SUM(P277:P278),"n/a")</f>
        <v>-0.14537820821917807</v>
      </c>
      <c r="Q279" s="562" t="str">
        <f>IF(AND(ISNUMBER(Q277),ISNUMBER(Q278)),SUM(Q277:Q278),"n/a")</f>
        <v>n/a</v>
      </c>
      <c r="R279" s="562" t="str">
        <f>IF(AND(ISNUMBER(R277),ISNUMBER(R278)),SUM(R277:R278),"n/a")</f>
        <v>n/a</v>
      </c>
      <c r="S279" s="562"/>
      <c r="T279" s="562"/>
      <c r="U279" s="562"/>
      <c r="V279" s="562"/>
      <c r="W279" s="562"/>
      <c r="X279" s="562"/>
      <c r="Y279" s="562"/>
      <c r="Z279" s="564"/>
      <c r="AA279" s="564"/>
      <c r="AB279" s="564"/>
      <c r="AC279" s="564"/>
      <c r="AD279" s="564">
        <f t="shared" ref="AD279:AM279" si="225">SUM(AD277:AD278)</f>
        <v>-8.1000000000000003E-2</v>
      </c>
      <c r="AE279" s="564">
        <f t="shared" si="225"/>
        <v>-0.10199999999999999</v>
      </c>
      <c r="AF279" s="564">
        <f t="shared" si="225"/>
        <v>-0.19500000000000001</v>
      </c>
      <c r="AG279" s="564">
        <f t="shared" si="225"/>
        <v>-0.21299999999999999</v>
      </c>
      <c r="AH279" s="564">
        <f t="shared" si="225"/>
        <v>-0.14199999999999999</v>
      </c>
      <c r="AI279" s="564">
        <f t="shared" si="225"/>
        <v>-0.11700000000000001</v>
      </c>
      <c r="AJ279" s="564">
        <f t="shared" si="225"/>
        <v>-0.33300000000000002</v>
      </c>
      <c r="AK279" s="564">
        <f t="shared" si="225"/>
        <v>-0.2</v>
      </c>
      <c r="AL279" s="564">
        <f t="shared" si="225"/>
        <v>-2.8000000000000001E-2</v>
      </c>
      <c r="AM279" s="565">
        <f t="shared" si="225"/>
        <v>-0.252</v>
      </c>
      <c r="AN279" s="564" t="str">
        <f>IF(AND(ISNUMBER(AN277),ISNUMBER(AN278)),SUM(AN277:AN278),"n/a")</f>
        <v>n/a</v>
      </c>
      <c r="AO279" s="564" t="str">
        <f>IF(AND(ISNUMBER(AO277),ISNUMBER(AO278)),SUM(AO277:AO278),"n/a")</f>
        <v>n/a</v>
      </c>
      <c r="AP279" s="564" t="str">
        <f>IF(AND(ISNUMBER(AP277),ISNUMBER(AP278)),SUM(AP277:AP278),"n/a")</f>
        <v>n/a</v>
      </c>
      <c r="AQ279" s="564" t="str">
        <f>IF(AND(ISNUMBER(AQ277),ISNUMBER(AQ278)),SUM(AQ277:AQ278),"n/a")</f>
        <v>n/a</v>
      </c>
      <c r="AR279" s="564" t="str">
        <f>IF(AND(ISNUMBER(AR277),ISNUMBER(AR278)),SUM(AR277:AR278),"n/a")</f>
        <v>n/a</v>
      </c>
      <c r="AS279" s="171"/>
    </row>
    <row r="280" spans="1:45" x14ac:dyDescent="0.35">
      <c r="A280" s="542"/>
      <c r="B280" s="542"/>
      <c r="C280" s="326"/>
      <c r="D280" s="326"/>
      <c r="E280" s="326"/>
      <c r="F280" s="326"/>
      <c r="G280" s="326"/>
      <c r="H280" s="326"/>
      <c r="I280" s="326"/>
      <c r="J280" s="326"/>
      <c r="K280" s="326"/>
      <c r="L280" s="326"/>
      <c r="M280" s="326"/>
      <c r="N280" s="326"/>
      <c r="O280" s="327"/>
      <c r="P280" s="326"/>
      <c r="Q280" s="326"/>
      <c r="R280" s="326"/>
      <c r="S280" s="326"/>
      <c r="T280" s="326"/>
      <c r="U280" s="326"/>
      <c r="V280" s="326"/>
      <c r="W280" s="326"/>
      <c r="X280" s="326"/>
      <c r="Y280" s="326"/>
      <c r="Z280" s="328"/>
      <c r="AA280" s="328"/>
      <c r="AB280" s="328"/>
      <c r="AC280" s="328"/>
      <c r="AD280" s="328"/>
      <c r="AE280" s="328"/>
      <c r="AF280" s="328"/>
      <c r="AG280" s="328"/>
      <c r="AH280" s="328"/>
      <c r="AI280" s="328"/>
      <c r="AJ280" s="328"/>
      <c r="AK280" s="328"/>
      <c r="AL280" s="328"/>
      <c r="AM280" s="353"/>
      <c r="AN280" s="328"/>
      <c r="AO280" s="328"/>
      <c r="AP280" s="328"/>
      <c r="AQ280" s="328"/>
      <c r="AR280" s="328"/>
      <c r="AS280" s="171"/>
    </row>
    <row r="281" spans="1:45" x14ac:dyDescent="0.35">
      <c r="A281" s="315" t="s">
        <v>827</v>
      </c>
      <c r="B281" s="542"/>
      <c r="C281" s="524">
        <f t="shared" ref="C281:R282" si="226">C271</f>
        <v>0</v>
      </c>
      <c r="D281" s="524">
        <f t="shared" si="226"/>
        <v>0</v>
      </c>
      <c r="E281" s="524">
        <f t="shared" si="226"/>
        <v>0</v>
      </c>
      <c r="F281" s="524">
        <f t="shared" si="226"/>
        <v>0</v>
      </c>
      <c r="G281" s="524">
        <f t="shared" si="226"/>
        <v>0</v>
      </c>
      <c r="H281" s="524">
        <f t="shared" si="226"/>
        <v>0</v>
      </c>
      <c r="I281" s="524">
        <f t="shared" si="226"/>
        <v>0</v>
      </c>
      <c r="J281" s="524">
        <f t="shared" si="226"/>
        <v>0</v>
      </c>
      <c r="K281" s="524">
        <f t="shared" si="226"/>
        <v>0</v>
      </c>
      <c r="L281" s="524">
        <f t="shared" si="226"/>
        <v>0</v>
      </c>
      <c r="M281" s="524">
        <f t="shared" si="226"/>
        <v>0</v>
      </c>
      <c r="N281" s="524">
        <f t="shared" si="226"/>
        <v>0</v>
      </c>
      <c r="O281" s="525">
        <f t="shared" si="226"/>
        <v>0</v>
      </c>
      <c r="P281" s="524">
        <f t="shared" si="226"/>
        <v>0</v>
      </c>
      <c r="Q281" s="524">
        <f t="shared" si="226"/>
        <v>0</v>
      </c>
      <c r="R281" s="524">
        <f t="shared" si="226"/>
        <v>0</v>
      </c>
      <c r="S281" s="524"/>
      <c r="T281" s="524"/>
      <c r="U281" s="524"/>
      <c r="V281" s="524"/>
      <c r="W281" s="524"/>
      <c r="X281" s="524"/>
      <c r="Y281" s="524"/>
      <c r="Z281" s="526"/>
      <c r="AA281" s="526"/>
      <c r="AB281" s="526"/>
      <c r="AC281" s="526"/>
      <c r="AD281" s="526">
        <f t="shared" ref="AD281:AR282" si="227">AD271</f>
        <v>0</v>
      </c>
      <c r="AE281" s="526">
        <f t="shared" si="227"/>
        <v>0</v>
      </c>
      <c r="AF281" s="526">
        <f t="shared" si="227"/>
        <v>0</v>
      </c>
      <c r="AG281" s="526">
        <f t="shared" si="227"/>
        <v>0</v>
      </c>
      <c r="AH281" s="526">
        <f t="shared" si="227"/>
        <v>0</v>
      </c>
      <c r="AI281" s="526">
        <f t="shared" si="227"/>
        <v>0</v>
      </c>
      <c r="AJ281" s="526">
        <f t="shared" si="227"/>
        <v>0</v>
      </c>
      <c r="AK281" s="526">
        <f t="shared" si="227"/>
        <v>0</v>
      </c>
      <c r="AL281" s="526">
        <f t="shared" si="227"/>
        <v>0</v>
      </c>
      <c r="AM281" s="529">
        <f t="shared" si="227"/>
        <v>0</v>
      </c>
      <c r="AN281" s="526" t="str">
        <f t="shared" si="227"/>
        <v>n/a</v>
      </c>
      <c r="AO281" s="526">
        <f t="shared" si="227"/>
        <v>0</v>
      </c>
      <c r="AP281" s="526">
        <f t="shared" si="227"/>
        <v>0</v>
      </c>
      <c r="AQ281" s="526">
        <f t="shared" si="227"/>
        <v>0</v>
      </c>
      <c r="AR281" s="526">
        <f t="shared" si="227"/>
        <v>0</v>
      </c>
      <c r="AS281" s="171"/>
    </row>
    <row r="282" spans="1:45" x14ac:dyDescent="0.35">
      <c r="A282" s="566" t="s">
        <v>828</v>
      </c>
      <c r="B282" s="545"/>
      <c r="C282" s="546">
        <f t="shared" si="226"/>
        <v>0</v>
      </c>
      <c r="D282" s="546">
        <f t="shared" si="226"/>
        <v>0</v>
      </c>
      <c r="E282" s="546">
        <f t="shared" si="226"/>
        <v>0</v>
      </c>
      <c r="F282" s="546">
        <f t="shared" si="226"/>
        <v>0</v>
      </c>
      <c r="G282" s="546">
        <f t="shared" si="226"/>
        <v>0</v>
      </c>
      <c r="H282" s="546">
        <f t="shared" si="226"/>
        <v>0</v>
      </c>
      <c r="I282" s="546">
        <f t="shared" si="226"/>
        <v>0.109</v>
      </c>
      <c r="J282" s="546">
        <f t="shared" si="226"/>
        <v>0.20700000000000002</v>
      </c>
      <c r="K282" s="546">
        <f t="shared" si="226"/>
        <v>0.13800000000000001</v>
      </c>
      <c r="L282" s="546">
        <f t="shared" si="226"/>
        <v>0.33899999999999997</v>
      </c>
      <c r="M282" s="546">
        <f t="shared" si="226"/>
        <v>-6.6000000000000003E-2</v>
      </c>
      <c r="N282" s="546">
        <f t="shared" si="226"/>
        <v>0.31900000000000001</v>
      </c>
      <c r="O282" s="547">
        <f t="shared" si="226"/>
        <v>9.9000000000000005E-2</v>
      </c>
      <c r="P282" s="546">
        <f t="shared" si="226"/>
        <v>8.9266224657534241E-2</v>
      </c>
      <c r="Q282" s="546">
        <f t="shared" si="226"/>
        <v>8.958290735670045E-2</v>
      </c>
      <c r="R282" s="546">
        <f t="shared" si="226"/>
        <v>9.1891468648066563E-2</v>
      </c>
      <c r="S282" s="546"/>
      <c r="T282" s="546"/>
      <c r="U282" s="546"/>
      <c r="V282" s="546"/>
      <c r="W282" s="546"/>
      <c r="X282" s="546"/>
      <c r="Y282" s="546"/>
      <c r="Z282" s="548"/>
      <c r="AA282" s="548"/>
      <c r="AB282" s="548"/>
      <c r="AC282" s="548"/>
      <c r="AD282" s="548">
        <f t="shared" si="227"/>
        <v>0</v>
      </c>
      <c r="AE282" s="548">
        <f t="shared" si="227"/>
        <v>0</v>
      </c>
      <c r="AF282" s="548">
        <f t="shared" si="227"/>
        <v>0</v>
      </c>
      <c r="AG282" s="548">
        <f t="shared" si="227"/>
        <v>0</v>
      </c>
      <c r="AH282" s="548">
        <f t="shared" si="227"/>
        <v>0</v>
      </c>
      <c r="AI282" s="548">
        <f t="shared" si="227"/>
        <v>0</v>
      </c>
      <c r="AJ282" s="548">
        <f t="shared" si="227"/>
        <v>0</v>
      </c>
      <c r="AK282" s="548">
        <f t="shared" si="227"/>
        <v>0.316</v>
      </c>
      <c r="AL282" s="548">
        <f t="shared" si="227"/>
        <v>0.47699999999999998</v>
      </c>
      <c r="AM282" s="549">
        <f t="shared" si="227"/>
        <v>0.253</v>
      </c>
      <c r="AN282" s="548">
        <f t="shared" si="227"/>
        <v>0.18826622465753423</v>
      </c>
      <c r="AO282" s="548">
        <f t="shared" si="227"/>
        <v>0.18147437600476701</v>
      </c>
      <c r="AP282" s="548">
        <f t="shared" si="227"/>
        <v>0.18782305918248512</v>
      </c>
      <c r="AQ282" s="548">
        <f t="shared" si="227"/>
        <v>0.19359212405784909</v>
      </c>
      <c r="AR282" s="548">
        <f t="shared" si="227"/>
        <v>0.19947657023072032</v>
      </c>
      <c r="AS282" s="171"/>
    </row>
    <row r="283" spans="1:45" x14ac:dyDescent="0.35">
      <c r="A283" s="567" t="s">
        <v>829</v>
      </c>
      <c r="B283" s="551"/>
      <c r="C283" s="552">
        <f t="shared" ref="C283:O283" si="228">SUM(C281:C282)</f>
        <v>0</v>
      </c>
      <c r="D283" s="552">
        <f t="shared" si="228"/>
        <v>0</v>
      </c>
      <c r="E283" s="552">
        <f t="shared" si="228"/>
        <v>0</v>
      </c>
      <c r="F283" s="552">
        <f t="shared" si="228"/>
        <v>0</v>
      </c>
      <c r="G283" s="552">
        <f t="shared" si="228"/>
        <v>0</v>
      </c>
      <c r="H283" s="552">
        <f t="shared" si="228"/>
        <v>0</v>
      </c>
      <c r="I283" s="552">
        <f t="shared" si="228"/>
        <v>0.109</v>
      </c>
      <c r="J283" s="552">
        <f t="shared" si="228"/>
        <v>0.20700000000000002</v>
      </c>
      <c r="K283" s="552">
        <f t="shared" si="228"/>
        <v>0.13800000000000001</v>
      </c>
      <c r="L283" s="552">
        <f t="shared" si="228"/>
        <v>0.33899999999999997</v>
      </c>
      <c r="M283" s="552">
        <f t="shared" si="228"/>
        <v>-6.6000000000000003E-2</v>
      </c>
      <c r="N283" s="552">
        <f t="shared" si="228"/>
        <v>0.31900000000000001</v>
      </c>
      <c r="O283" s="553">
        <f t="shared" si="228"/>
        <v>9.9000000000000005E-2</v>
      </c>
      <c r="P283" s="552">
        <f>IF(AND(ISNUMBER(P281),ISNUMBER(P282)),SUM(P281:P282),"n/a")</f>
        <v>8.9266224657534241E-2</v>
      </c>
      <c r="Q283" s="552">
        <f>IF(AND(ISNUMBER(Q281),ISNUMBER(Q282)),SUM(Q281:Q282),"n/a")</f>
        <v>8.958290735670045E-2</v>
      </c>
      <c r="R283" s="552">
        <f>IF(AND(ISNUMBER(R281),ISNUMBER(R282)),SUM(R281:R282),"n/a")</f>
        <v>9.1891468648066563E-2</v>
      </c>
      <c r="S283" s="552"/>
      <c r="T283" s="552"/>
      <c r="U283" s="552"/>
      <c r="V283" s="552"/>
      <c r="W283" s="552"/>
      <c r="X283" s="552"/>
      <c r="Y283" s="552"/>
      <c r="Z283" s="554"/>
      <c r="AA283" s="554"/>
      <c r="AB283" s="554"/>
      <c r="AC283" s="554"/>
      <c r="AD283" s="554">
        <f t="shared" ref="AD283:AM283" si="229">SUM(AD281:AD282)</f>
        <v>0</v>
      </c>
      <c r="AE283" s="554">
        <f t="shared" si="229"/>
        <v>0</v>
      </c>
      <c r="AF283" s="554">
        <f t="shared" si="229"/>
        <v>0</v>
      </c>
      <c r="AG283" s="554">
        <f t="shared" si="229"/>
        <v>0</v>
      </c>
      <c r="AH283" s="554">
        <f t="shared" si="229"/>
        <v>0</v>
      </c>
      <c r="AI283" s="554">
        <f t="shared" si="229"/>
        <v>0</v>
      </c>
      <c r="AJ283" s="554">
        <f t="shared" si="229"/>
        <v>0</v>
      </c>
      <c r="AK283" s="554">
        <f t="shared" si="229"/>
        <v>0.316</v>
      </c>
      <c r="AL283" s="554">
        <f t="shared" si="229"/>
        <v>0.47699999999999998</v>
      </c>
      <c r="AM283" s="555">
        <f t="shared" si="229"/>
        <v>0.253</v>
      </c>
      <c r="AN283" s="554" t="str">
        <f>IF(AND(ISNUMBER(AN281),ISNUMBER(AN282)),SUM(AN281:AN282),"n/a")</f>
        <v>n/a</v>
      </c>
      <c r="AO283" s="554">
        <f>IF(AND(ISNUMBER(AO281),ISNUMBER(AO282)),SUM(AO281:AO282),"n/a")</f>
        <v>0.18147437600476701</v>
      </c>
      <c r="AP283" s="554">
        <f>IF(AND(ISNUMBER(AP281),ISNUMBER(AP282)),SUM(AP281:AP282),"n/a")</f>
        <v>0.18782305918248512</v>
      </c>
      <c r="AQ283" s="554">
        <f>IF(AND(ISNUMBER(AQ281),ISNUMBER(AQ282)),SUM(AQ281:AQ282),"n/a")</f>
        <v>0.19359212405784909</v>
      </c>
      <c r="AR283" s="554">
        <f>IF(AND(ISNUMBER(AR281),ISNUMBER(AR282)),SUM(AR281:AR282),"n/a")</f>
        <v>0.19947657023072032</v>
      </c>
      <c r="AS283" s="171"/>
    </row>
    <row r="284" spans="1:45" x14ac:dyDescent="0.35">
      <c r="A284" s="544" t="s">
        <v>819</v>
      </c>
      <c r="B284" s="545"/>
      <c r="C284" s="546">
        <f t="shared" ref="C284:R284" si="230">C277</f>
        <v>-8.7999999999999995E-2</v>
      </c>
      <c r="D284" s="546">
        <f t="shared" si="230"/>
        <v>-5.3999999999999992E-2</v>
      </c>
      <c r="E284" s="546">
        <f t="shared" si="230"/>
        <v>-3.7999999999999999E-2</v>
      </c>
      <c r="F284" s="546">
        <f t="shared" si="230"/>
        <v>-7.9000000000000015E-2</v>
      </c>
      <c r="G284" s="546">
        <f t="shared" si="230"/>
        <v>-0.11</v>
      </c>
      <c r="H284" s="546">
        <f t="shared" si="230"/>
        <v>-0.22300000000000003</v>
      </c>
      <c r="I284" s="546">
        <f t="shared" si="230"/>
        <v>-0.154</v>
      </c>
      <c r="J284" s="546">
        <f t="shared" si="230"/>
        <v>-4.6000000000000013E-2</v>
      </c>
      <c r="K284" s="546">
        <f t="shared" si="230"/>
        <v>-2.4E-2</v>
      </c>
      <c r="L284" s="546">
        <f t="shared" si="230"/>
        <v>-4.0000000000000001E-3</v>
      </c>
      <c r="M284" s="546">
        <f t="shared" si="230"/>
        <v>-6.0000000000000001E-3</v>
      </c>
      <c r="N284" s="546">
        <f t="shared" si="230"/>
        <v>-0.246</v>
      </c>
      <c r="O284" s="547">
        <f t="shared" si="230"/>
        <v>-0.151</v>
      </c>
      <c r="P284" s="546">
        <f t="shared" si="230"/>
        <v>-0.14537820821917807</v>
      </c>
      <c r="Q284" s="546" t="e">
        <f t="shared" si="230"/>
        <v>#REF!</v>
      </c>
      <c r="R284" s="546" t="e">
        <f t="shared" si="230"/>
        <v>#REF!</v>
      </c>
      <c r="S284" s="546"/>
      <c r="T284" s="546"/>
      <c r="U284" s="546"/>
      <c r="V284" s="546"/>
      <c r="W284" s="546"/>
      <c r="X284" s="546"/>
      <c r="Y284" s="546"/>
      <c r="Z284" s="548"/>
      <c r="AA284" s="548"/>
      <c r="AB284" s="548"/>
      <c r="AC284" s="548"/>
      <c r="AD284" s="548">
        <f t="shared" ref="AD284:AR284" si="231">AD277</f>
        <v>-8.1000000000000003E-2</v>
      </c>
      <c r="AE284" s="548">
        <f t="shared" si="231"/>
        <v>-0.10199999999999999</v>
      </c>
      <c r="AF284" s="548">
        <f t="shared" si="231"/>
        <v>-0.19500000000000001</v>
      </c>
      <c r="AG284" s="548">
        <f t="shared" si="231"/>
        <v>-0.21299999999999999</v>
      </c>
      <c r="AH284" s="548">
        <f t="shared" si="231"/>
        <v>-0.14199999999999999</v>
      </c>
      <c r="AI284" s="548">
        <f t="shared" si="231"/>
        <v>-0.11700000000000001</v>
      </c>
      <c r="AJ284" s="548">
        <f t="shared" si="231"/>
        <v>-0.33300000000000002</v>
      </c>
      <c r="AK284" s="548">
        <f t="shared" si="231"/>
        <v>-0.2</v>
      </c>
      <c r="AL284" s="548">
        <f t="shared" si="231"/>
        <v>-2.8000000000000001E-2</v>
      </c>
      <c r="AM284" s="549">
        <f t="shared" si="231"/>
        <v>-0.252</v>
      </c>
      <c r="AN284" s="548">
        <f t="shared" si="231"/>
        <v>-0.29637820821917804</v>
      </c>
      <c r="AO284" s="548" t="e">
        <f t="shared" si="231"/>
        <v>#REF!</v>
      </c>
      <c r="AP284" s="548" t="e">
        <f t="shared" si="231"/>
        <v>#REF!</v>
      </c>
      <c r="AQ284" s="548" t="e">
        <f t="shared" si="231"/>
        <v>#REF!</v>
      </c>
      <c r="AR284" s="548" t="e">
        <f t="shared" si="231"/>
        <v>#REF!</v>
      </c>
      <c r="AS284" s="171"/>
    </row>
    <row r="285" spans="1:45" x14ac:dyDescent="0.35">
      <c r="A285" s="550" t="s">
        <v>834</v>
      </c>
      <c r="B285" s="551"/>
      <c r="C285" s="552">
        <f t="shared" ref="C285:O285" si="232">SUM(C283:C284)</f>
        <v>-8.7999999999999995E-2</v>
      </c>
      <c r="D285" s="552">
        <f t="shared" si="232"/>
        <v>-5.3999999999999992E-2</v>
      </c>
      <c r="E285" s="552">
        <f t="shared" si="232"/>
        <v>-3.7999999999999999E-2</v>
      </c>
      <c r="F285" s="552">
        <f t="shared" si="232"/>
        <v>-7.9000000000000015E-2</v>
      </c>
      <c r="G285" s="552">
        <f t="shared" si="232"/>
        <v>-0.11</v>
      </c>
      <c r="H285" s="552">
        <f t="shared" si="232"/>
        <v>-0.22300000000000003</v>
      </c>
      <c r="I285" s="552">
        <f t="shared" si="232"/>
        <v>-4.4999999999999998E-2</v>
      </c>
      <c r="J285" s="552">
        <f t="shared" si="232"/>
        <v>0.161</v>
      </c>
      <c r="K285" s="552">
        <f t="shared" si="232"/>
        <v>0.11400000000000002</v>
      </c>
      <c r="L285" s="552">
        <f t="shared" si="232"/>
        <v>0.33499999999999996</v>
      </c>
      <c r="M285" s="552">
        <f t="shared" si="232"/>
        <v>-7.2000000000000008E-2</v>
      </c>
      <c r="N285" s="552">
        <f t="shared" si="232"/>
        <v>7.3000000000000009E-2</v>
      </c>
      <c r="O285" s="553">
        <f t="shared" si="232"/>
        <v>-5.1999999999999991E-2</v>
      </c>
      <c r="P285" s="552">
        <f>IF(AND(ISNUMBER(P283),ISNUMBER(P284)),SUM(P283:P284),"n/a")</f>
        <v>-5.6111983561643833E-2</v>
      </c>
      <c r="Q285" s="552" t="str">
        <f>IF(AND(ISNUMBER(Q283),ISNUMBER(Q284)),SUM(Q283:Q284),"n/a")</f>
        <v>n/a</v>
      </c>
      <c r="R285" s="552" t="str">
        <f>IF(AND(ISNUMBER(R283),ISNUMBER(R284)),SUM(R283:R284),"n/a")</f>
        <v>n/a</v>
      </c>
      <c r="S285" s="552"/>
      <c r="T285" s="552"/>
      <c r="U285" s="552"/>
      <c r="V285" s="552"/>
      <c r="W285" s="552"/>
      <c r="X285" s="552"/>
      <c r="Y285" s="552"/>
      <c r="Z285" s="554"/>
      <c r="AA285" s="554"/>
      <c r="AB285" s="554"/>
      <c r="AC285" s="554"/>
      <c r="AD285" s="554">
        <f t="shared" ref="AD285:AM285" si="233">SUM(AD283:AD284)</f>
        <v>-8.1000000000000003E-2</v>
      </c>
      <c r="AE285" s="554">
        <f t="shared" si="233"/>
        <v>-0.10199999999999999</v>
      </c>
      <c r="AF285" s="554">
        <f t="shared" si="233"/>
        <v>-0.19500000000000001</v>
      </c>
      <c r="AG285" s="554">
        <f t="shared" si="233"/>
        <v>-0.21299999999999999</v>
      </c>
      <c r="AH285" s="554">
        <f t="shared" si="233"/>
        <v>-0.14199999999999999</v>
      </c>
      <c r="AI285" s="554">
        <f t="shared" si="233"/>
        <v>-0.11700000000000001</v>
      </c>
      <c r="AJ285" s="554">
        <f t="shared" si="233"/>
        <v>-0.33300000000000002</v>
      </c>
      <c r="AK285" s="554">
        <f t="shared" si="233"/>
        <v>0.11599999999999999</v>
      </c>
      <c r="AL285" s="554">
        <f t="shared" si="233"/>
        <v>0.44899999999999995</v>
      </c>
      <c r="AM285" s="555">
        <f t="shared" si="233"/>
        <v>1.0000000000000009E-3</v>
      </c>
      <c r="AN285" s="554" t="str">
        <f>IF(AND(ISNUMBER(AN283),ISNUMBER(AN284)),SUM(AN283:AN284),"n/a")</f>
        <v>n/a</v>
      </c>
      <c r="AO285" s="554" t="str">
        <f>IF(AND(ISNUMBER(AO283),ISNUMBER(AO284)),SUM(AO283:AO284),"n/a")</f>
        <v>n/a</v>
      </c>
      <c r="AP285" s="554" t="str">
        <f>IF(AND(ISNUMBER(AP283),ISNUMBER(AP284)),SUM(AP283:AP284),"n/a")</f>
        <v>n/a</v>
      </c>
      <c r="AQ285" s="554" t="str">
        <f>IF(AND(ISNUMBER(AQ283),ISNUMBER(AQ284)),SUM(AQ283:AQ284),"n/a")</f>
        <v>n/a</v>
      </c>
      <c r="AR285" s="554" t="str">
        <f>IF(AND(ISNUMBER(AR283),ISNUMBER(AR284)),SUM(AR283:AR284),"n/a")</f>
        <v>n/a</v>
      </c>
      <c r="AS285" s="171"/>
    </row>
    <row r="286" spans="1:45" x14ac:dyDescent="0.35">
      <c r="A286" s="556" t="s">
        <v>835</v>
      </c>
      <c r="B286" s="545"/>
      <c r="C286" s="546">
        <f t="shared" ref="C286:O286" si="234">C274+C278</f>
        <v>0</v>
      </c>
      <c r="D286" s="546">
        <f t="shared" si="234"/>
        <v>0</v>
      </c>
      <c r="E286" s="546">
        <f t="shared" si="234"/>
        <v>0</v>
      </c>
      <c r="F286" s="546">
        <f t="shared" si="234"/>
        <v>0</v>
      </c>
      <c r="G286" s="546">
        <f t="shared" si="234"/>
        <v>0</v>
      </c>
      <c r="H286" s="546">
        <f t="shared" si="234"/>
        <v>0</v>
      </c>
      <c r="I286" s="546">
        <f t="shared" si="234"/>
        <v>0</v>
      </c>
      <c r="J286" s="546">
        <f t="shared" si="234"/>
        <v>0</v>
      </c>
      <c r="K286" s="546">
        <f t="shared" si="234"/>
        <v>0</v>
      </c>
      <c r="L286" s="546">
        <f t="shared" si="234"/>
        <v>0</v>
      </c>
      <c r="M286" s="546">
        <f t="shared" si="234"/>
        <v>0</v>
      </c>
      <c r="N286" s="546">
        <f t="shared" si="234"/>
        <v>0</v>
      </c>
      <c r="O286" s="547">
        <f t="shared" si="234"/>
        <v>0</v>
      </c>
      <c r="P286" s="546">
        <f>IF(AND(ISNUMBER(P274),ISNUMBER(P278)),P274+P278,"n/a")</f>
        <v>0</v>
      </c>
      <c r="Q286" s="546">
        <f>IF(AND(ISNUMBER(Q274),ISNUMBER(Q278)),Q274+Q278,"n/a")</f>
        <v>0</v>
      </c>
      <c r="R286" s="546">
        <f>IF(AND(ISNUMBER(R274),ISNUMBER(R278)),R274+R278,"n/a")</f>
        <v>0</v>
      </c>
      <c r="S286" s="546"/>
      <c r="T286" s="546"/>
      <c r="U286" s="546"/>
      <c r="V286" s="546"/>
      <c r="W286" s="546"/>
      <c r="X286" s="546"/>
      <c r="Y286" s="546"/>
      <c r="Z286" s="548"/>
      <c r="AA286" s="548"/>
      <c r="AB286" s="548"/>
      <c r="AC286" s="548"/>
      <c r="AD286" s="548">
        <f t="shared" ref="AD286:AM286" si="235">AD274+AD278</f>
        <v>0</v>
      </c>
      <c r="AE286" s="548">
        <f t="shared" si="235"/>
        <v>0</v>
      </c>
      <c r="AF286" s="548">
        <f t="shared" si="235"/>
        <v>0</v>
      </c>
      <c r="AG286" s="548">
        <f t="shared" si="235"/>
        <v>0</v>
      </c>
      <c r="AH286" s="548">
        <f t="shared" si="235"/>
        <v>0</v>
      </c>
      <c r="AI286" s="548">
        <f t="shared" si="235"/>
        <v>0</v>
      </c>
      <c r="AJ286" s="548">
        <f t="shared" si="235"/>
        <v>0</v>
      </c>
      <c r="AK286" s="548">
        <f t="shared" si="235"/>
        <v>0</v>
      </c>
      <c r="AL286" s="548">
        <f t="shared" si="235"/>
        <v>0</v>
      </c>
      <c r="AM286" s="549">
        <f t="shared" si="235"/>
        <v>0</v>
      </c>
      <c r="AN286" s="548" t="str">
        <f>IF(AND(ISNUMBER(AN274),ISNUMBER(AN278)),AN274+AN278,"n/a")</f>
        <v>n/a</v>
      </c>
      <c r="AO286" s="548">
        <f>IF(AND(ISNUMBER(AO274),ISNUMBER(AO278)),AO274+AO278,"n/a")</f>
        <v>0</v>
      </c>
      <c r="AP286" s="548">
        <f>IF(AND(ISNUMBER(AP274),ISNUMBER(AP278)),AP274+AP278,"n/a")</f>
        <v>0</v>
      </c>
      <c r="AQ286" s="548">
        <f>IF(AND(ISNUMBER(AQ274),ISNUMBER(AQ278)),AQ274+AQ278,"n/a")</f>
        <v>0</v>
      </c>
      <c r="AR286" s="548">
        <f>IF(AND(ISNUMBER(AR274),ISNUMBER(AR278)),AR274+AR278,"n/a")</f>
        <v>0</v>
      </c>
      <c r="AS286" s="171"/>
    </row>
    <row r="287" spans="1:45" x14ac:dyDescent="0.35">
      <c r="A287" s="560" t="s">
        <v>836</v>
      </c>
      <c r="B287" s="561"/>
      <c r="C287" s="562">
        <f t="shared" ref="C287:R287" si="236">SUM(C285:C286)</f>
        <v>-8.7999999999999995E-2</v>
      </c>
      <c r="D287" s="562">
        <f t="shared" si="236"/>
        <v>-5.3999999999999992E-2</v>
      </c>
      <c r="E287" s="562">
        <f t="shared" si="236"/>
        <v>-3.7999999999999999E-2</v>
      </c>
      <c r="F287" s="562">
        <f t="shared" si="236"/>
        <v>-7.9000000000000015E-2</v>
      </c>
      <c r="G287" s="562">
        <f t="shared" si="236"/>
        <v>-0.11</v>
      </c>
      <c r="H287" s="562">
        <f t="shared" si="236"/>
        <v>-0.22300000000000003</v>
      </c>
      <c r="I287" s="562">
        <f t="shared" si="236"/>
        <v>-4.4999999999999998E-2</v>
      </c>
      <c r="J287" s="562">
        <f t="shared" si="236"/>
        <v>0.161</v>
      </c>
      <c r="K287" s="562">
        <f t="shared" si="236"/>
        <v>0.11400000000000002</v>
      </c>
      <c r="L287" s="562">
        <f t="shared" si="236"/>
        <v>0.33499999999999996</v>
      </c>
      <c r="M287" s="562">
        <f t="shared" si="236"/>
        <v>-7.2000000000000008E-2</v>
      </c>
      <c r="N287" s="562">
        <f t="shared" si="236"/>
        <v>7.3000000000000009E-2</v>
      </c>
      <c r="O287" s="563">
        <f t="shared" si="236"/>
        <v>-5.1999999999999991E-2</v>
      </c>
      <c r="P287" s="562">
        <f t="shared" si="236"/>
        <v>-5.6111983561643833E-2</v>
      </c>
      <c r="Q287" s="562">
        <f t="shared" si="236"/>
        <v>0</v>
      </c>
      <c r="R287" s="562">
        <f t="shared" si="236"/>
        <v>0</v>
      </c>
      <c r="S287" s="562"/>
      <c r="T287" s="562"/>
      <c r="U287" s="562"/>
      <c r="V287" s="562"/>
      <c r="W287" s="562"/>
      <c r="X287" s="562"/>
      <c r="Y287" s="562"/>
      <c r="Z287" s="564"/>
      <c r="AA287" s="564"/>
      <c r="AB287" s="564"/>
      <c r="AC287" s="564"/>
      <c r="AD287" s="564">
        <f t="shared" ref="AD287:AM287" si="237">SUM(AD285:AD286)</f>
        <v>-8.1000000000000003E-2</v>
      </c>
      <c r="AE287" s="564">
        <f t="shared" si="237"/>
        <v>-0.10199999999999999</v>
      </c>
      <c r="AF287" s="564">
        <f t="shared" si="237"/>
        <v>-0.19500000000000001</v>
      </c>
      <c r="AG287" s="564">
        <f t="shared" si="237"/>
        <v>-0.21299999999999999</v>
      </c>
      <c r="AH287" s="564">
        <f t="shared" si="237"/>
        <v>-0.14199999999999999</v>
      </c>
      <c r="AI287" s="564">
        <f t="shared" si="237"/>
        <v>-0.11700000000000001</v>
      </c>
      <c r="AJ287" s="564">
        <f t="shared" si="237"/>
        <v>-0.33300000000000002</v>
      </c>
      <c r="AK287" s="564">
        <f t="shared" si="237"/>
        <v>0.11599999999999999</v>
      </c>
      <c r="AL287" s="564">
        <f t="shared" si="237"/>
        <v>0.44899999999999995</v>
      </c>
      <c r="AM287" s="565">
        <f t="shared" si="237"/>
        <v>1.0000000000000009E-3</v>
      </c>
      <c r="AN287" s="564">
        <f>SUM(O287,P287)</f>
        <v>-0.10811198356164382</v>
      </c>
      <c r="AO287" s="564">
        <f>SUM(Q287,R287)</f>
        <v>0</v>
      </c>
      <c r="AP287" s="564">
        <f>SUM(AP285:AP286)</f>
        <v>0</v>
      </c>
      <c r="AQ287" s="564">
        <f>SUM(AQ285:AQ286)</f>
        <v>0</v>
      </c>
      <c r="AR287" s="564">
        <f>SUM(AR285:AR286)</f>
        <v>0</v>
      </c>
      <c r="AS287" s="171"/>
    </row>
    <row r="288" spans="1:45" x14ac:dyDescent="0.35">
      <c r="A288" s="542"/>
      <c r="B288" s="542"/>
      <c r="C288" s="326"/>
      <c r="D288" s="326"/>
      <c r="E288" s="326"/>
      <c r="F288" s="326"/>
      <c r="G288" s="326"/>
      <c r="H288" s="326"/>
      <c r="I288" s="326"/>
      <c r="J288" s="326"/>
      <c r="K288" s="326"/>
      <c r="L288" s="326"/>
      <c r="M288" s="326"/>
      <c r="N288" s="326"/>
      <c r="O288" s="327"/>
      <c r="P288" s="326"/>
      <c r="Q288" s="326"/>
      <c r="R288" s="326"/>
      <c r="S288" s="326"/>
      <c r="T288" s="326"/>
      <c r="U288" s="326"/>
      <c r="V288" s="326"/>
      <c r="W288" s="326"/>
      <c r="X288" s="326"/>
      <c r="Y288" s="326"/>
      <c r="Z288" s="328"/>
      <c r="AA288" s="328"/>
      <c r="AB288" s="328"/>
      <c r="AC288" s="328"/>
      <c r="AD288" s="328"/>
      <c r="AE288" s="328"/>
      <c r="AF288" s="328"/>
      <c r="AG288" s="328"/>
      <c r="AH288" s="328"/>
      <c r="AI288" s="328"/>
      <c r="AJ288" s="328"/>
      <c r="AK288" s="328"/>
      <c r="AL288" s="328"/>
      <c r="AM288" s="353"/>
      <c r="AN288" s="328"/>
      <c r="AO288" s="328"/>
      <c r="AP288" s="328"/>
      <c r="AQ288" s="328"/>
      <c r="AR288" s="328"/>
      <c r="AS288" s="171"/>
    </row>
    <row r="289" spans="1:45" s="167" customFormat="1" x14ac:dyDescent="0.35">
      <c r="A289" s="242" t="s">
        <v>175</v>
      </c>
      <c r="B289" s="243"/>
      <c r="C289" s="243"/>
      <c r="D289" s="243"/>
      <c r="E289" s="243"/>
      <c r="F289" s="243"/>
      <c r="G289" s="243"/>
      <c r="H289" s="243"/>
      <c r="I289" s="243"/>
      <c r="J289" s="243"/>
      <c r="K289" s="243"/>
      <c r="L289" s="243"/>
      <c r="M289" s="243"/>
      <c r="N289" s="243"/>
      <c r="O289" s="245"/>
      <c r="P289" s="243"/>
      <c r="Q289" s="243"/>
      <c r="R289" s="243"/>
      <c r="S289" s="243"/>
      <c r="T289" s="243"/>
      <c r="U289" s="243"/>
      <c r="V289" s="243"/>
      <c r="W289" s="243"/>
      <c r="X289" s="243"/>
      <c r="Y289" s="243"/>
      <c r="Z289" s="243"/>
      <c r="AA289" s="243"/>
      <c r="AB289" s="243"/>
      <c r="AC289" s="243"/>
      <c r="AD289" s="243"/>
      <c r="AE289" s="243"/>
      <c r="AF289" s="243"/>
      <c r="AG289" s="243"/>
      <c r="AH289" s="243"/>
      <c r="AI289" s="243"/>
      <c r="AJ289" s="243"/>
      <c r="AK289" s="243"/>
      <c r="AL289" s="243"/>
      <c r="AM289" s="245"/>
      <c r="AN289" s="243"/>
      <c r="AO289" s="243"/>
      <c r="AP289" s="243"/>
      <c r="AQ289" s="243"/>
      <c r="AR289" s="243"/>
      <c r="AS289" s="166"/>
    </row>
    <row r="290" spans="1:45" s="454" customFormat="1" x14ac:dyDescent="0.35">
      <c r="A290" s="448" t="str">
        <f>"Stock Price (Trading Cur.) - "&amp;MO.ValuationToggle&amp;", "&amp;HP.TradeCurrency</f>
        <v>Stock Price (Trading Cur.) - Avg, GBX</v>
      </c>
      <c r="B290" s="568" t="s">
        <v>837</v>
      </c>
      <c r="C290" s="569" t="e">
        <f t="shared" ref="C290:R290" si="238">IF(INDEX(MO_SNA_IsHistoricalPeriod,1,COLUMN())=FALSE,MO.LastPrice,CHOOSE(VLOOKUP(MO.ValuationToggle,tb_ValuationToggle,COLUMNS(tb_ValuationToggle),FALSE),C301,C302,C303))</f>
        <v>#REF!</v>
      </c>
      <c r="D290" s="569" t="e">
        <f t="shared" si="238"/>
        <v>#REF!</v>
      </c>
      <c r="E290" s="569" t="e">
        <f t="shared" si="238"/>
        <v>#REF!</v>
      </c>
      <c r="F290" s="569" t="e">
        <f t="shared" si="238"/>
        <v>#REF!</v>
      </c>
      <c r="G290" s="569" t="e">
        <f t="shared" si="238"/>
        <v>#REF!</v>
      </c>
      <c r="H290" s="569" t="e">
        <f t="shared" si="238"/>
        <v>#REF!</v>
      </c>
      <c r="I290" s="569" t="e">
        <f t="shared" si="238"/>
        <v>#REF!</v>
      </c>
      <c r="J290" s="569" t="e">
        <f t="shared" si="238"/>
        <v>#REF!</v>
      </c>
      <c r="K290" s="569" t="e">
        <f t="shared" si="238"/>
        <v>#REF!</v>
      </c>
      <c r="L290" s="569" t="e">
        <f t="shared" si="238"/>
        <v>#REF!</v>
      </c>
      <c r="M290" s="569" t="e">
        <f t="shared" si="238"/>
        <v>#REF!</v>
      </c>
      <c r="N290" s="569" t="e">
        <f t="shared" si="238"/>
        <v>#REF!</v>
      </c>
      <c r="O290" s="570" t="e">
        <f t="shared" si="238"/>
        <v>#REF!</v>
      </c>
      <c r="P290" s="571" t="e">
        <f t="shared" si="238"/>
        <v>#REF!</v>
      </c>
      <c r="Q290" s="571" t="e">
        <f t="shared" si="238"/>
        <v>#REF!</v>
      </c>
      <c r="R290" s="571" t="e">
        <f t="shared" si="238"/>
        <v>#REF!</v>
      </c>
      <c r="S290" s="571"/>
      <c r="T290" s="571"/>
      <c r="U290" s="571"/>
      <c r="V290" s="571"/>
      <c r="W290" s="571"/>
      <c r="X290" s="571"/>
      <c r="Y290" s="571"/>
      <c r="Z290" s="572"/>
      <c r="AA290" s="572"/>
      <c r="AB290" s="572"/>
      <c r="AC290" s="572"/>
      <c r="AD290" s="572"/>
      <c r="AE290" s="572"/>
      <c r="AF290" s="572"/>
      <c r="AG290" s="573" t="e">
        <f t="shared" ref="AG290:AR290" si="239">IF(INDEX(MO_SNA_IsHistoricalPeriod,1,COLUMN())=FALSE,MO.LastPrice,CHOOSE(VLOOKUP(MO.ValuationToggle,tb_ValuationToggle,COLUMNS(tb_ValuationToggle),FALSE),AG301,AG302,AG303))</f>
        <v>#REF!</v>
      </c>
      <c r="AH290" s="573" t="e">
        <f t="shared" si="239"/>
        <v>#REF!</v>
      </c>
      <c r="AI290" s="573" t="e">
        <f t="shared" si="239"/>
        <v>#REF!</v>
      </c>
      <c r="AJ290" s="573" t="e">
        <f t="shared" si="239"/>
        <v>#REF!</v>
      </c>
      <c r="AK290" s="573" t="e">
        <f t="shared" si="239"/>
        <v>#REF!</v>
      </c>
      <c r="AL290" s="573" t="e">
        <f t="shared" si="239"/>
        <v>#REF!</v>
      </c>
      <c r="AM290" s="574" t="e">
        <f t="shared" si="239"/>
        <v>#REF!</v>
      </c>
      <c r="AN290" s="452" t="e">
        <f t="shared" si="239"/>
        <v>#REF!</v>
      </c>
      <c r="AO290" s="451" t="e">
        <f t="shared" si="239"/>
        <v>#REF!</v>
      </c>
      <c r="AP290" s="451" t="e">
        <f t="shared" si="239"/>
        <v>#REF!</v>
      </c>
      <c r="AQ290" s="451" t="e">
        <f t="shared" si="239"/>
        <v>#REF!</v>
      </c>
      <c r="AR290" s="451" t="e">
        <f t="shared" si="239"/>
        <v>#REF!</v>
      </c>
      <c r="AS290" s="448"/>
    </row>
    <row r="291" spans="1:45" s="581" customFormat="1" x14ac:dyDescent="0.35">
      <c r="A291" s="575" t="str">
        <f>"Stock Price (Reporting Cur.) - "&amp;MO.ValuationToggle&amp;", "&amp;MO.ReportCurrency</f>
        <v>Stock Price (Reporting Cur.) - Avg, GBP</v>
      </c>
      <c r="B291" s="576"/>
      <c r="C291" s="575" t="e">
        <f t="shared" ref="C291:R291" si="240">INDEX(MO_VA_StockPrice_TradingCurrency,1,COLUMN())/INDEX(MO_VA_FX_Average,1,COLUMN())</f>
        <v>#REF!</v>
      </c>
      <c r="D291" s="575" t="e">
        <f t="shared" si="240"/>
        <v>#REF!</v>
      </c>
      <c r="E291" s="575" t="e">
        <f t="shared" si="240"/>
        <v>#REF!</v>
      </c>
      <c r="F291" s="575" t="e">
        <f t="shared" si="240"/>
        <v>#REF!</v>
      </c>
      <c r="G291" s="575" t="e">
        <f t="shared" si="240"/>
        <v>#REF!</v>
      </c>
      <c r="H291" s="575" t="e">
        <f t="shared" si="240"/>
        <v>#REF!</v>
      </c>
      <c r="I291" s="575" t="e">
        <f t="shared" si="240"/>
        <v>#REF!</v>
      </c>
      <c r="J291" s="575" t="e">
        <f t="shared" si="240"/>
        <v>#REF!</v>
      </c>
      <c r="K291" s="575" t="e">
        <f t="shared" si="240"/>
        <v>#REF!</v>
      </c>
      <c r="L291" s="575" t="e">
        <f t="shared" si="240"/>
        <v>#REF!</v>
      </c>
      <c r="M291" s="575" t="e">
        <f t="shared" si="240"/>
        <v>#REF!</v>
      </c>
      <c r="N291" s="575" t="e">
        <f t="shared" si="240"/>
        <v>#REF!</v>
      </c>
      <c r="O291" s="577" t="e">
        <f t="shared" si="240"/>
        <v>#REF!</v>
      </c>
      <c r="P291" s="576" t="e">
        <f t="shared" si="240"/>
        <v>#REF!</v>
      </c>
      <c r="Q291" s="576" t="e">
        <f t="shared" si="240"/>
        <v>#REF!</v>
      </c>
      <c r="R291" s="576" t="e">
        <f t="shared" si="240"/>
        <v>#REF!</v>
      </c>
      <c r="S291" s="576"/>
      <c r="T291" s="576"/>
      <c r="U291" s="576"/>
      <c r="V291" s="576"/>
      <c r="W291" s="576"/>
      <c r="X291" s="576"/>
      <c r="Y291" s="576"/>
      <c r="Z291" s="578"/>
      <c r="AA291" s="578"/>
      <c r="AB291" s="578"/>
      <c r="AC291" s="578"/>
      <c r="AD291" s="578"/>
      <c r="AE291" s="578"/>
      <c r="AF291" s="578"/>
      <c r="AG291" s="579" t="e">
        <f t="shared" ref="AG291:AR291" si="241">INDEX(MO_VA_StockPrice_TradingCurrency,1,COLUMN())/INDEX(MO_VA_FX_Average,1,COLUMN())</f>
        <v>#REF!</v>
      </c>
      <c r="AH291" s="579" t="e">
        <f t="shared" si="241"/>
        <v>#REF!</v>
      </c>
      <c r="AI291" s="579" t="e">
        <f t="shared" si="241"/>
        <v>#REF!</v>
      </c>
      <c r="AJ291" s="579" t="e">
        <f t="shared" si="241"/>
        <v>#REF!</v>
      </c>
      <c r="AK291" s="579" t="e">
        <f t="shared" si="241"/>
        <v>#REF!</v>
      </c>
      <c r="AL291" s="579" t="e">
        <f t="shared" si="241"/>
        <v>#REF!</v>
      </c>
      <c r="AM291" s="580" t="e">
        <f t="shared" si="241"/>
        <v>#REF!</v>
      </c>
      <c r="AN291" s="579" t="e">
        <f t="shared" si="241"/>
        <v>#REF!</v>
      </c>
      <c r="AO291" s="578" t="e">
        <f t="shared" si="241"/>
        <v>#REF!</v>
      </c>
      <c r="AP291" s="578" t="e">
        <f t="shared" si="241"/>
        <v>#REF!</v>
      </c>
      <c r="AQ291" s="578" t="e">
        <f t="shared" si="241"/>
        <v>#REF!</v>
      </c>
      <c r="AR291" s="578" t="e">
        <f t="shared" si="241"/>
        <v>#REF!</v>
      </c>
      <c r="AS291" s="575"/>
    </row>
    <row r="292" spans="1:45" s="167" customFormat="1" x14ac:dyDescent="0.35">
      <c r="A292" s="166" t="str">
        <f>"Market Cap - "&amp;MO.ValuationToggle</f>
        <v>Market Cap - Avg</v>
      </c>
      <c r="B292" s="315"/>
      <c r="C292" s="166" t="e">
        <f t="shared" ref="C292:R292" si="242">C216*C291</f>
        <v>#REF!</v>
      </c>
      <c r="D292" s="166" t="e">
        <f t="shared" si="242"/>
        <v>#REF!</v>
      </c>
      <c r="E292" s="166" t="e">
        <f t="shared" si="242"/>
        <v>#REF!</v>
      </c>
      <c r="F292" s="166" t="e">
        <f t="shared" si="242"/>
        <v>#REF!</v>
      </c>
      <c r="G292" s="166" t="e">
        <f t="shared" si="242"/>
        <v>#REF!</v>
      </c>
      <c r="H292" s="166" t="e">
        <f t="shared" si="242"/>
        <v>#REF!</v>
      </c>
      <c r="I292" s="166" t="e">
        <f t="shared" si="242"/>
        <v>#REF!</v>
      </c>
      <c r="J292" s="166" t="e">
        <f t="shared" si="242"/>
        <v>#REF!</v>
      </c>
      <c r="K292" s="166" t="e">
        <f t="shared" si="242"/>
        <v>#REF!</v>
      </c>
      <c r="L292" s="166" t="e">
        <f t="shared" si="242"/>
        <v>#REF!</v>
      </c>
      <c r="M292" s="166" t="e">
        <f t="shared" si="242"/>
        <v>#REF!</v>
      </c>
      <c r="N292" s="166" t="e">
        <f t="shared" si="242"/>
        <v>#REF!</v>
      </c>
      <c r="O292" s="311" t="e">
        <f t="shared" si="242"/>
        <v>#REF!</v>
      </c>
      <c r="P292" s="164" t="e">
        <f t="shared" si="242"/>
        <v>#REF!</v>
      </c>
      <c r="Q292" s="164" t="e">
        <f t="shared" si="242"/>
        <v>#REF!</v>
      </c>
      <c r="R292" s="164" t="e">
        <f t="shared" si="242"/>
        <v>#REF!</v>
      </c>
      <c r="S292" s="164"/>
      <c r="T292" s="164"/>
      <c r="U292" s="164"/>
      <c r="V292" s="164"/>
      <c r="W292" s="164"/>
      <c r="X292" s="164"/>
      <c r="Y292" s="164"/>
      <c r="Z292" s="250"/>
      <c r="AA292" s="250"/>
      <c r="AB292" s="250"/>
      <c r="AC292" s="250"/>
      <c r="AD292" s="250"/>
      <c r="AE292" s="250"/>
      <c r="AF292" s="250"/>
      <c r="AG292" s="304" t="e">
        <f t="shared" ref="AG292:AR292" si="243">AG216*AG291</f>
        <v>#REF!</v>
      </c>
      <c r="AH292" s="304" t="e">
        <f t="shared" si="243"/>
        <v>#REF!</v>
      </c>
      <c r="AI292" s="304" t="e">
        <f t="shared" si="243"/>
        <v>#REF!</v>
      </c>
      <c r="AJ292" s="304" t="e">
        <f t="shared" si="243"/>
        <v>#REF!</v>
      </c>
      <c r="AK292" s="304" t="e">
        <f t="shared" si="243"/>
        <v>#REF!</v>
      </c>
      <c r="AL292" s="304" t="e">
        <f t="shared" si="243"/>
        <v>#REF!</v>
      </c>
      <c r="AM292" s="312" t="e">
        <f t="shared" si="243"/>
        <v>#REF!</v>
      </c>
      <c r="AN292" s="304" t="e">
        <f t="shared" si="243"/>
        <v>#REF!</v>
      </c>
      <c r="AO292" s="250" t="e">
        <f t="shared" si="243"/>
        <v>#REF!</v>
      </c>
      <c r="AP292" s="250" t="e">
        <f t="shared" si="243"/>
        <v>#REF!</v>
      </c>
      <c r="AQ292" s="250" t="e">
        <f t="shared" si="243"/>
        <v>#REF!</v>
      </c>
      <c r="AR292" s="250" t="e">
        <f t="shared" si="243"/>
        <v>#REF!</v>
      </c>
      <c r="AS292" s="166"/>
    </row>
    <row r="293" spans="1:45" s="167" customFormat="1" x14ac:dyDescent="0.35">
      <c r="A293" s="166" t="str">
        <f>"Enterprise Value - "&amp;MO.ValuationToggle</f>
        <v>Enterprise Value - Avg</v>
      </c>
      <c r="B293" s="315"/>
      <c r="C293" s="166" t="e">
        <f t="shared" ref="C293:R293" si="244">C257+C292+C309+C310+C311</f>
        <v>#REF!</v>
      </c>
      <c r="D293" s="166" t="e">
        <f t="shared" si="244"/>
        <v>#REF!</v>
      </c>
      <c r="E293" s="166" t="e">
        <f t="shared" si="244"/>
        <v>#REF!</v>
      </c>
      <c r="F293" s="166" t="e">
        <f t="shared" si="244"/>
        <v>#REF!</v>
      </c>
      <c r="G293" s="166" t="e">
        <f t="shared" si="244"/>
        <v>#REF!</v>
      </c>
      <c r="H293" s="166" t="e">
        <f t="shared" si="244"/>
        <v>#REF!</v>
      </c>
      <c r="I293" s="166" t="e">
        <f t="shared" si="244"/>
        <v>#REF!</v>
      </c>
      <c r="J293" s="166" t="e">
        <f t="shared" si="244"/>
        <v>#REF!</v>
      </c>
      <c r="K293" s="166" t="e">
        <f t="shared" si="244"/>
        <v>#REF!</v>
      </c>
      <c r="L293" s="166" t="e">
        <f t="shared" si="244"/>
        <v>#REF!</v>
      </c>
      <c r="M293" s="166" t="e">
        <f t="shared" si="244"/>
        <v>#REF!</v>
      </c>
      <c r="N293" s="166" t="e">
        <f t="shared" si="244"/>
        <v>#REF!</v>
      </c>
      <c r="O293" s="311" t="e">
        <f t="shared" si="244"/>
        <v>#REF!</v>
      </c>
      <c r="P293" s="164" t="e">
        <f t="shared" si="244"/>
        <v>#REF!</v>
      </c>
      <c r="Q293" s="164" t="e">
        <f t="shared" si="244"/>
        <v>#REF!</v>
      </c>
      <c r="R293" s="164" t="e">
        <f t="shared" si="244"/>
        <v>#REF!</v>
      </c>
      <c r="S293" s="164"/>
      <c r="T293" s="164"/>
      <c r="U293" s="164"/>
      <c r="V293" s="164"/>
      <c r="W293" s="164"/>
      <c r="X293" s="164"/>
      <c r="Y293" s="164"/>
      <c r="Z293" s="250"/>
      <c r="AA293" s="250"/>
      <c r="AB293" s="250"/>
      <c r="AC293" s="250"/>
      <c r="AD293" s="250"/>
      <c r="AE293" s="250"/>
      <c r="AF293" s="250"/>
      <c r="AG293" s="304" t="e">
        <f t="shared" ref="AG293:AR293" si="245">AG257+AG292+AG309+AG310+AG311</f>
        <v>#REF!</v>
      </c>
      <c r="AH293" s="304" t="e">
        <f t="shared" si="245"/>
        <v>#REF!</v>
      </c>
      <c r="AI293" s="304" t="e">
        <f t="shared" si="245"/>
        <v>#REF!</v>
      </c>
      <c r="AJ293" s="304" t="e">
        <f t="shared" si="245"/>
        <v>#REF!</v>
      </c>
      <c r="AK293" s="304" t="e">
        <f t="shared" si="245"/>
        <v>#REF!</v>
      </c>
      <c r="AL293" s="304" t="e">
        <f t="shared" si="245"/>
        <v>#REF!</v>
      </c>
      <c r="AM293" s="312" t="e">
        <f t="shared" si="245"/>
        <v>#REF!</v>
      </c>
      <c r="AN293" s="304" t="e">
        <f t="shared" si="245"/>
        <v>#REF!</v>
      </c>
      <c r="AO293" s="250" t="e">
        <f t="shared" si="245"/>
        <v>#REF!</v>
      </c>
      <c r="AP293" s="250" t="e">
        <f t="shared" si="245"/>
        <v>#REF!</v>
      </c>
      <c r="AQ293" s="250" t="e">
        <f t="shared" si="245"/>
        <v>#REF!</v>
      </c>
      <c r="AR293" s="250" t="e">
        <f t="shared" si="245"/>
        <v>#REF!</v>
      </c>
      <c r="AS293" s="166"/>
    </row>
    <row r="294" spans="1:45" s="590" customFormat="1" x14ac:dyDescent="0.35">
      <c r="A294" s="582"/>
      <c r="B294" s="583"/>
      <c r="C294" s="584"/>
      <c r="D294" s="584"/>
      <c r="E294" s="584"/>
      <c r="F294" s="584"/>
      <c r="G294" s="584"/>
      <c r="H294" s="584"/>
      <c r="I294" s="584"/>
      <c r="J294" s="584"/>
      <c r="K294" s="585"/>
      <c r="L294" s="584"/>
      <c r="M294" s="585"/>
      <c r="N294" s="584"/>
      <c r="O294" s="586"/>
      <c r="P294" s="585"/>
      <c r="Q294" s="585"/>
      <c r="R294" s="585"/>
      <c r="S294" s="585"/>
      <c r="T294" s="585"/>
      <c r="U294" s="585"/>
      <c r="V294" s="585"/>
      <c r="W294" s="585"/>
      <c r="X294" s="585"/>
      <c r="Y294" s="585"/>
      <c r="Z294" s="587"/>
      <c r="AA294" s="587"/>
      <c r="AB294" s="587"/>
      <c r="AC294" s="587"/>
      <c r="AD294" s="587"/>
      <c r="AE294" s="587"/>
      <c r="AF294" s="587"/>
      <c r="AG294" s="587"/>
      <c r="AH294" s="587"/>
      <c r="AI294" s="587"/>
      <c r="AJ294" s="587"/>
      <c r="AK294" s="587"/>
      <c r="AL294" s="587"/>
      <c r="AM294" s="588"/>
      <c r="AN294" s="587"/>
      <c r="AO294" s="587"/>
      <c r="AP294" s="587"/>
      <c r="AQ294" s="587"/>
      <c r="AR294" s="587"/>
      <c r="AS294" s="589"/>
    </row>
    <row r="295" spans="1:45" s="590" customFormat="1" x14ac:dyDescent="0.35">
      <c r="A295" s="591" t="str">
        <f>"P/E - "&amp;MO.ValuationToggle</f>
        <v>P/E - Avg</v>
      </c>
      <c r="B295" s="583"/>
      <c r="C295" s="584"/>
      <c r="D295" s="584"/>
      <c r="E295" s="584"/>
      <c r="F295" s="584"/>
      <c r="G295" s="584"/>
      <c r="H295" s="584"/>
      <c r="I295" s="584"/>
      <c r="J295" s="584"/>
      <c r="K295" s="585"/>
      <c r="L295" s="584"/>
      <c r="M295" s="585"/>
      <c r="N295" s="584"/>
      <c r="O295" s="586"/>
      <c r="P295" s="585"/>
      <c r="Q295" s="585"/>
      <c r="R295" s="585"/>
      <c r="S295" s="585"/>
      <c r="T295" s="585"/>
      <c r="U295" s="585"/>
      <c r="V295" s="585"/>
      <c r="W295" s="585"/>
      <c r="X295" s="585"/>
      <c r="Y295" s="585"/>
      <c r="Z295" s="587"/>
      <c r="AA295" s="587"/>
      <c r="AB295" s="587"/>
      <c r="AC295" s="587"/>
      <c r="AD295" s="587"/>
      <c r="AE295" s="587"/>
      <c r="AF295" s="587"/>
      <c r="AG295" s="592" t="e">
        <f t="shared" ref="AG295:AR295" si="246">AG291/AG210*100</f>
        <v>#REF!</v>
      </c>
      <c r="AH295" s="592" t="e">
        <f t="shared" si="246"/>
        <v>#REF!</v>
      </c>
      <c r="AI295" s="592" t="e">
        <f t="shared" si="246"/>
        <v>#REF!</v>
      </c>
      <c r="AJ295" s="592" t="e">
        <f t="shared" si="246"/>
        <v>#REF!</v>
      </c>
      <c r="AK295" s="592" t="e">
        <f t="shared" si="246"/>
        <v>#REF!</v>
      </c>
      <c r="AL295" s="592" t="e">
        <f t="shared" si="246"/>
        <v>#REF!</v>
      </c>
      <c r="AM295" s="593" t="e">
        <f t="shared" si="246"/>
        <v>#REF!</v>
      </c>
      <c r="AN295" s="592" t="e">
        <f t="shared" si="246"/>
        <v>#REF!</v>
      </c>
      <c r="AO295" s="587" t="e">
        <f t="shared" si="246"/>
        <v>#REF!</v>
      </c>
      <c r="AP295" s="587" t="e">
        <f t="shared" si="246"/>
        <v>#REF!</v>
      </c>
      <c r="AQ295" s="587" t="e">
        <f t="shared" si="246"/>
        <v>#REF!</v>
      </c>
      <c r="AR295" s="587" t="e">
        <f t="shared" si="246"/>
        <v>#REF!</v>
      </c>
      <c r="AS295" s="589"/>
    </row>
    <row r="296" spans="1:45" s="590" customFormat="1" x14ac:dyDescent="0.35">
      <c r="A296" s="591" t="str">
        <f>"EV/EBITDA - "&amp;MO.ValuationToggle</f>
        <v>EV/EBITDA - Avg</v>
      </c>
      <c r="B296" s="583"/>
      <c r="C296" s="584"/>
      <c r="D296" s="584"/>
      <c r="E296" s="584"/>
      <c r="F296" s="584"/>
      <c r="G296" s="584"/>
      <c r="H296" s="584"/>
      <c r="I296" s="584"/>
      <c r="J296" s="584"/>
      <c r="K296" s="585"/>
      <c r="L296" s="584"/>
      <c r="M296" s="585"/>
      <c r="N296" s="584"/>
      <c r="O296" s="586"/>
      <c r="P296" s="585"/>
      <c r="Q296" s="585"/>
      <c r="R296" s="585"/>
      <c r="S296" s="585"/>
      <c r="T296" s="585"/>
      <c r="U296" s="585"/>
      <c r="V296" s="585"/>
      <c r="W296" s="585"/>
      <c r="X296" s="585"/>
      <c r="Y296" s="585"/>
      <c r="Z296" s="587"/>
      <c r="AA296" s="587"/>
      <c r="AB296" s="587"/>
      <c r="AC296" s="587"/>
      <c r="AD296" s="587"/>
      <c r="AE296" s="587"/>
      <c r="AF296" s="587"/>
      <c r="AG296" s="592" t="e">
        <f t="shared" ref="AG296:AR296" si="247">AG293/AG185</f>
        <v>#REF!</v>
      </c>
      <c r="AH296" s="592" t="e">
        <f t="shared" si="247"/>
        <v>#REF!</v>
      </c>
      <c r="AI296" s="592" t="e">
        <f t="shared" si="247"/>
        <v>#REF!</v>
      </c>
      <c r="AJ296" s="592" t="e">
        <f t="shared" si="247"/>
        <v>#REF!</v>
      </c>
      <c r="AK296" s="592" t="e">
        <f t="shared" si="247"/>
        <v>#REF!</v>
      </c>
      <c r="AL296" s="592" t="e">
        <f t="shared" si="247"/>
        <v>#REF!</v>
      </c>
      <c r="AM296" s="593" t="e">
        <f t="shared" si="247"/>
        <v>#REF!</v>
      </c>
      <c r="AN296" s="592" t="e">
        <f t="shared" si="247"/>
        <v>#REF!</v>
      </c>
      <c r="AO296" s="587" t="e">
        <f t="shared" si="247"/>
        <v>#REF!</v>
      </c>
      <c r="AP296" s="587" t="e">
        <f t="shared" si="247"/>
        <v>#REF!</v>
      </c>
      <c r="AQ296" s="587" t="e">
        <f t="shared" si="247"/>
        <v>#REF!</v>
      </c>
      <c r="AR296" s="587" t="e">
        <f t="shared" si="247"/>
        <v>#REF!</v>
      </c>
      <c r="AS296" s="589"/>
    </row>
    <row r="297" spans="1:45" s="590" customFormat="1" x14ac:dyDescent="0.35">
      <c r="A297" s="591" t="str">
        <f>"P/CF - "&amp;MO.ValuationToggle</f>
        <v>P/CF - Avg</v>
      </c>
      <c r="B297" s="583"/>
      <c r="C297" s="584"/>
      <c r="D297" s="584"/>
      <c r="E297" s="584"/>
      <c r="F297" s="584"/>
      <c r="G297" s="584"/>
      <c r="H297" s="584"/>
      <c r="I297" s="584"/>
      <c r="J297" s="584"/>
      <c r="K297" s="585"/>
      <c r="L297" s="584"/>
      <c r="M297" s="585"/>
      <c r="N297" s="584"/>
      <c r="O297" s="586"/>
      <c r="P297" s="585"/>
      <c r="Q297" s="585"/>
      <c r="R297" s="585"/>
      <c r="S297" s="585"/>
      <c r="T297" s="585"/>
      <c r="U297" s="585"/>
      <c r="V297" s="585"/>
      <c r="W297" s="585"/>
      <c r="X297" s="585"/>
      <c r="Y297" s="585"/>
      <c r="Z297" s="587"/>
      <c r="AA297" s="587"/>
      <c r="AB297" s="587"/>
      <c r="AC297" s="587"/>
      <c r="AD297" s="587"/>
      <c r="AE297" s="587"/>
      <c r="AF297" s="587"/>
      <c r="AG297" s="592" t="e">
        <f t="shared" ref="AG297:AR297" si="248">AG291/AG226*100</f>
        <v>#REF!</v>
      </c>
      <c r="AH297" s="592" t="e">
        <f t="shared" si="248"/>
        <v>#REF!</v>
      </c>
      <c r="AI297" s="592" t="e">
        <f t="shared" si="248"/>
        <v>#REF!</v>
      </c>
      <c r="AJ297" s="592" t="e">
        <f t="shared" si="248"/>
        <v>#REF!</v>
      </c>
      <c r="AK297" s="592" t="e">
        <f t="shared" si="248"/>
        <v>#REF!</v>
      </c>
      <c r="AL297" s="592" t="e">
        <f t="shared" si="248"/>
        <v>#REF!</v>
      </c>
      <c r="AM297" s="593" t="e">
        <f t="shared" si="248"/>
        <v>#REF!</v>
      </c>
      <c r="AN297" s="592" t="e">
        <f t="shared" si="248"/>
        <v>#REF!</v>
      </c>
      <c r="AO297" s="587" t="e">
        <f t="shared" si="248"/>
        <v>#REF!</v>
      </c>
      <c r="AP297" s="587" t="e">
        <f t="shared" si="248"/>
        <v>#REF!</v>
      </c>
      <c r="AQ297" s="587" t="e">
        <f t="shared" si="248"/>
        <v>#REF!</v>
      </c>
      <c r="AR297" s="587" t="e">
        <f t="shared" si="248"/>
        <v>#REF!</v>
      </c>
      <c r="AS297" s="589"/>
    </row>
    <row r="298" spans="1:45" s="207" customFormat="1" x14ac:dyDescent="0.35">
      <c r="A298" s="594" t="str">
        <f>"FCF Yield % to "&amp;MO.ValuationToggle&amp;" Market Cap"</f>
        <v>FCF Yield % to Avg Market Cap</v>
      </c>
      <c r="B298" s="209"/>
      <c r="C298" s="210"/>
      <c r="D298" s="210"/>
      <c r="E298" s="210"/>
      <c r="F298" s="210"/>
      <c r="G298" s="210"/>
      <c r="H298" s="210"/>
      <c r="I298" s="210"/>
      <c r="J298" s="210"/>
      <c r="K298" s="210"/>
      <c r="L298" s="210"/>
      <c r="M298" s="210"/>
      <c r="N298" s="210"/>
      <c r="O298" s="235"/>
      <c r="P298" s="210"/>
      <c r="Q298" s="210"/>
      <c r="R298" s="210"/>
      <c r="S298" s="210"/>
      <c r="T298" s="210"/>
      <c r="U298" s="210"/>
      <c r="V298" s="210"/>
      <c r="W298" s="210"/>
      <c r="X298" s="210"/>
      <c r="Y298" s="210"/>
      <c r="Z298" s="214"/>
      <c r="AA298" s="214"/>
      <c r="AB298" s="214"/>
      <c r="AC298" s="214"/>
      <c r="AD298" s="214"/>
      <c r="AE298" s="214"/>
      <c r="AF298" s="214"/>
      <c r="AG298" s="215" t="str">
        <f t="shared" ref="AG298:AM298" si="249">IFERROR(AG246/AG292,"N/A")</f>
        <v>N/A</v>
      </c>
      <c r="AH298" s="215" t="str">
        <f t="shared" si="249"/>
        <v>N/A</v>
      </c>
      <c r="AI298" s="215" t="str">
        <f t="shared" si="249"/>
        <v>N/A</v>
      </c>
      <c r="AJ298" s="215" t="str">
        <f t="shared" si="249"/>
        <v>N/A</v>
      </c>
      <c r="AK298" s="215" t="str">
        <f t="shared" si="249"/>
        <v>N/A</v>
      </c>
      <c r="AL298" s="215" t="str">
        <f t="shared" si="249"/>
        <v>N/A</v>
      </c>
      <c r="AM298" s="216" t="str">
        <f t="shared" si="249"/>
        <v>N/A</v>
      </c>
      <c r="AN298" s="215" t="e">
        <f>AN246/AN292</f>
        <v>#REF!</v>
      </c>
      <c r="AO298" s="214" t="e">
        <f>AO246/AO292</f>
        <v>#REF!</v>
      </c>
      <c r="AP298" s="214" t="e">
        <f>AP246/AP292</f>
        <v>#REF!</v>
      </c>
      <c r="AQ298" s="214" t="e">
        <f>AQ246/AQ292</f>
        <v>#REF!</v>
      </c>
      <c r="AR298" s="214" t="e">
        <f>AR246/AR292</f>
        <v>#REF!</v>
      </c>
      <c r="AS298" s="206"/>
    </row>
    <row r="299" spans="1:45" s="207" customFormat="1" x14ac:dyDescent="0.35">
      <c r="A299" s="594" t="str">
        <f>"FCF Yield % to "&amp;MO.ValuationToggle&amp;" Enterprise Value"</f>
        <v>FCF Yield % to Avg Enterprise Value</v>
      </c>
      <c r="B299" s="209"/>
      <c r="C299" s="210"/>
      <c r="D299" s="210"/>
      <c r="E299" s="210"/>
      <c r="F299" s="210"/>
      <c r="G299" s="210"/>
      <c r="H299" s="210"/>
      <c r="I299" s="210"/>
      <c r="J299" s="210"/>
      <c r="K299" s="210"/>
      <c r="L299" s="210"/>
      <c r="M299" s="210"/>
      <c r="N299" s="210"/>
      <c r="O299" s="235"/>
      <c r="P299" s="210"/>
      <c r="Q299" s="210"/>
      <c r="R299" s="210"/>
      <c r="S299" s="210"/>
      <c r="T299" s="210"/>
      <c r="U299" s="210"/>
      <c r="V299" s="210"/>
      <c r="W299" s="210"/>
      <c r="X299" s="210"/>
      <c r="Y299" s="210"/>
      <c r="Z299" s="214"/>
      <c r="AA299" s="214"/>
      <c r="AB299" s="214"/>
      <c r="AC299" s="214"/>
      <c r="AD299" s="214"/>
      <c r="AE299" s="214"/>
      <c r="AF299" s="214"/>
      <c r="AG299" s="215" t="e">
        <f t="shared" ref="AG299:AR299" si="250">AG246/AG293</f>
        <v>#REF!</v>
      </c>
      <c r="AH299" s="215" t="e">
        <f t="shared" si="250"/>
        <v>#REF!</v>
      </c>
      <c r="AI299" s="215" t="e">
        <f t="shared" si="250"/>
        <v>#REF!</v>
      </c>
      <c r="AJ299" s="215" t="e">
        <f t="shared" si="250"/>
        <v>#REF!</v>
      </c>
      <c r="AK299" s="215" t="e">
        <f t="shared" si="250"/>
        <v>#REF!</v>
      </c>
      <c r="AL299" s="215" t="e">
        <f t="shared" si="250"/>
        <v>#REF!</v>
      </c>
      <c r="AM299" s="216" t="e">
        <f t="shared" si="250"/>
        <v>#REF!</v>
      </c>
      <c r="AN299" s="215" t="e">
        <f t="shared" si="250"/>
        <v>#REF!</v>
      </c>
      <c r="AO299" s="214" t="e">
        <f t="shared" si="250"/>
        <v>#REF!</v>
      </c>
      <c r="AP299" s="214" t="e">
        <f t="shared" si="250"/>
        <v>#REF!</v>
      </c>
      <c r="AQ299" s="214" t="e">
        <f t="shared" si="250"/>
        <v>#REF!</v>
      </c>
      <c r="AR299" s="214" t="e">
        <f t="shared" si="250"/>
        <v>#REF!</v>
      </c>
      <c r="AS299" s="206"/>
    </row>
    <row r="300" spans="1:45" s="207" customFormat="1" hidden="1" outlineLevel="1" x14ac:dyDescent="0.35">
      <c r="A300" s="595"/>
      <c r="B300" s="209"/>
      <c r="C300" s="210"/>
      <c r="D300" s="210"/>
      <c r="E300" s="210"/>
      <c r="F300" s="210"/>
      <c r="G300" s="210"/>
      <c r="H300" s="210"/>
      <c r="I300" s="210"/>
      <c r="J300" s="210"/>
      <c r="K300" s="210"/>
      <c r="L300" s="210"/>
      <c r="M300" s="210"/>
      <c r="N300" s="210"/>
      <c r="O300" s="235"/>
      <c r="P300" s="210"/>
      <c r="Q300" s="210"/>
      <c r="R300" s="210"/>
      <c r="S300" s="210"/>
      <c r="T300" s="210"/>
      <c r="U300" s="210"/>
      <c r="V300" s="210"/>
      <c r="W300" s="210"/>
      <c r="X300" s="210"/>
      <c r="Y300" s="210"/>
      <c r="Z300" s="214"/>
      <c r="AA300" s="214"/>
      <c r="AB300" s="214"/>
      <c r="AC300" s="214"/>
      <c r="AD300" s="214"/>
      <c r="AE300" s="214"/>
      <c r="AF300" s="214"/>
      <c r="AG300" s="214"/>
      <c r="AH300" s="214"/>
      <c r="AI300" s="214"/>
      <c r="AJ300" s="214"/>
      <c r="AK300" s="214"/>
      <c r="AL300" s="214"/>
      <c r="AM300" s="237"/>
      <c r="AN300" s="214"/>
      <c r="AO300" s="214"/>
      <c r="AP300" s="214"/>
      <c r="AQ300" s="214"/>
      <c r="AR300" s="214"/>
      <c r="AS300" s="206"/>
    </row>
    <row r="301" spans="1:45" s="513" customFormat="1" hidden="1" outlineLevel="1" x14ac:dyDescent="0.35">
      <c r="A301" s="596" t="str">
        <f>"Stock High, "&amp;HP.TradeCurrency</f>
        <v>Stock High, GBX</v>
      </c>
      <c r="B301" s="597"/>
      <c r="C301" s="598" t="e">
        <f t="shared" ref="C301:R301" si="251">IF(INDEX(MO_SNA_IsHistoricalPeriod,1,COLUMN())=FALSE,0,INDEX(MO_SPT_StockHigh,1,COLUMN()))</f>
        <v>#REF!</v>
      </c>
      <c r="D301" s="598" t="e">
        <f t="shared" si="251"/>
        <v>#REF!</v>
      </c>
      <c r="E301" s="598" t="e">
        <f t="shared" si="251"/>
        <v>#REF!</v>
      </c>
      <c r="F301" s="598" t="e">
        <f t="shared" si="251"/>
        <v>#REF!</v>
      </c>
      <c r="G301" s="598" t="e">
        <f t="shared" si="251"/>
        <v>#REF!</v>
      </c>
      <c r="H301" s="598" t="e">
        <f t="shared" si="251"/>
        <v>#REF!</v>
      </c>
      <c r="I301" s="598" t="e">
        <f t="shared" si="251"/>
        <v>#REF!</v>
      </c>
      <c r="J301" s="598" t="e">
        <f t="shared" si="251"/>
        <v>#REF!</v>
      </c>
      <c r="K301" s="598" t="e">
        <f t="shared" si="251"/>
        <v>#REF!</v>
      </c>
      <c r="L301" s="598" t="e">
        <f t="shared" si="251"/>
        <v>#REF!</v>
      </c>
      <c r="M301" s="598" t="e">
        <f t="shared" si="251"/>
        <v>#REF!</v>
      </c>
      <c r="N301" s="598" t="e">
        <f t="shared" si="251"/>
        <v>#REF!</v>
      </c>
      <c r="O301" s="599" t="e">
        <f t="shared" si="251"/>
        <v>#REF!</v>
      </c>
      <c r="P301" s="600">
        <f t="shared" si="251"/>
        <v>0</v>
      </c>
      <c r="Q301" s="600">
        <f t="shared" si="251"/>
        <v>0</v>
      </c>
      <c r="R301" s="600">
        <f t="shared" si="251"/>
        <v>0</v>
      </c>
      <c r="S301" s="600"/>
      <c r="T301" s="600"/>
      <c r="U301" s="600"/>
      <c r="V301" s="600"/>
      <c r="W301" s="600"/>
      <c r="X301" s="600"/>
      <c r="Y301" s="600"/>
      <c r="Z301" s="601"/>
      <c r="AA301" s="601"/>
      <c r="AB301" s="601"/>
      <c r="AC301" s="601"/>
      <c r="AD301" s="601"/>
      <c r="AE301" s="601"/>
      <c r="AF301" s="601"/>
      <c r="AG301" s="602" t="e">
        <f t="shared" ref="AG301:AR301" si="252">IF(INDEX(MO_SNA_IsHistoricalPeriod,1,COLUMN())=FALSE,0,INDEX(MO_SPT_StockHigh,1,COLUMN()))</f>
        <v>#REF!</v>
      </c>
      <c r="AH301" s="602" t="e">
        <f t="shared" si="252"/>
        <v>#REF!</v>
      </c>
      <c r="AI301" s="602" t="e">
        <f t="shared" si="252"/>
        <v>#REF!</v>
      </c>
      <c r="AJ301" s="602" t="e">
        <f t="shared" si="252"/>
        <v>#REF!</v>
      </c>
      <c r="AK301" s="602" t="e">
        <f t="shared" si="252"/>
        <v>#REF!</v>
      </c>
      <c r="AL301" s="602" t="e">
        <f t="shared" si="252"/>
        <v>#REF!</v>
      </c>
      <c r="AM301" s="603" t="e">
        <f t="shared" si="252"/>
        <v>#REF!</v>
      </c>
      <c r="AN301" s="604">
        <f t="shared" si="252"/>
        <v>0</v>
      </c>
      <c r="AO301" s="605">
        <f t="shared" si="252"/>
        <v>0</v>
      </c>
      <c r="AP301" s="605">
        <f t="shared" si="252"/>
        <v>0</v>
      </c>
      <c r="AQ301" s="605">
        <f t="shared" si="252"/>
        <v>0</v>
      </c>
      <c r="AR301" s="605">
        <f t="shared" si="252"/>
        <v>0</v>
      </c>
      <c r="AS301" s="512"/>
    </row>
    <row r="302" spans="1:45" s="513" customFormat="1" hidden="1" outlineLevel="1" x14ac:dyDescent="0.35">
      <c r="A302" s="596" t="str">
        <f>"Stock Low, "&amp;HP.TradeCurrency</f>
        <v>Stock Low, GBX</v>
      </c>
      <c r="B302" s="597"/>
      <c r="C302" s="598" t="e">
        <f t="shared" ref="C302:R302" si="253">IF(INDEX(MO_SNA_IsHistoricalPeriod,1,COLUMN())=FALSE,0,INDEX(MO_SPT_StockLow,1,COLUMN()))</f>
        <v>#REF!</v>
      </c>
      <c r="D302" s="598" t="e">
        <f t="shared" si="253"/>
        <v>#REF!</v>
      </c>
      <c r="E302" s="598" t="e">
        <f t="shared" si="253"/>
        <v>#REF!</v>
      </c>
      <c r="F302" s="598" t="e">
        <f t="shared" si="253"/>
        <v>#REF!</v>
      </c>
      <c r="G302" s="598" t="e">
        <f t="shared" si="253"/>
        <v>#REF!</v>
      </c>
      <c r="H302" s="598" t="e">
        <f t="shared" si="253"/>
        <v>#REF!</v>
      </c>
      <c r="I302" s="598" t="e">
        <f t="shared" si="253"/>
        <v>#REF!</v>
      </c>
      <c r="J302" s="598" t="e">
        <f t="shared" si="253"/>
        <v>#REF!</v>
      </c>
      <c r="K302" s="598" t="e">
        <f t="shared" si="253"/>
        <v>#REF!</v>
      </c>
      <c r="L302" s="598" t="e">
        <f t="shared" si="253"/>
        <v>#REF!</v>
      </c>
      <c r="M302" s="598" t="e">
        <f t="shared" si="253"/>
        <v>#REF!</v>
      </c>
      <c r="N302" s="598" t="e">
        <f t="shared" si="253"/>
        <v>#REF!</v>
      </c>
      <c r="O302" s="599" t="e">
        <f t="shared" si="253"/>
        <v>#REF!</v>
      </c>
      <c r="P302" s="600">
        <f t="shared" si="253"/>
        <v>0</v>
      </c>
      <c r="Q302" s="600">
        <f t="shared" si="253"/>
        <v>0</v>
      </c>
      <c r="R302" s="600">
        <f t="shared" si="253"/>
        <v>0</v>
      </c>
      <c r="S302" s="600"/>
      <c r="T302" s="600"/>
      <c r="U302" s="600"/>
      <c r="V302" s="600"/>
      <c r="W302" s="600"/>
      <c r="X302" s="600"/>
      <c r="Y302" s="600"/>
      <c r="Z302" s="601"/>
      <c r="AA302" s="601"/>
      <c r="AB302" s="601"/>
      <c r="AC302" s="601"/>
      <c r="AD302" s="601"/>
      <c r="AE302" s="601"/>
      <c r="AF302" s="601"/>
      <c r="AG302" s="602" t="e">
        <f t="shared" ref="AG302:AR302" si="254">IF(INDEX(MO_SNA_IsHistoricalPeriod,1,COLUMN())=FALSE,0,INDEX(MO_SPT_StockLow,1,COLUMN()))</f>
        <v>#REF!</v>
      </c>
      <c r="AH302" s="602" t="e">
        <f t="shared" si="254"/>
        <v>#REF!</v>
      </c>
      <c r="AI302" s="602" t="e">
        <f t="shared" si="254"/>
        <v>#REF!</v>
      </c>
      <c r="AJ302" s="602" t="e">
        <f t="shared" si="254"/>
        <v>#REF!</v>
      </c>
      <c r="AK302" s="602" t="e">
        <f t="shared" si="254"/>
        <v>#REF!</v>
      </c>
      <c r="AL302" s="602" t="e">
        <f t="shared" si="254"/>
        <v>#REF!</v>
      </c>
      <c r="AM302" s="603" t="e">
        <f t="shared" si="254"/>
        <v>#REF!</v>
      </c>
      <c r="AN302" s="604">
        <f t="shared" si="254"/>
        <v>0</v>
      </c>
      <c r="AO302" s="605">
        <f t="shared" si="254"/>
        <v>0</v>
      </c>
      <c r="AP302" s="605">
        <f t="shared" si="254"/>
        <v>0</v>
      </c>
      <c r="AQ302" s="605">
        <f t="shared" si="254"/>
        <v>0</v>
      </c>
      <c r="AR302" s="605">
        <f t="shared" si="254"/>
        <v>0</v>
      </c>
      <c r="AS302" s="512"/>
    </row>
    <row r="303" spans="1:45" s="513" customFormat="1" hidden="1" outlineLevel="1" x14ac:dyDescent="0.35">
      <c r="A303" s="596" t="str">
        <f>"Stock Average, "&amp;HP.TradeCurrency</f>
        <v>Stock Average, GBX</v>
      </c>
      <c r="B303" s="597"/>
      <c r="C303" s="598" t="e">
        <f t="shared" ref="C303:R303" si="255">IF(INDEX(MO_SNA_IsHistoricalPeriod,1,COLUMN())=FALSE,0,INDEX(MO_SPT_StockAverage,1,COLUMN()))</f>
        <v>#REF!</v>
      </c>
      <c r="D303" s="598" t="e">
        <f t="shared" si="255"/>
        <v>#REF!</v>
      </c>
      <c r="E303" s="598" t="e">
        <f t="shared" si="255"/>
        <v>#REF!</v>
      </c>
      <c r="F303" s="598" t="e">
        <f t="shared" si="255"/>
        <v>#REF!</v>
      </c>
      <c r="G303" s="598" t="e">
        <f t="shared" si="255"/>
        <v>#REF!</v>
      </c>
      <c r="H303" s="598" t="e">
        <f t="shared" si="255"/>
        <v>#REF!</v>
      </c>
      <c r="I303" s="598" t="e">
        <f t="shared" si="255"/>
        <v>#REF!</v>
      </c>
      <c r="J303" s="598" t="e">
        <f t="shared" si="255"/>
        <v>#REF!</v>
      </c>
      <c r="K303" s="598" t="e">
        <f t="shared" si="255"/>
        <v>#REF!</v>
      </c>
      <c r="L303" s="598" t="e">
        <f t="shared" si="255"/>
        <v>#REF!</v>
      </c>
      <c r="M303" s="598" t="e">
        <f t="shared" si="255"/>
        <v>#REF!</v>
      </c>
      <c r="N303" s="598" t="e">
        <f t="shared" si="255"/>
        <v>#REF!</v>
      </c>
      <c r="O303" s="599" t="e">
        <f t="shared" si="255"/>
        <v>#REF!</v>
      </c>
      <c r="P303" s="600">
        <f t="shared" si="255"/>
        <v>0</v>
      </c>
      <c r="Q303" s="600">
        <f t="shared" si="255"/>
        <v>0</v>
      </c>
      <c r="R303" s="600">
        <f t="shared" si="255"/>
        <v>0</v>
      </c>
      <c r="S303" s="600"/>
      <c r="T303" s="600"/>
      <c r="U303" s="600"/>
      <c r="V303" s="600"/>
      <c r="W303" s="600"/>
      <c r="X303" s="600"/>
      <c r="Y303" s="600"/>
      <c r="Z303" s="601"/>
      <c r="AA303" s="601"/>
      <c r="AB303" s="601"/>
      <c r="AC303" s="601"/>
      <c r="AD303" s="601"/>
      <c r="AE303" s="601"/>
      <c r="AF303" s="601"/>
      <c r="AG303" s="602" t="e">
        <f t="shared" ref="AG303:AR303" si="256">IF(INDEX(MO_SNA_IsHistoricalPeriod,1,COLUMN())=FALSE,0,INDEX(MO_SPT_StockAverage,1,COLUMN()))</f>
        <v>#REF!</v>
      </c>
      <c r="AH303" s="602" t="e">
        <f t="shared" si="256"/>
        <v>#REF!</v>
      </c>
      <c r="AI303" s="602" t="e">
        <f t="shared" si="256"/>
        <v>#REF!</v>
      </c>
      <c r="AJ303" s="602" t="e">
        <f t="shared" si="256"/>
        <v>#REF!</v>
      </c>
      <c r="AK303" s="602" t="e">
        <f t="shared" si="256"/>
        <v>#REF!</v>
      </c>
      <c r="AL303" s="602" t="e">
        <f t="shared" si="256"/>
        <v>#REF!</v>
      </c>
      <c r="AM303" s="603" t="e">
        <f t="shared" si="256"/>
        <v>#REF!</v>
      </c>
      <c r="AN303" s="604">
        <f t="shared" si="256"/>
        <v>0</v>
      </c>
      <c r="AO303" s="605">
        <f t="shared" si="256"/>
        <v>0</v>
      </c>
      <c r="AP303" s="605">
        <f t="shared" si="256"/>
        <v>0</v>
      </c>
      <c r="AQ303" s="605">
        <f t="shared" si="256"/>
        <v>0</v>
      </c>
      <c r="AR303" s="605">
        <f t="shared" si="256"/>
        <v>0</v>
      </c>
      <c r="AS303" s="512"/>
    </row>
    <row r="304" spans="1:45" s="493" customFormat="1" hidden="1" outlineLevel="1" x14ac:dyDescent="0.35">
      <c r="A304" s="606" t="str">
        <f>"Stock EoP, "&amp;HP.TradeCurrency</f>
        <v>Stock EoP, GBX</v>
      </c>
      <c r="B304" s="607"/>
      <c r="C304" s="608">
        <f t="shared" ref="C304:R304" si="257">IF(INDEX(MO_SNA_IsHistoricalPeriod,1,COLUMN())=FALSE,MO.LastPrice,INDEX(MO_SPT_StockEoP,1,COLUMN()))</f>
        <v>0</v>
      </c>
      <c r="D304" s="608">
        <f t="shared" si="257"/>
        <v>0</v>
      </c>
      <c r="E304" s="608">
        <f t="shared" si="257"/>
        <v>0</v>
      </c>
      <c r="F304" s="608">
        <f t="shared" si="257"/>
        <v>0</v>
      </c>
      <c r="G304" s="608">
        <f t="shared" si="257"/>
        <v>0</v>
      </c>
      <c r="H304" s="608">
        <f t="shared" si="257"/>
        <v>0</v>
      </c>
      <c r="I304" s="608">
        <f t="shared" si="257"/>
        <v>0</v>
      </c>
      <c r="J304" s="608">
        <f t="shared" si="257"/>
        <v>0</v>
      </c>
      <c r="K304" s="608">
        <f t="shared" si="257"/>
        <v>0</v>
      </c>
      <c r="L304" s="608">
        <f t="shared" si="257"/>
        <v>0</v>
      </c>
      <c r="M304" s="608">
        <f t="shared" si="257"/>
        <v>0</v>
      </c>
      <c r="N304" s="608">
        <f t="shared" si="257"/>
        <v>0</v>
      </c>
      <c r="O304" s="609">
        <f t="shared" si="257"/>
        <v>0</v>
      </c>
      <c r="P304" s="610" t="e">
        <f t="shared" si="257"/>
        <v>#REF!</v>
      </c>
      <c r="Q304" s="610" t="e">
        <f t="shared" si="257"/>
        <v>#REF!</v>
      </c>
      <c r="R304" s="610" t="e">
        <f t="shared" si="257"/>
        <v>#REF!</v>
      </c>
      <c r="S304" s="610"/>
      <c r="T304" s="610"/>
      <c r="U304" s="610"/>
      <c r="V304" s="610"/>
      <c r="W304" s="610"/>
      <c r="X304" s="610"/>
      <c r="Y304" s="610"/>
      <c r="Z304" s="611">
        <f t="shared" ref="Z304:AR304" si="258">IF(INDEX(MO_SNA_IsHistoricalPeriod,1,COLUMN())=FALSE,MO.LastPrice,INDEX(MO_SPT_StockEoP,1,COLUMN()))</f>
        <v>0</v>
      </c>
      <c r="AA304" s="611">
        <f t="shared" si="258"/>
        <v>0</v>
      </c>
      <c r="AB304" s="611">
        <f t="shared" si="258"/>
        <v>0</v>
      </c>
      <c r="AC304" s="611">
        <f t="shared" si="258"/>
        <v>0</v>
      </c>
      <c r="AD304" s="611">
        <f t="shared" si="258"/>
        <v>0</v>
      </c>
      <c r="AE304" s="611">
        <f t="shared" si="258"/>
        <v>0</v>
      </c>
      <c r="AF304" s="611">
        <f t="shared" si="258"/>
        <v>0</v>
      </c>
      <c r="AG304" s="612">
        <f t="shared" si="258"/>
        <v>0</v>
      </c>
      <c r="AH304" s="612">
        <f t="shared" si="258"/>
        <v>0</v>
      </c>
      <c r="AI304" s="612">
        <f t="shared" si="258"/>
        <v>0</v>
      </c>
      <c r="AJ304" s="612">
        <f t="shared" si="258"/>
        <v>0</v>
      </c>
      <c r="AK304" s="612">
        <f t="shared" si="258"/>
        <v>0</v>
      </c>
      <c r="AL304" s="612">
        <f t="shared" si="258"/>
        <v>0</v>
      </c>
      <c r="AM304" s="613">
        <f t="shared" si="258"/>
        <v>0</v>
      </c>
      <c r="AN304" s="490" t="e">
        <f t="shared" si="258"/>
        <v>#REF!</v>
      </c>
      <c r="AO304" s="488" t="e">
        <f t="shared" si="258"/>
        <v>#REF!</v>
      </c>
      <c r="AP304" s="488" t="e">
        <f t="shared" si="258"/>
        <v>#REF!</v>
      </c>
      <c r="AQ304" s="488" t="e">
        <f t="shared" si="258"/>
        <v>#REF!</v>
      </c>
      <c r="AR304" s="488" t="e">
        <f t="shared" si="258"/>
        <v>#REF!</v>
      </c>
      <c r="AS304" s="492"/>
    </row>
    <row r="305" spans="1:45" s="625" customFormat="1" hidden="1" outlineLevel="1" x14ac:dyDescent="0.35">
      <c r="A305" s="614" t="str">
        <f>"Average FX Rate, "&amp;HP.TradeCurrency&amp;"/"&amp;MO.ReportCurrency</f>
        <v>Average FX Rate, GBX/GBP</v>
      </c>
      <c r="B305" s="615"/>
      <c r="C305" s="616" t="e">
        <f t="shared" ref="C305:R305" si="259">IF(INDEX(MO_SPT_FXAverage,1,COLUMN())=0,1,INDEX(MO_SPT_FXAverage,1,COLUMN()))</f>
        <v>#REF!</v>
      </c>
      <c r="D305" s="616" t="e">
        <f t="shared" si="259"/>
        <v>#REF!</v>
      </c>
      <c r="E305" s="616" t="e">
        <f t="shared" si="259"/>
        <v>#REF!</v>
      </c>
      <c r="F305" s="616" t="e">
        <f t="shared" si="259"/>
        <v>#REF!</v>
      </c>
      <c r="G305" s="616" t="e">
        <f t="shared" si="259"/>
        <v>#REF!</v>
      </c>
      <c r="H305" s="616" t="e">
        <f t="shared" si="259"/>
        <v>#REF!</v>
      </c>
      <c r="I305" s="616" t="e">
        <f t="shared" si="259"/>
        <v>#REF!</v>
      </c>
      <c r="J305" s="616" t="e">
        <f t="shared" si="259"/>
        <v>#REF!</v>
      </c>
      <c r="K305" s="616" t="e">
        <f t="shared" si="259"/>
        <v>#REF!</v>
      </c>
      <c r="L305" s="616" t="e">
        <f t="shared" si="259"/>
        <v>#REF!</v>
      </c>
      <c r="M305" s="616" t="e">
        <f t="shared" si="259"/>
        <v>#REF!</v>
      </c>
      <c r="N305" s="616" t="e">
        <f t="shared" si="259"/>
        <v>#REF!</v>
      </c>
      <c r="O305" s="617" t="e">
        <f t="shared" si="259"/>
        <v>#REF!</v>
      </c>
      <c r="P305" s="618" t="e">
        <f t="shared" si="259"/>
        <v>#REF!</v>
      </c>
      <c r="Q305" s="618" t="e">
        <f t="shared" si="259"/>
        <v>#REF!</v>
      </c>
      <c r="R305" s="618" t="e">
        <f t="shared" si="259"/>
        <v>#REF!</v>
      </c>
      <c r="S305" s="618"/>
      <c r="T305" s="618"/>
      <c r="U305" s="618"/>
      <c r="V305" s="618"/>
      <c r="W305" s="618"/>
      <c r="X305" s="618"/>
      <c r="Y305" s="618"/>
      <c r="Z305" s="619"/>
      <c r="AA305" s="619"/>
      <c r="AB305" s="619"/>
      <c r="AC305" s="619"/>
      <c r="AD305" s="619"/>
      <c r="AE305" s="619"/>
      <c r="AF305" s="619"/>
      <c r="AG305" s="620" t="e">
        <f t="shared" ref="AG305:AR305" si="260">IF(INDEX(MO_SPT_FXAverage,1,COLUMN())=0,1,INDEX(MO_SPT_FXAverage,1,COLUMN()))</f>
        <v>#REF!</v>
      </c>
      <c r="AH305" s="620" t="e">
        <f t="shared" si="260"/>
        <v>#REF!</v>
      </c>
      <c r="AI305" s="620" t="e">
        <f t="shared" si="260"/>
        <v>#REF!</v>
      </c>
      <c r="AJ305" s="620" t="e">
        <f t="shared" si="260"/>
        <v>#REF!</v>
      </c>
      <c r="AK305" s="620" t="e">
        <f t="shared" si="260"/>
        <v>#REF!</v>
      </c>
      <c r="AL305" s="620" t="e">
        <f t="shared" si="260"/>
        <v>#REF!</v>
      </c>
      <c r="AM305" s="621" t="e">
        <f t="shared" si="260"/>
        <v>#REF!</v>
      </c>
      <c r="AN305" s="622" t="e">
        <f t="shared" si="260"/>
        <v>#REF!</v>
      </c>
      <c r="AO305" s="623" t="e">
        <f t="shared" si="260"/>
        <v>#REF!</v>
      </c>
      <c r="AP305" s="623" t="e">
        <f t="shared" si="260"/>
        <v>#REF!</v>
      </c>
      <c r="AQ305" s="623" t="e">
        <f t="shared" si="260"/>
        <v>#REF!</v>
      </c>
      <c r="AR305" s="623" t="e">
        <f t="shared" si="260"/>
        <v>#REF!</v>
      </c>
      <c r="AS305" s="624"/>
    </row>
    <row r="306" spans="1:45" s="625" customFormat="1" hidden="1" outlineLevel="1" x14ac:dyDescent="0.35">
      <c r="A306" s="614" t="str">
        <f>"EoP FX Rate, "&amp;HP.TradeCurrency&amp;"/"&amp;MO.ReportCurrency</f>
        <v>EoP FX Rate, GBX/GBP</v>
      </c>
      <c r="B306" s="615"/>
      <c r="C306" s="616">
        <f t="shared" ref="C306:R306" si="261">IF(INDEX(MO_SNA_IsHistoricalPeriod,1,COLUMN())=FALSE,HP.MRFX,INDEX(MO_SPT_FXEoP,1,COLUMN()))</f>
        <v>99.999999999999986</v>
      </c>
      <c r="D306" s="616">
        <f t="shared" si="261"/>
        <v>100</v>
      </c>
      <c r="E306" s="616">
        <f t="shared" si="261"/>
        <v>100.00000000000001</v>
      </c>
      <c r="F306" s="616">
        <f t="shared" si="261"/>
        <v>100</v>
      </c>
      <c r="G306" s="616">
        <f t="shared" si="261"/>
        <v>100</v>
      </c>
      <c r="H306" s="616">
        <f t="shared" si="261"/>
        <v>99.999999999999986</v>
      </c>
      <c r="I306" s="616">
        <f t="shared" si="261"/>
        <v>100</v>
      </c>
      <c r="J306" s="616">
        <f t="shared" si="261"/>
        <v>100</v>
      </c>
      <c r="K306" s="616">
        <f t="shared" si="261"/>
        <v>100</v>
      </c>
      <c r="L306" s="616">
        <f t="shared" si="261"/>
        <v>99.999999999999986</v>
      </c>
      <c r="M306" s="616">
        <f t="shared" si="261"/>
        <v>100.00000000000001</v>
      </c>
      <c r="N306" s="616">
        <f t="shared" si="261"/>
        <v>99.999999999999986</v>
      </c>
      <c r="O306" s="617">
        <f t="shared" si="261"/>
        <v>100</v>
      </c>
      <c r="P306" s="618" t="e">
        <f t="shared" si="261"/>
        <v>#REF!</v>
      </c>
      <c r="Q306" s="618" t="e">
        <f t="shared" si="261"/>
        <v>#REF!</v>
      </c>
      <c r="R306" s="618" t="e">
        <f t="shared" si="261"/>
        <v>#REF!</v>
      </c>
      <c r="S306" s="618"/>
      <c r="T306" s="618"/>
      <c r="U306" s="618"/>
      <c r="V306" s="618"/>
      <c r="W306" s="618"/>
      <c r="X306" s="618"/>
      <c r="Y306" s="618"/>
      <c r="Z306" s="619">
        <f t="shared" ref="Z306:AR306" si="262">IF(INDEX(MO_SNA_IsHistoricalPeriod,1,COLUMN())=FALSE,HP.MRFX,INDEX(MO_SPT_FXEoP,1,COLUMN()))</f>
        <v>100</v>
      </c>
      <c r="AA306" s="619">
        <f t="shared" si="262"/>
        <v>100</v>
      </c>
      <c r="AB306" s="619">
        <f t="shared" si="262"/>
        <v>100</v>
      </c>
      <c r="AC306" s="619">
        <f t="shared" si="262"/>
        <v>100.00000000000001</v>
      </c>
      <c r="AD306" s="619">
        <f t="shared" si="262"/>
        <v>99.999999999999986</v>
      </c>
      <c r="AE306" s="619">
        <f t="shared" si="262"/>
        <v>100</v>
      </c>
      <c r="AF306" s="619">
        <f t="shared" si="262"/>
        <v>99.999999999999986</v>
      </c>
      <c r="AG306" s="620">
        <f t="shared" si="262"/>
        <v>100</v>
      </c>
      <c r="AH306" s="620">
        <f t="shared" si="262"/>
        <v>100</v>
      </c>
      <c r="AI306" s="620">
        <f t="shared" si="262"/>
        <v>100</v>
      </c>
      <c r="AJ306" s="620">
        <f t="shared" si="262"/>
        <v>99.999999999999986</v>
      </c>
      <c r="AK306" s="620">
        <f t="shared" si="262"/>
        <v>100</v>
      </c>
      <c r="AL306" s="620">
        <f t="shared" si="262"/>
        <v>99.999999999999986</v>
      </c>
      <c r="AM306" s="621">
        <f t="shared" si="262"/>
        <v>99.999999999999986</v>
      </c>
      <c r="AN306" s="622" t="e">
        <f t="shared" si="262"/>
        <v>#REF!</v>
      </c>
      <c r="AO306" s="623" t="e">
        <f t="shared" si="262"/>
        <v>#REF!</v>
      </c>
      <c r="AP306" s="623" t="e">
        <f t="shared" si="262"/>
        <v>#REF!</v>
      </c>
      <c r="AQ306" s="623" t="e">
        <f t="shared" si="262"/>
        <v>#REF!</v>
      </c>
      <c r="AR306" s="623" t="e">
        <f t="shared" si="262"/>
        <v>#REF!</v>
      </c>
      <c r="AS306" s="624"/>
    </row>
    <row r="307" spans="1:45" s="167" customFormat="1" hidden="1" outlineLevel="1" x14ac:dyDescent="0.35">
      <c r="A307" s="246"/>
      <c r="B307" s="315"/>
      <c r="C307" s="164"/>
      <c r="D307" s="164"/>
      <c r="E307" s="164"/>
      <c r="F307" s="164"/>
      <c r="G307" s="164"/>
      <c r="H307" s="164"/>
      <c r="I307" s="164"/>
      <c r="J307" s="164"/>
      <c r="K307" s="164"/>
      <c r="L307" s="164"/>
      <c r="M307" s="164"/>
      <c r="N307" s="164"/>
      <c r="O307" s="165"/>
      <c r="P307" s="164"/>
      <c r="Q307" s="164"/>
      <c r="R307" s="164"/>
      <c r="S307" s="164"/>
      <c r="T307" s="164"/>
      <c r="U307" s="164"/>
      <c r="V307" s="164"/>
      <c r="W307" s="164"/>
      <c r="X307" s="164"/>
      <c r="Y307" s="164"/>
      <c r="Z307" s="250"/>
      <c r="AA307" s="250"/>
      <c r="AB307" s="250"/>
      <c r="AC307" s="250"/>
      <c r="AD307" s="250"/>
      <c r="AE307" s="250"/>
      <c r="AF307" s="250"/>
      <c r="AG307" s="250"/>
      <c r="AH307" s="250"/>
      <c r="AI307" s="250"/>
      <c r="AJ307" s="250"/>
      <c r="AK307" s="250"/>
      <c r="AL307" s="250"/>
      <c r="AM307" s="264"/>
      <c r="AN307" s="250"/>
      <c r="AO307" s="250"/>
      <c r="AP307" s="250"/>
      <c r="AQ307" s="250"/>
      <c r="AR307" s="250"/>
      <c r="AS307" s="166"/>
    </row>
    <row r="308" spans="1:45" s="167" customFormat="1" hidden="1" outlineLevel="1" x14ac:dyDescent="0.35">
      <c r="A308" s="626" t="s">
        <v>838</v>
      </c>
      <c r="B308" s="315"/>
      <c r="C308" s="164"/>
      <c r="D308" s="164"/>
      <c r="E308" s="164"/>
      <c r="F308" s="164"/>
      <c r="G308" s="164"/>
      <c r="H308" s="164"/>
      <c r="I308" s="164"/>
      <c r="J308" s="164"/>
      <c r="K308" s="164"/>
      <c r="L308" s="164"/>
      <c r="M308" s="164"/>
      <c r="N308" s="164"/>
      <c r="O308" s="165"/>
      <c r="P308" s="164"/>
      <c r="Q308" s="164"/>
      <c r="R308" s="164"/>
      <c r="S308" s="164"/>
      <c r="T308" s="164"/>
      <c r="U308" s="164"/>
      <c r="V308" s="164"/>
      <c r="W308" s="164"/>
      <c r="X308" s="164"/>
      <c r="Y308" s="164"/>
      <c r="Z308" s="250"/>
      <c r="AA308" s="250"/>
      <c r="AB308" s="250"/>
      <c r="AC308" s="250"/>
      <c r="AD308" s="250"/>
      <c r="AE308" s="250"/>
      <c r="AF308" s="250"/>
      <c r="AG308" s="250"/>
      <c r="AH308" s="250"/>
      <c r="AI308" s="250"/>
      <c r="AJ308" s="250"/>
      <c r="AK308" s="250"/>
      <c r="AL308" s="250"/>
      <c r="AM308" s="264"/>
      <c r="AN308" s="250"/>
      <c r="AO308" s="250"/>
      <c r="AP308" s="250"/>
      <c r="AQ308" s="250"/>
      <c r="AR308" s="250"/>
      <c r="AS308" s="166"/>
    </row>
    <row r="309" spans="1:45" s="167" customFormat="1" hidden="1" outlineLevel="1" x14ac:dyDescent="0.35">
      <c r="A309" s="359" t="s">
        <v>839</v>
      </c>
      <c r="B309" s="315"/>
      <c r="C309" s="166">
        <f t="shared" ref="C309:R309" si="263">C461</f>
        <v>0</v>
      </c>
      <c r="D309" s="166">
        <f t="shared" si="263"/>
        <v>0</v>
      </c>
      <c r="E309" s="166">
        <f t="shared" si="263"/>
        <v>0</v>
      </c>
      <c r="F309" s="166">
        <f t="shared" si="263"/>
        <v>0</v>
      </c>
      <c r="G309" s="166">
        <f t="shared" si="263"/>
        <v>0</v>
      </c>
      <c r="H309" s="166">
        <f t="shared" si="263"/>
        <v>0</v>
      </c>
      <c r="I309" s="166">
        <f t="shared" si="263"/>
        <v>0</v>
      </c>
      <c r="J309" s="166">
        <f t="shared" si="263"/>
        <v>0</v>
      </c>
      <c r="K309" s="166">
        <f t="shared" si="263"/>
        <v>0</v>
      </c>
      <c r="L309" s="166">
        <f t="shared" si="263"/>
        <v>0</v>
      </c>
      <c r="M309" s="166">
        <f t="shared" si="263"/>
        <v>0</v>
      </c>
      <c r="N309" s="166">
        <f t="shared" si="263"/>
        <v>0</v>
      </c>
      <c r="O309" s="311">
        <f t="shared" si="263"/>
        <v>0</v>
      </c>
      <c r="P309" s="164">
        <f t="shared" si="263"/>
        <v>0</v>
      </c>
      <c r="Q309" s="164">
        <f t="shared" si="263"/>
        <v>0</v>
      </c>
      <c r="R309" s="164">
        <f t="shared" si="263"/>
        <v>0</v>
      </c>
      <c r="S309" s="164"/>
      <c r="T309" s="164"/>
      <c r="U309" s="164"/>
      <c r="V309" s="164"/>
      <c r="W309" s="164"/>
      <c r="X309" s="164"/>
      <c r="Y309" s="164"/>
      <c r="Z309" s="250"/>
      <c r="AA309" s="250"/>
      <c r="AB309" s="250"/>
      <c r="AC309" s="250"/>
      <c r="AD309" s="250"/>
      <c r="AE309" s="250"/>
      <c r="AF309" s="250"/>
      <c r="AG309" s="304">
        <f t="shared" ref="AG309:AR309" si="264">AG461</f>
        <v>0</v>
      </c>
      <c r="AH309" s="304">
        <f t="shared" si="264"/>
        <v>0</v>
      </c>
      <c r="AI309" s="304">
        <f t="shared" si="264"/>
        <v>0</v>
      </c>
      <c r="AJ309" s="304">
        <f t="shared" si="264"/>
        <v>0</v>
      </c>
      <c r="AK309" s="304">
        <f t="shared" si="264"/>
        <v>0</v>
      </c>
      <c r="AL309" s="304">
        <f t="shared" si="264"/>
        <v>0</v>
      </c>
      <c r="AM309" s="312">
        <f t="shared" si="264"/>
        <v>0</v>
      </c>
      <c r="AN309" s="304">
        <f t="shared" si="264"/>
        <v>0</v>
      </c>
      <c r="AO309" s="250">
        <f t="shared" si="264"/>
        <v>0</v>
      </c>
      <c r="AP309" s="250">
        <f t="shared" si="264"/>
        <v>0</v>
      </c>
      <c r="AQ309" s="250">
        <f t="shared" si="264"/>
        <v>0</v>
      </c>
      <c r="AR309" s="250">
        <f t="shared" si="264"/>
        <v>0</v>
      </c>
      <c r="AS309" s="166"/>
    </row>
    <row r="310" spans="1:45" s="167" customFormat="1" hidden="1" outlineLevel="1" x14ac:dyDescent="0.35">
      <c r="A310" s="359" t="s">
        <v>840</v>
      </c>
      <c r="B310" s="315"/>
      <c r="C310" s="164"/>
      <c r="D310" s="164"/>
      <c r="E310" s="164"/>
      <c r="F310" s="164"/>
      <c r="G310" s="164"/>
      <c r="H310" s="164"/>
      <c r="I310" s="164"/>
      <c r="J310" s="164"/>
      <c r="K310" s="164"/>
      <c r="L310" s="164"/>
      <c r="M310" s="164"/>
      <c r="N310" s="164"/>
      <c r="O310" s="165"/>
      <c r="P310" s="164"/>
      <c r="Q310" s="164"/>
      <c r="R310" s="164"/>
      <c r="S310" s="164"/>
      <c r="T310" s="164"/>
      <c r="U310" s="164"/>
      <c r="V310" s="164"/>
      <c r="W310" s="164"/>
      <c r="X310" s="164"/>
      <c r="Y310" s="164"/>
      <c r="Z310" s="250"/>
      <c r="AA310" s="250"/>
      <c r="AB310" s="250"/>
      <c r="AC310" s="250"/>
      <c r="AD310" s="250"/>
      <c r="AE310" s="250"/>
      <c r="AF310" s="250"/>
      <c r="AG310" s="250"/>
      <c r="AH310" s="250"/>
      <c r="AI310" s="250"/>
      <c r="AJ310" s="250"/>
      <c r="AK310" s="250"/>
      <c r="AL310" s="250"/>
      <c r="AM310" s="264"/>
      <c r="AN310" s="250"/>
      <c r="AO310" s="250"/>
      <c r="AP310" s="250"/>
      <c r="AQ310" s="250"/>
      <c r="AR310" s="250"/>
      <c r="AS310" s="166"/>
    </row>
    <row r="311" spans="1:45" s="167" customFormat="1" hidden="1" outlineLevel="1" x14ac:dyDescent="0.35">
      <c r="A311" s="359" t="s">
        <v>841</v>
      </c>
      <c r="B311" s="315"/>
      <c r="C311" s="164"/>
      <c r="D311" s="164"/>
      <c r="E311" s="164"/>
      <c r="F311" s="164"/>
      <c r="G311" s="164"/>
      <c r="H311" s="164"/>
      <c r="I311" s="164"/>
      <c r="J311" s="164"/>
      <c r="K311" s="164"/>
      <c r="L311" s="164"/>
      <c r="M311" s="164"/>
      <c r="N311" s="164"/>
      <c r="O311" s="165"/>
      <c r="P311" s="164"/>
      <c r="Q311" s="164"/>
      <c r="R311" s="164"/>
      <c r="S311" s="164"/>
      <c r="T311" s="164"/>
      <c r="U311" s="164"/>
      <c r="V311" s="164"/>
      <c r="W311" s="164"/>
      <c r="X311" s="164"/>
      <c r="Y311" s="164"/>
      <c r="Z311" s="250"/>
      <c r="AA311" s="250"/>
      <c r="AB311" s="250"/>
      <c r="AC311" s="250"/>
      <c r="AD311" s="250"/>
      <c r="AE311" s="250"/>
      <c r="AF311" s="250"/>
      <c r="AG311" s="250"/>
      <c r="AH311" s="250"/>
      <c r="AI311" s="250"/>
      <c r="AJ311" s="250"/>
      <c r="AK311" s="250"/>
      <c r="AL311" s="250"/>
      <c r="AM311" s="264"/>
      <c r="AN311" s="250"/>
      <c r="AO311" s="250"/>
      <c r="AP311" s="250"/>
      <c r="AQ311" s="250"/>
      <c r="AR311" s="250"/>
      <c r="AS311" s="166"/>
    </row>
    <row r="312" spans="1:45" s="262" customFormat="1" collapsed="1" x14ac:dyDescent="0.35">
      <c r="A312" s="305"/>
      <c r="B312" s="368"/>
      <c r="C312" s="307"/>
      <c r="D312" s="307"/>
      <c r="E312" s="307"/>
      <c r="F312" s="307"/>
      <c r="G312" s="307"/>
      <c r="H312" s="307"/>
      <c r="I312" s="307"/>
      <c r="J312" s="307"/>
      <c r="K312" s="307"/>
      <c r="L312" s="307"/>
      <c r="M312" s="307"/>
      <c r="N312" s="307"/>
      <c r="O312" s="308"/>
      <c r="P312" s="307"/>
      <c r="Q312" s="307"/>
      <c r="R312" s="307"/>
      <c r="S312" s="307"/>
      <c r="T312" s="307"/>
      <c r="U312" s="307"/>
      <c r="V312" s="307"/>
      <c r="W312" s="307"/>
      <c r="X312" s="307"/>
      <c r="Y312" s="307"/>
      <c r="Z312" s="309"/>
      <c r="AA312" s="309"/>
      <c r="AB312" s="309"/>
      <c r="AC312" s="309"/>
      <c r="AD312" s="309"/>
      <c r="AE312" s="309"/>
      <c r="AF312" s="309"/>
      <c r="AG312" s="309"/>
      <c r="AH312" s="309"/>
      <c r="AI312" s="309"/>
      <c r="AJ312" s="309"/>
      <c r="AK312" s="309"/>
      <c r="AL312" s="309"/>
      <c r="AM312" s="310"/>
      <c r="AN312" s="309"/>
      <c r="AO312" s="309"/>
      <c r="AP312" s="309"/>
      <c r="AQ312" s="309"/>
      <c r="AR312" s="309"/>
      <c r="AS312" s="261"/>
    </row>
    <row r="313" spans="1:45" s="167" customFormat="1" x14ac:dyDescent="0.35">
      <c r="A313" s="242" t="s">
        <v>842</v>
      </c>
      <c r="B313" s="243"/>
      <c r="C313" s="243"/>
      <c r="D313" s="243"/>
      <c r="E313" s="243"/>
      <c r="F313" s="243"/>
      <c r="G313" s="243"/>
      <c r="H313" s="243"/>
      <c r="I313" s="243"/>
      <c r="J313" s="243"/>
      <c r="K313" s="243"/>
      <c r="L313" s="243"/>
      <c r="M313" s="243"/>
      <c r="N313" s="243"/>
      <c r="O313" s="245"/>
      <c r="P313" s="243"/>
      <c r="Q313" s="243"/>
      <c r="R313" s="243"/>
      <c r="S313" s="243"/>
      <c r="T313" s="243"/>
      <c r="U313" s="243"/>
      <c r="V313" s="243"/>
      <c r="W313" s="243"/>
      <c r="X313" s="243"/>
      <c r="Y313" s="243"/>
      <c r="Z313" s="243"/>
      <c r="AA313" s="243"/>
      <c r="AB313" s="243"/>
      <c r="AC313" s="243"/>
      <c r="AD313" s="243"/>
      <c r="AE313" s="243"/>
      <c r="AF313" s="243"/>
      <c r="AG313" s="243"/>
      <c r="AH313" s="243"/>
      <c r="AI313" s="243"/>
      <c r="AJ313" s="243"/>
      <c r="AK313" s="243"/>
      <c r="AL313" s="243"/>
      <c r="AM313" s="245"/>
      <c r="AN313" s="243"/>
      <c r="AO313" s="243"/>
      <c r="AP313" s="243"/>
      <c r="AQ313" s="243"/>
      <c r="AR313" s="243"/>
      <c r="AS313" s="166"/>
    </row>
    <row r="314" spans="1:45" s="262" customFormat="1" x14ac:dyDescent="0.35">
      <c r="A314" s="393" t="s">
        <v>169</v>
      </c>
      <c r="B314" s="368"/>
      <c r="C314" s="307"/>
      <c r="D314" s="307"/>
      <c r="E314" s="307"/>
      <c r="F314" s="307"/>
      <c r="G314" s="307"/>
      <c r="H314" s="307"/>
      <c r="I314" s="307"/>
      <c r="J314" s="307"/>
      <c r="K314" s="307"/>
      <c r="L314" s="307"/>
      <c r="M314" s="307"/>
      <c r="N314" s="307"/>
      <c r="O314" s="308"/>
      <c r="P314" s="307"/>
      <c r="Q314" s="307"/>
      <c r="R314" s="307"/>
      <c r="S314" s="307"/>
      <c r="T314" s="307"/>
      <c r="U314" s="307"/>
      <c r="V314" s="307"/>
      <c r="W314" s="307"/>
      <c r="X314" s="307"/>
      <c r="Y314" s="307"/>
      <c r="Z314" s="309"/>
      <c r="AA314" s="309"/>
      <c r="AB314" s="309"/>
      <c r="AC314" s="309"/>
      <c r="AD314" s="309"/>
      <c r="AE314" s="309"/>
      <c r="AF314" s="309"/>
      <c r="AG314" s="309"/>
      <c r="AH314" s="309"/>
      <c r="AI314" s="309"/>
      <c r="AJ314" s="309"/>
      <c r="AK314" s="309"/>
      <c r="AL314" s="309"/>
      <c r="AM314" s="310"/>
      <c r="AN314" s="250"/>
      <c r="AO314" s="250"/>
      <c r="AP314" s="250"/>
      <c r="AQ314" s="250"/>
      <c r="AR314" s="250"/>
      <c r="AS314" s="261"/>
    </row>
    <row r="315" spans="1:45" s="262" customFormat="1" x14ac:dyDescent="0.35">
      <c r="A315" s="303" t="s">
        <v>231</v>
      </c>
      <c r="B315" s="368"/>
      <c r="C315" s="248">
        <v>20.891999999999999</v>
      </c>
      <c r="D315" s="166">
        <f t="shared" ref="D315:D324" si="265">AH315-SUM(C315)</f>
        <v>29.27</v>
      </c>
      <c r="E315" s="248">
        <v>24.11</v>
      </c>
      <c r="F315" s="166">
        <f t="shared" ref="F315:F324" si="266">AI315-SUM(E315)</f>
        <v>43.912000000000006</v>
      </c>
      <c r="G315" s="248">
        <v>33.853999999999999</v>
      </c>
      <c r="H315" s="166">
        <f t="shared" ref="H315:H324" si="267">AJ315-SUM(G315)</f>
        <v>50.632000000000005</v>
      </c>
      <c r="I315" s="248">
        <v>40.478000000000002</v>
      </c>
      <c r="J315" s="166">
        <f t="shared" ref="J315:J324" si="268">AK315-SUM(I315)</f>
        <v>53.255000000000003</v>
      </c>
      <c r="K315" s="248">
        <v>57.064</v>
      </c>
      <c r="L315" s="166">
        <f t="shared" ref="L315:L324" si="269">AL315-SUM(K315)</f>
        <v>62.351999999999997</v>
      </c>
      <c r="M315" s="248">
        <v>64.132999999999996</v>
      </c>
      <c r="N315" s="166">
        <f t="shared" ref="N315:N324" si="270">AM315-SUM(M315)</f>
        <v>72.012000000000015</v>
      </c>
      <c r="O315" s="249">
        <v>63.070999999999998</v>
      </c>
      <c r="P315" s="164">
        <f>P178</f>
        <v>42.652274949999992</v>
      </c>
      <c r="Q315" s="164">
        <f>Q178</f>
        <v>46.182432559999995</v>
      </c>
      <c r="R315" s="164">
        <f>R178</f>
        <v>46.917502444999997</v>
      </c>
      <c r="S315" s="164"/>
      <c r="T315" s="164"/>
      <c r="U315" s="164"/>
      <c r="V315" s="164"/>
      <c r="W315" s="164"/>
      <c r="X315" s="164"/>
      <c r="Y315" s="164"/>
      <c r="Z315" s="250"/>
      <c r="AA315" s="250"/>
      <c r="AB315" s="250"/>
      <c r="AC315" s="250"/>
      <c r="AD315" s="251">
        <v>27.367999999999999</v>
      </c>
      <c r="AE315" s="251">
        <v>35.527999999999999</v>
      </c>
      <c r="AF315" s="251">
        <v>39.582000000000001</v>
      </c>
      <c r="AG315" s="251">
        <v>42.19</v>
      </c>
      <c r="AH315" s="251">
        <v>50.161999999999999</v>
      </c>
      <c r="AI315" s="251">
        <v>68.022000000000006</v>
      </c>
      <c r="AJ315" s="251">
        <v>84.486000000000004</v>
      </c>
      <c r="AK315" s="251">
        <v>93.733000000000004</v>
      </c>
      <c r="AL315" s="251">
        <v>119.416</v>
      </c>
      <c r="AM315" s="252">
        <v>136.14500000000001</v>
      </c>
      <c r="AN315" s="304">
        <f t="shared" ref="AN315:AN324" si="271">SUM(O315,P315)</f>
        <v>105.72327494999999</v>
      </c>
      <c r="AO315" s="250">
        <f t="shared" ref="AO315:AO324" si="272">SUM(Q315,R315)</f>
        <v>93.099935004999992</v>
      </c>
      <c r="AP315" s="250">
        <f>AP178</f>
        <v>100.76698847599994</v>
      </c>
      <c r="AQ315" s="250">
        <f>AQ178</f>
        <v>110.84368732359994</v>
      </c>
      <c r="AR315" s="250">
        <f>AR178</f>
        <v>121.92805605595998</v>
      </c>
      <c r="AS315" s="261"/>
    </row>
    <row r="316" spans="1:45" s="262" customFormat="1" x14ac:dyDescent="0.35">
      <c r="A316" s="303" t="s">
        <v>843</v>
      </c>
      <c r="B316" s="368"/>
      <c r="C316" s="248">
        <v>0.82399999999999995</v>
      </c>
      <c r="D316" s="166">
        <f t="shared" si="265"/>
        <v>0.81700000000000006</v>
      </c>
      <c r="E316" s="248">
        <v>0.745</v>
      </c>
      <c r="F316" s="166">
        <f t="shared" si="266"/>
        <v>0.71499999999999997</v>
      </c>
      <c r="G316" s="248">
        <v>0.64600000000000002</v>
      </c>
      <c r="H316" s="166">
        <f t="shared" si="267"/>
        <v>0.62899999999999989</v>
      </c>
      <c r="I316" s="248">
        <v>0.58199999999999996</v>
      </c>
      <c r="J316" s="166">
        <f t="shared" si="268"/>
        <v>0.79999999999999993</v>
      </c>
      <c r="K316" s="248">
        <v>1.1739999999999999</v>
      </c>
      <c r="L316" s="166">
        <f t="shared" si="269"/>
        <v>1.1579999999999999</v>
      </c>
      <c r="M316" s="248">
        <v>1.1819999999999999</v>
      </c>
      <c r="N316" s="166">
        <f t="shared" si="270"/>
        <v>1.1910000000000003</v>
      </c>
      <c r="O316" s="249">
        <v>1.155</v>
      </c>
      <c r="P316" s="164">
        <f>-P370</f>
        <v>1.1074224657534246</v>
      </c>
      <c r="Q316" s="164">
        <f>-Q370</f>
        <v>1.1832886701100382</v>
      </c>
      <c r="R316" s="164">
        <f>-R370</f>
        <v>1.2228101493294263</v>
      </c>
      <c r="S316" s="164"/>
      <c r="T316" s="164"/>
      <c r="U316" s="164"/>
      <c r="V316" s="164"/>
      <c r="W316" s="164"/>
      <c r="X316" s="164"/>
      <c r="Y316" s="164"/>
      <c r="Z316" s="250"/>
      <c r="AA316" s="250"/>
      <c r="AB316" s="250"/>
      <c r="AC316" s="250"/>
      <c r="AD316" s="251">
        <v>1.0680000000000001</v>
      </c>
      <c r="AE316" s="251">
        <v>1.5649999999999999</v>
      </c>
      <c r="AF316" s="251">
        <v>1.794</v>
      </c>
      <c r="AG316" s="251">
        <v>1.796</v>
      </c>
      <c r="AH316" s="251">
        <v>1.641</v>
      </c>
      <c r="AI316" s="251">
        <v>1.46</v>
      </c>
      <c r="AJ316" s="251">
        <v>1.2749999999999999</v>
      </c>
      <c r="AK316" s="251">
        <v>1.3819999999999999</v>
      </c>
      <c r="AL316" s="251">
        <v>2.3319999999999999</v>
      </c>
      <c r="AM316" s="252">
        <v>2.3730000000000002</v>
      </c>
      <c r="AN316" s="304">
        <f t="shared" si="271"/>
        <v>2.2624224657534246</v>
      </c>
      <c r="AO316" s="250">
        <f t="shared" si="272"/>
        <v>2.4060988194394648</v>
      </c>
      <c r="AP316" s="250">
        <f>-AP370</f>
        <v>2.556495742961423</v>
      </c>
      <c r="AQ316" s="250">
        <f>-AQ370</f>
        <v>2.7291965943691383</v>
      </c>
      <c r="AR316" s="250">
        <f>-AR370</f>
        <v>2.8673572754953107</v>
      </c>
      <c r="AS316" s="261"/>
    </row>
    <row r="317" spans="1:45" s="262" customFormat="1" x14ac:dyDescent="0.35">
      <c r="A317" s="246" t="s">
        <v>844</v>
      </c>
      <c r="B317" s="368"/>
      <c r="C317" s="164"/>
      <c r="D317" s="164">
        <f t="shared" si="265"/>
        <v>0</v>
      </c>
      <c r="E317" s="164"/>
      <c r="F317" s="164">
        <f t="shared" si="266"/>
        <v>0</v>
      </c>
      <c r="G317" s="164"/>
      <c r="H317" s="164">
        <f t="shared" si="267"/>
        <v>0</v>
      </c>
      <c r="I317" s="248">
        <v>0.95699999999999996</v>
      </c>
      <c r="J317" s="164">
        <f t="shared" si="268"/>
        <v>1.0129999999999999</v>
      </c>
      <c r="K317" s="248">
        <v>1.1259999999999999</v>
      </c>
      <c r="L317" s="164">
        <f t="shared" si="269"/>
        <v>1.137</v>
      </c>
      <c r="M317" s="248">
        <v>1.206</v>
      </c>
      <c r="N317" s="164">
        <f t="shared" si="270"/>
        <v>0.38800000000000012</v>
      </c>
      <c r="O317" s="249">
        <v>1.0589999999999999</v>
      </c>
      <c r="P317" s="164">
        <f>-P391</f>
        <v>0.58009260273972607</v>
      </c>
      <c r="Q317" s="164">
        <f>-Q391</f>
        <v>0.62234697841143027</v>
      </c>
      <c r="R317" s="164">
        <f>-R391</f>
        <v>0.67769505595683965</v>
      </c>
      <c r="S317" s="164"/>
      <c r="T317" s="164"/>
      <c r="U317" s="164"/>
      <c r="V317" s="164"/>
      <c r="W317" s="164"/>
      <c r="X317" s="164"/>
      <c r="Y317" s="164"/>
      <c r="Z317" s="250"/>
      <c r="AA317" s="250"/>
      <c r="AB317" s="250"/>
      <c r="AC317" s="250"/>
      <c r="AD317" s="250"/>
      <c r="AE317" s="250"/>
      <c r="AF317" s="250"/>
      <c r="AG317" s="250"/>
      <c r="AH317" s="250"/>
      <c r="AI317" s="250"/>
      <c r="AJ317" s="251">
        <v>0</v>
      </c>
      <c r="AK317" s="251">
        <v>1.97</v>
      </c>
      <c r="AL317" s="251">
        <v>2.2629999999999999</v>
      </c>
      <c r="AM317" s="252">
        <v>1.5940000000000001</v>
      </c>
      <c r="AN317" s="250">
        <f t="shared" si="271"/>
        <v>1.6390926027397259</v>
      </c>
      <c r="AO317" s="250">
        <f t="shared" si="272"/>
        <v>1.3000420343682699</v>
      </c>
      <c r="AP317" s="250">
        <f>-AP391</f>
        <v>1.4268563500394633</v>
      </c>
      <c r="AQ317" s="250">
        <f>-AQ391</f>
        <v>1.5932811524181927</v>
      </c>
      <c r="AR317" s="250">
        <f>-AR391</f>
        <v>1.7350543950305655</v>
      </c>
      <c r="AS317" s="261"/>
    </row>
    <row r="318" spans="1:45" s="167" customFormat="1" x14ac:dyDescent="0.35">
      <c r="A318" s="303" t="s">
        <v>845</v>
      </c>
      <c r="B318" s="315"/>
      <c r="C318" s="248">
        <v>0.16500000000000001</v>
      </c>
      <c r="D318" s="166">
        <f t="shared" si="265"/>
        <v>0.20199999999999999</v>
      </c>
      <c r="E318" s="248">
        <v>0.154</v>
      </c>
      <c r="F318" s="166">
        <f t="shared" si="266"/>
        <v>0.14499999999999999</v>
      </c>
      <c r="G318" s="248">
        <v>0.121</v>
      </c>
      <c r="H318" s="166">
        <f t="shared" si="267"/>
        <v>0.124</v>
      </c>
      <c r="I318" s="248">
        <v>6.9000000000000006E-2</v>
      </c>
      <c r="J318" s="166">
        <f t="shared" si="268"/>
        <v>0.16300000000000001</v>
      </c>
      <c r="K318" s="248">
        <v>0.17499999999999999</v>
      </c>
      <c r="L318" s="166">
        <f t="shared" si="269"/>
        <v>0.122</v>
      </c>
      <c r="M318" s="248">
        <v>7.8E-2</v>
      </c>
      <c r="N318" s="166">
        <f t="shared" si="270"/>
        <v>0.48000000000000004</v>
      </c>
      <c r="O318" s="249">
        <v>0.76300000000000001</v>
      </c>
      <c r="P318" s="164">
        <f>-P376</f>
        <v>0.93909246575342464</v>
      </c>
      <c r="Q318" s="164">
        <f>-Q376</f>
        <v>0.99615231304738383</v>
      </c>
      <c r="R318" s="164">
        <f>-R376</f>
        <v>1.0218548157501728</v>
      </c>
      <c r="S318" s="164"/>
      <c r="T318" s="164"/>
      <c r="U318" s="164"/>
      <c r="V318" s="164"/>
      <c r="W318" s="164"/>
      <c r="X318" s="164"/>
      <c r="Y318" s="164"/>
      <c r="Z318" s="250"/>
      <c r="AA318" s="250"/>
      <c r="AB318" s="250"/>
      <c r="AC318" s="250"/>
      <c r="AD318" s="251">
        <v>9.8000000000000004E-2</v>
      </c>
      <c r="AE318" s="251">
        <v>0.21299999999999999</v>
      </c>
      <c r="AF318" s="251">
        <v>0.35299999999999998</v>
      </c>
      <c r="AG318" s="251">
        <v>0.32700000000000001</v>
      </c>
      <c r="AH318" s="251">
        <v>0.36699999999999999</v>
      </c>
      <c r="AI318" s="251">
        <v>0.29899999999999999</v>
      </c>
      <c r="AJ318" s="251">
        <v>0.245</v>
      </c>
      <c r="AK318" s="251">
        <v>0.23200000000000001</v>
      </c>
      <c r="AL318" s="251">
        <v>0.29699999999999999</v>
      </c>
      <c r="AM318" s="252">
        <v>0.55800000000000005</v>
      </c>
      <c r="AN318" s="304">
        <f t="shared" si="271"/>
        <v>1.7020924657534247</v>
      </c>
      <c r="AO318" s="250">
        <f t="shared" si="272"/>
        <v>2.0180071287975565</v>
      </c>
      <c r="AP318" s="250">
        <f>-AP376</f>
        <v>2.121975101362255</v>
      </c>
      <c r="AQ318" s="250">
        <f>-AQ376</f>
        <v>2.2364813260216914</v>
      </c>
      <c r="AR318" s="250">
        <f>-AR376</f>
        <v>2.3223609945162687</v>
      </c>
      <c r="AS318" s="166"/>
    </row>
    <row r="319" spans="1:45" s="167" customFormat="1" x14ac:dyDescent="0.35">
      <c r="A319" s="303" t="s">
        <v>846</v>
      </c>
      <c r="B319" s="315"/>
      <c r="C319" s="248">
        <v>7.2999999999999995E-2</v>
      </c>
      <c r="D319" s="166">
        <f t="shared" si="265"/>
        <v>3.6000000000000004E-2</v>
      </c>
      <c r="E319" s="248">
        <v>0</v>
      </c>
      <c r="F319" s="166">
        <f t="shared" si="266"/>
        <v>2.8000000000000001E-2</v>
      </c>
      <c r="G319" s="248">
        <v>7.6999999999999999E-2</v>
      </c>
      <c r="H319" s="166">
        <f t="shared" si="267"/>
        <v>0.111</v>
      </c>
      <c r="I319" s="248">
        <v>0</v>
      </c>
      <c r="J319" s="166">
        <f t="shared" si="268"/>
        <v>0.14599999999999999</v>
      </c>
      <c r="K319" s="248">
        <v>0</v>
      </c>
      <c r="L319" s="166">
        <f t="shared" si="269"/>
        <v>7.5999999999999998E-2</v>
      </c>
      <c r="M319" s="164"/>
      <c r="N319" s="166">
        <f t="shared" si="270"/>
        <v>0</v>
      </c>
      <c r="O319" s="165"/>
      <c r="P319" s="164"/>
      <c r="Q319" s="164"/>
      <c r="R319" s="164"/>
      <c r="S319" s="164"/>
      <c r="T319" s="164"/>
      <c r="U319" s="164"/>
      <c r="V319" s="164"/>
      <c r="W319" s="164"/>
      <c r="X319" s="164"/>
      <c r="Y319" s="164"/>
      <c r="Z319" s="250"/>
      <c r="AA319" s="250"/>
      <c r="AB319" s="250"/>
      <c r="AC319" s="250"/>
      <c r="AD319" s="251">
        <v>0</v>
      </c>
      <c r="AE319" s="251">
        <v>0</v>
      </c>
      <c r="AF319" s="251">
        <v>2.8000000000000001E-2</v>
      </c>
      <c r="AG319" s="251">
        <v>-8.9999999999999993E-3</v>
      </c>
      <c r="AH319" s="251">
        <v>0.109</v>
      </c>
      <c r="AI319" s="251">
        <v>2.8000000000000001E-2</v>
      </c>
      <c r="AJ319" s="251">
        <v>0.188</v>
      </c>
      <c r="AK319" s="251">
        <v>0.14599999999999999</v>
      </c>
      <c r="AL319" s="251">
        <v>7.5999999999999998E-2</v>
      </c>
      <c r="AM319" s="252">
        <v>0</v>
      </c>
      <c r="AN319" s="304">
        <f t="shared" si="271"/>
        <v>0</v>
      </c>
      <c r="AO319" s="250">
        <f t="shared" si="272"/>
        <v>0</v>
      </c>
      <c r="AP319" s="250"/>
      <c r="AQ319" s="250"/>
      <c r="AR319" s="250"/>
      <c r="AS319" s="166"/>
    </row>
    <row r="320" spans="1:45" s="167" customFormat="1" x14ac:dyDescent="0.35">
      <c r="A320" s="303" t="s">
        <v>847</v>
      </c>
      <c r="B320" s="315"/>
      <c r="C320" s="248">
        <v>0</v>
      </c>
      <c r="D320" s="166">
        <f t="shared" si="265"/>
        <v>0.312</v>
      </c>
      <c r="E320" s="164"/>
      <c r="F320" s="166">
        <f t="shared" si="266"/>
        <v>0</v>
      </c>
      <c r="G320" s="164"/>
      <c r="H320" s="166">
        <f t="shared" si="267"/>
        <v>0</v>
      </c>
      <c r="I320" s="164"/>
      <c r="J320" s="166">
        <f t="shared" si="268"/>
        <v>0</v>
      </c>
      <c r="K320" s="164"/>
      <c r="L320" s="166">
        <f t="shared" si="269"/>
        <v>0</v>
      </c>
      <c r="M320" s="164"/>
      <c r="N320" s="166">
        <f t="shared" si="270"/>
        <v>0</v>
      </c>
      <c r="O320" s="165"/>
      <c r="P320" s="164"/>
      <c r="Q320" s="164"/>
      <c r="R320" s="164"/>
      <c r="S320" s="164"/>
      <c r="T320" s="164"/>
      <c r="U320" s="164"/>
      <c r="V320" s="164"/>
      <c r="W320" s="164"/>
      <c r="X320" s="164"/>
      <c r="Y320" s="164"/>
      <c r="Z320" s="250"/>
      <c r="AA320" s="250"/>
      <c r="AB320" s="250"/>
      <c r="AC320" s="250"/>
      <c r="AD320" s="250"/>
      <c r="AE320" s="250"/>
      <c r="AF320" s="250"/>
      <c r="AG320" s="251">
        <v>0</v>
      </c>
      <c r="AH320" s="251">
        <v>0.312</v>
      </c>
      <c r="AI320" s="251">
        <v>0</v>
      </c>
      <c r="AJ320" s="251">
        <v>0</v>
      </c>
      <c r="AK320" s="250"/>
      <c r="AL320" s="250"/>
      <c r="AM320" s="264"/>
      <c r="AN320" s="304">
        <f t="shared" si="271"/>
        <v>0</v>
      </c>
      <c r="AO320" s="250">
        <f t="shared" si="272"/>
        <v>0</v>
      </c>
      <c r="AP320" s="250"/>
      <c r="AQ320" s="250"/>
      <c r="AR320" s="250"/>
      <c r="AS320" s="166"/>
    </row>
    <row r="321" spans="1:45" s="167" customFormat="1" x14ac:dyDescent="0.35">
      <c r="A321" s="303" t="s">
        <v>848</v>
      </c>
      <c r="B321" s="315"/>
      <c r="C321" s="164"/>
      <c r="D321" s="166">
        <f t="shared" si="265"/>
        <v>0</v>
      </c>
      <c r="E321" s="248">
        <v>0</v>
      </c>
      <c r="F321" s="166">
        <f t="shared" si="266"/>
        <v>0</v>
      </c>
      <c r="G321" s="248">
        <v>-0.28699999999999998</v>
      </c>
      <c r="H321" s="166">
        <f t="shared" si="267"/>
        <v>0</v>
      </c>
      <c r="I321" s="248">
        <v>-0.25900000000000001</v>
      </c>
      <c r="J321" s="166">
        <f t="shared" si="268"/>
        <v>0</v>
      </c>
      <c r="K321" s="248">
        <v>-8.1000000000000003E-2</v>
      </c>
      <c r="L321" s="166">
        <f t="shared" si="269"/>
        <v>-0.115</v>
      </c>
      <c r="M321" s="248">
        <v>-0.214</v>
      </c>
      <c r="N321" s="166">
        <f t="shared" si="270"/>
        <v>-1.0000000000000009E-3</v>
      </c>
      <c r="O321" s="249">
        <v>-6.6000000000000003E-2</v>
      </c>
      <c r="P321" s="164"/>
      <c r="Q321" s="164"/>
      <c r="R321" s="164"/>
      <c r="S321" s="164"/>
      <c r="T321" s="164"/>
      <c r="U321" s="164"/>
      <c r="V321" s="164"/>
      <c r="W321" s="164"/>
      <c r="X321" s="164"/>
      <c r="Y321" s="164"/>
      <c r="Z321" s="250"/>
      <c r="AA321" s="250"/>
      <c r="AB321" s="250"/>
      <c r="AC321" s="250"/>
      <c r="AD321" s="250"/>
      <c r="AE321" s="250"/>
      <c r="AF321" s="250"/>
      <c r="AG321" s="250"/>
      <c r="AH321" s="250"/>
      <c r="AI321" s="251">
        <v>0</v>
      </c>
      <c r="AJ321" s="251">
        <v>-0.28699999999999998</v>
      </c>
      <c r="AK321" s="251">
        <v>-0.25900000000000001</v>
      </c>
      <c r="AL321" s="251">
        <v>-0.19600000000000001</v>
      </c>
      <c r="AM321" s="252">
        <v>-0.215</v>
      </c>
      <c r="AN321" s="304">
        <f t="shared" si="271"/>
        <v>-6.6000000000000003E-2</v>
      </c>
      <c r="AO321" s="250">
        <f t="shared" si="272"/>
        <v>0</v>
      </c>
      <c r="AP321" s="250"/>
      <c r="AQ321" s="250"/>
      <c r="AR321" s="250"/>
      <c r="AS321" s="166"/>
    </row>
    <row r="322" spans="1:45" s="167" customFormat="1" x14ac:dyDescent="0.35">
      <c r="A322" s="303" t="s">
        <v>849</v>
      </c>
      <c r="B322" s="315"/>
      <c r="C322" s="248">
        <v>0.436</v>
      </c>
      <c r="D322" s="166">
        <f t="shared" si="265"/>
        <v>0.63400000000000012</v>
      </c>
      <c r="E322" s="248">
        <v>0.98899999999999999</v>
      </c>
      <c r="F322" s="166">
        <f t="shared" si="266"/>
        <v>0.76999999999999991</v>
      </c>
      <c r="G322" s="248">
        <v>0.89800000000000002</v>
      </c>
      <c r="H322" s="166">
        <f t="shared" si="267"/>
        <v>0.83399999999999996</v>
      </c>
      <c r="I322" s="248">
        <v>0.97099999999999997</v>
      </c>
      <c r="J322" s="166">
        <f t="shared" si="268"/>
        <v>0.98699999999999999</v>
      </c>
      <c r="K322" s="248">
        <v>1.113</v>
      </c>
      <c r="L322" s="166">
        <f t="shared" si="269"/>
        <v>1.1539999999999999</v>
      </c>
      <c r="M322" s="248">
        <v>1.4159999999999999</v>
      </c>
      <c r="N322" s="166">
        <f t="shared" si="270"/>
        <v>1.125</v>
      </c>
      <c r="O322" s="249">
        <v>1.591</v>
      </c>
      <c r="P322" s="164">
        <f>P183</f>
        <v>0.75268720499999997</v>
      </c>
      <c r="Q322" s="164">
        <f>Q183</f>
        <v>0.8149841040000001</v>
      </c>
      <c r="R322" s="164">
        <f>R183</f>
        <v>0.82795592550000008</v>
      </c>
      <c r="S322" s="164"/>
      <c r="T322" s="164"/>
      <c r="U322" s="164"/>
      <c r="V322" s="164"/>
      <c r="W322" s="164"/>
      <c r="X322" s="164"/>
      <c r="Y322" s="164"/>
      <c r="Z322" s="250"/>
      <c r="AA322" s="250"/>
      <c r="AB322" s="250"/>
      <c r="AC322" s="250"/>
      <c r="AD322" s="251">
        <v>0.73499999999999999</v>
      </c>
      <c r="AE322" s="251">
        <v>0</v>
      </c>
      <c r="AF322" s="251">
        <v>5.0000000000000001E-3</v>
      </c>
      <c r="AG322" s="251">
        <v>0.57199999999999995</v>
      </c>
      <c r="AH322" s="251">
        <v>1.07</v>
      </c>
      <c r="AI322" s="251">
        <v>1.7589999999999999</v>
      </c>
      <c r="AJ322" s="251">
        <v>1.732</v>
      </c>
      <c r="AK322" s="251">
        <v>1.958</v>
      </c>
      <c r="AL322" s="251">
        <v>2.2669999999999999</v>
      </c>
      <c r="AM322" s="252">
        <v>2.5409999999999999</v>
      </c>
      <c r="AN322" s="304">
        <f t="shared" si="271"/>
        <v>2.3436872050000002</v>
      </c>
      <c r="AO322" s="250">
        <f t="shared" si="272"/>
        <v>1.6429400295000001</v>
      </c>
      <c r="AP322" s="250">
        <f>AP183</f>
        <v>1.8893810339249999</v>
      </c>
      <c r="AQ322" s="250">
        <f>AQ183</f>
        <v>2.0783191373175001</v>
      </c>
      <c r="AR322" s="250">
        <f>AR183</f>
        <v>2.2861510510492504</v>
      </c>
      <c r="AS322" s="166"/>
    </row>
    <row r="323" spans="1:45" s="167" customFormat="1" x14ac:dyDescent="0.35">
      <c r="A323" s="303" t="s">
        <v>850</v>
      </c>
      <c r="B323" s="315"/>
      <c r="C323" s="164"/>
      <c r="D323" s="166">
        <f t="shared" si="265"/>
        <v>0</v>
      </c>
      <c r="E323" s="164"/>
      <c r="F323" s="166">
        <f t="shared" si="266"/>
        <v>0</v>
      </c>
      <c r="G323" s="164"/>
      <c r="H323" s="166">
        <f t="shared" si="267"/>
        <v>0</v>
      </c>
      <c r="I323" s="164"/>
      <c r="J323" s="166">
        <f t="shared" si="268"/>
        <v>0</v>
      </c>
      <c r="K323" s="164"/>
      <c r="L323" s="166">
        <f t="shared" si="269"/>
        <v>0</v>
      </c>
      <c r="M323" s="164"/>
      <c r="N323" s="166">
        <f t="shared" si="270"/>
        <v>0</v>
      </c>
      <c r="O323" s="165"/>
      <c r="P323" s="164"/>
      <c r="Q323" s="164"/>
      <c r="R323" s="164"/>
      <c r="S323" s="164"/>
      <c r="T323" s="164"/>
      <c r="U323" s="164"/>
      <c r="V323" s="164"/>
      <c r="W323" s="164"/>
      <c r="X323" s="164"/>
      <c r="Y323" s="164"/>
      <c r="Z323" s="250"/>
      <c r="AA323" s="250"/>
      <c r="AB323" s="250"/>
      <c r="AC323" s="250"/>
      <c r="AD323" s="251">
        <v>-0.35699999999999998</v>
      </c>
      <c r="AE323" s="251">
        <v>-0.06</v>
      </c>
      <c r="AF323" s="250"/>
      <c r="AG323" s="250"/>
      <c r="AH323" s="250"/>
      <c r="AI323" s="250"/>
      <c r="AJ323" s="250"/>
      <c r="AK323" s="250"/>
      <c r="AL323" s="250"/>
      <c r="AM323" s="264"/>
      <c r="AN323" s="304">
        <f t="shared" si="271"/>
        <v>0</v>
      </c>
      <c r="AO323" s="250">
        <f t="shared" si="272"/>
        <v>0</v>
      </c>
      <c r="AP323" s="250"/>
      <c r="AQ323" s="250"/>
      <c r="AR323" s="250"/>
      <c r="AS323" s="166"/>
    </row>
    <row r="324" spans="1:45" s="167" customFormat="1" x14ac:dyDescent="0.35">
      <c r="A324" s="303" t="s">
        <v>346</v>
      </c>
      <c r="B324" s="315"/>
      <c r="C324" s="248">
        <v>-4.4329999999999998</v>
      </c>
      <c r="D324" s="166">
        <f t="shared" si="265"/>
        <v>-4.8209999999999997</v>
      </c>
      <c r="E324" s="248">
        <v>-4.9000000000000004</v>
      </c>
      <c r="F324" s="166">
        <f t="shared" si="266"/>
        <v>-5.6</v>
      </c>
      <c r="G324" s="248">
        <v>-7.8689999999999998</v>
      </c>
      <c r="H324" s="166">
        <f t="shared" si="267"/>
        <v>-7.6769999999999996</v>
      </c>
      <c r="I324" s="248">
        <v>-17.47</v>
      </c>
      <c r="J324" s="166">
        <f t="shared" si="268"/>
        <v>-9.647000000000002</v>
      </c>
      <c r="K324" s="248">
        <v>-9.8629999999999995</v>
      </c>
      <c r="L324" s="166">
        <f t="shared" si="269"/>
        <v>-12.682000000000002</v>
      </c>
      <c r="M324" s="248">
        <v>-11.154999999999999</v>
      </c>
      <c r="N324" s="166">
        <f t="shared" si="270"/>
        <v>-14.189000000000002</v>
      </c>
      <c r="O324" s="249">
        <v>-14.6</v>
      </c>
      <c r="P324" s="164">
        <f>-P191</f>
        <v>-8.1145935173767114</v>
      </c>
      <c r="Q324" s="164">
        <f>-Q191</f>
        <v>-8.7746621863999987</v>
      </c>
      <c r="R324" s="164">
        <f>-R191</f>
        <v>-8.9143254645500001</v>
      </c>
      <c r="S324" s="164"/>
      <c r="T324" s="164"/>
      <c r="U324" s="164"/>
      <c r="V324" s="164"/>
      <c r="W324" s="164"/>
      <c r="X324" s="164"/>
      <c r="Y324" s="164"/>
      <c r="Z324" s="250"/>
      <c r="AA324" s="250"/>
      <c r="AB324" s="250"/>
      <c r="AC324" s="250"/>
      <c r="AD324" s="251">
        <v>-5.2</v>
      </c>
      <c r="AE324" s="251">
        <v>-10.345000000000001</v>
      </c>
      <c r="AF324" s="251">
        <v>-7.319</v>
      </c>
      <c r="AG324" s="251">
        <v>-7.8559999999999999</v>
      </c>
      <c r="AH324" s="251">
        <v>-9.2539999999999996</v>
      </c>
      <c r="AI324" s="251">
        <v>-10.5</v>
      </c>
      <c r="AJ324" s="251">
        <v>-15.545999999999999</v>
      </c>
      <c r="AK324" s="251">
        <v>-27.117000000000001</v>
      </c>
      <c r="AL324" s="251">
        <v>-22.545000000000002</v>
      </c>
      <c r="AM324" s="252">
        <v>-25.344000000000001</v>
      </c>
      <c r="AN324" s="304">
        <f t="shared" si="271"/>
        <v>-22.714593517376713</v>
      </c>
      <c r="AO324" s="250">
        <f t="shared" si="272"/>
        <v>-17.688987650949997</v>
      </c>
      <c r="AP324" s="250">
        <f>-AP191</f>
        <v>-19.14572781044</v>
      </c>
      <c r="AQ324" s="250">
        <f>-AQ191</f>
        <v>-21.060300591484001</v>
      </c>
      <c r="AR324" s="250">
        <f>-AR191</f>
        <v>-23.16633065063241</v>
      </c>
      <c r="AS324" s="166"/>
    </row>
    <row r="325" spans="1:45" s="262" customFormat="1" x14ac:dyDescent="0.35">
      <c r="A325" s="253" t="s">
        <v>851</v>
      </c>
      <c r="B325" s="355"/>
      <c r="C325" s="256">
        <f t="shared" ref="C325:R325" si="273">SUM(C315:C324)</f>
        <v>17.957000000000001</v>
      </c>
      <c r="D325" s="256">
        <f t="shared" si="273"/>
        <v>26.450000000000003</v>
      </c>
      <c r="E325" s="256">
        <f t="shared" si="273"/>
        <v>21.097999999999999</v>
      </c>
      <c r="F325" s="256">
        <f t="shared" si="273"/>
        <v>39.970000000000013</v>
      </c>
      <c r="G325" s="256">
        <f t="shared" si="273"/>
        <v>27.440000000000005</v>
      </c>
      <c r="H325" s="256">
        <f t="shared" si="273"/>
        <v>44.653000000000006</v>
      </c>
      <c r="I325" s="256">
        <f t="shared" si="273"/>
        <v>25.328000000000003</v>
      </c>
      <c r="J325" s="256">
        <f t="shared" si="273"/>
        <v>46.716999999999999</v>
      </c>
      <c r="K325" s="256">
        <f t="shared" si="273"/>
        <v>50.707999999999991</v>
      </c>
      <c r="L325" s="256">
        <f t="shared" si="273"/>
        <v>53.201999999999984</v>
      </c>
      <c r="M325" s="256">
        <f t="shared" si="273"/>
        <v>56.646000000000001</v>
      </c>
      <c r="N325" s="256">
        <f t="shared" si="273"/>
        <v>61.006000000000022</v>
      </c>
      <c r="O325" s="257">
        <f t="shared" si="273"/>
        <v>52.972999999999992</v>
      </c>
      <c r="P325" s="255">
        <f t="shared" si="273"/>
        <v>37.916976171869855</v>
      </c>
      <c r="Q325" s="255">
        <f t="shared" si="273"/>
        <v>41.02454243916884</v>
      </c>
      <c r="R325" s="255">
        <f t="shared" si="273"/>
        <v>41.753492926986439</v>
      </c>
      <c r="S325" s="255"/>
      <c r="T325" s="255"/>
      <c r="U325" s="255"/>
      <c r="V325" s="255"/>
      <c r="W325" s="255"/>
      <c r="X325" s="255"/>
      <c r="Y325" s="255"/>
      <c r="Z325" s="258"/>
      <c r="AA325" s="258"/>
      <c r="AB325" s="258"/>
      <c r="AC325" s="258"/>
      <c r="AD325" s="258">
        <f t="shared" ref="AD325:AR325" si="274">SUM(AD315:AD324)</f>
        <v>23.712</v>
      </c>
      <c r="AE325" s="259">
        <f t="shared" si="274"/>
        <v>26.900999999999996</v>
      </c>
      <c r="AF325" s="259">
        <f t="shared" si="274"/>
        <v>34.442999999999998</v>
      </c>
      <c r="AG325" s="259">
        <f t="shared" si="274"/>
        <v>37.019999999999996</v>
      </c>
      <c r="AH325" s="259">
        <f t="shared" si="274"/>
        <v>44.406999999999996</v>
      </c>
      <c r="AI325" s="259">
        <f t="shared" si="274"/>
        <v>61.068000000000012</v>
      </c>
      <c r="AJ325" s="259">
        <f t="shared" si="274"/>
        <v>72.093000000000018</v>
      </c>
      <c r="AK325" s="259">
        <f t="shared" si="274"/>
        <v>72.045000000000002</v>
      </c>
      <c r="AL325" s="259">
        <f t="shared" si="274"/>
        <v>103.90999999999998</v>
      </c>
      <c r="AM325" s="260">
        <f t="shared" si="274"/>
        <v>117.65199999999999</v>
      </c>
      <c r="AN325" s="259">
        <f t="shared" si="274"/>
        <v>90.889976171869847</v>
      </c>
      <c r="AO325" s="258">
        <f t="shared" si="274"/>
        <v>82.778035366155294</v>
      </c>
      <c r="AP325" s="258">
        <f t="shared" si="274"/>
        <v>89.615968893848077</v>
      </c>
      <c r="AQ325" s="258">
        <f t="shared" si="274"/>
        <v>98.420664942242439</v>
      </c>
      <c r="AR325" s="258">
        <f t="shared" si="274"/>
        <v>107.97264912141895</v>
      </c>
      <c r="AS325" s="261"/>
    </row>
    <row r="326" spans="1:45" s="167" customFormat="1" x14ac:dyDescent="0.35">
      <c r="A326" s="303" t="s">
        <v>852</v>
      </c>
      <c r="B326" s="315"/>
      <c r="C326" s="248">
        <v>-1.008</v>
      </c>
      <c r="D326" s="166">
        <f>AH326-SUM(C326)</f>
        <v>-1.3559999999999999</v>
      </c>
      <c r="E326" s="248">
        <v>-5.7290000000000001</v>
      </c>
      <c r="F326" s="166">
        <f>AI326-SUM(E326)</f>
        <v>4.0730000000000004</v>
      </c>
      <c r="G326" s="248">
        <v>-26.37</v>
      </c>
      <c r="H326" s="166">
        <f>AJ326-SUM(G326)</f>
        <v>23.917000000000002</v>
      </c>
      <c r="I326" s="248">
        <v>-5.2960000000000003</v>
      </c>
      <c r="J326" s="166">
        <f>AK326-SUM(I326)</f>
        <v>4.6360000000000001</v>
      </c>
      <c r="K326" s="248">
        <v>-1.839</v>
      </c>
      <c r="L326" s="166">
        <f>AL326-SUM(K326)</f>
        <v>-24.828000000000003</v>
      </c>
      <c r="M326" s="248">
        <v>-5.9560000000000004</v>
      </c>
      <c r="N326" s="166">
        <f>AM326-SUM(M326)</f>
        <v>39.263000000000005</v>
      </c>
      <c r="O326" s="249">
        <v>-2.0529999999999999</v>
      </c>
      <c r="P326" s="164">
        <f>O424-P424</f>
        <v>2.3548496298701425</v>
      </c>
      <c r="Q326" s="164">
        <f>AN424-Q424</f>
        <v>-2.5851615959650083</v>
      </c>
      <c r="R326" s="164">
        <f>Q424-R424</f>
        <v>2.2011734455084904</v>
      </c>
      <c r="S326" s="164"/>
      <c r="T326" s="164"/>
      <c r="U326" s="164"/>
      <c r="V326" s="164"/>
      <c r="W326" s="164"/>
      <c r="X326" s="164"/>
      <c r="Y326" s="164"/>
      <c r="Z326" s="250"/>
      <c r="AA326" s="250"/>
      <c r="AB326" s="250"/>
      <c r="AC326" s="250"/>
      <c r="AD326" s="251">
        <v>-2.2709999999999999</v>
      </c>
      <c r="AE326" s="251">
        <v>-0.20200000000000001</v>
      </c>
      <c r="AF326" s="251">
        <v>1.83</v>
      </c>
      <c r="AG326" s="251">
        <v>-1.9610000000000001</v>
      </c>
      <c r="AH326" s="251">
        <v>-2.3639999999999999</v>
      </c>
      <c r="AI326" s="251">
        <v>-1.6559999999999999</v>
      </c>
      <c r="AJ326" s="251">
        <v>-2.4529999999999998</v>
      </c>
      <c r="AK326" s="251">
        <v>-0.66</v>
      </c>
      <c r="AL326" s="251">
        <v>-26.667000000000002</v>
      </c>
      <c r="AM326" s="252">
        <v>33.307000000000002</v>
      </c>
      <c r="AN326" s="304">
        <f>SUM(O326,P326)</f>
        <v>0.30184962987014252</v>
      </c>
      <c r="AO326" s="250">
        <f>SUM(Q326,R326)</f>
        <v>-0.38398815045651791</v>
      </c>
      <c r="AP326" s="250">
        <f t="shared" ref="AP326:AR327" si="275">AO424-AP424</f>
        <v>-0.77792077808795579</v>
      </c>
      <c r="AQ326" s="250">
        <f t="shared" si="275"/>
        <v>-0.59640592986743357</v>
      </c>
      <c r="AR326" s="250">
        <f t="shared" si="275"/>
        <v>-0.65604652285417853</v>
      </c>
      <c r="AS326" s="166"/>
    </row>
    <row r="327" spans="1:45" s="167" customFormat="1" x14ac:dyDescent="0.35">
      <c r="A327" s="303" t="s">
        <v>853</v>
      </c>
      <c r="B327" s="315"/>
      <c r="C327" s="248">
        <v>-18.885999999999999</v>
      </c>
      <c r="D327" s="166">
        <f>AH327-SUM(C327)</f>
        <v>-21.833000000000002</v>
      </c>
      <c r="E327" s="248">
        <v>-16.117000000000001</v>
      </c>
      <c r="F327" s="166">
        <f>AI327-SUM(E327)</f>
        <v>-16.334</v>
      </c>
      <c r="G327" s="248">
        <v>-34.847999999999999</v>
      </c>
      <c r="H327" s="166">
        <f>AJ327-SUM(G327)</f>
        <v>-44.501999999999995</v>
      </c>
      <c r="I327" s="248">
        <v>1.141</v>
      </c>
      <c r="J327" s="166">
        <f>AK327-SUM(I327)</f>
        <v>-29.957000000000001</v>
      </c>
      <c r="K327" s="248">
        <v>29.978999999999999</v>
      </c>
      <c r="L327" s="166">
        <f>AL327-SUM(K327)</f>
        <v>-45.522999999999996</v>
      </c>
      <c r="M327" s="248">
        <v>-75.522999999999996</v>
      </c>
      <c r="N327" s="166">
        <f>AM327-SUM(M327)</f>
        <v>-136.17099999999999</v>
      </c>
      <c r="O327" s="249">
        <v>-4.077</v>
      </c>
      <c r="P327" s="164">
        <f>O425-P425</f>
        <v>36.096716693340909</v>
      </c>
      <c r="Q327" s="164">
        <f>AN425-Q425</f>
        <v>-53.650916472119093</v>
      </c>
      <c r="R327" s="164">
        <f>Q425-R425</f>
        <v>12.918079408488779</v>
      </c>
      <c r="S327" s="164"/>
      <c r="T327" s="164"/>
      <c r="U327" s="164"/>
      <c r="V327" s="164"/>
      <c r="W327" s="164"/>
      <c r="X327" s="164"/>
      <c r="Y327" s="164"/>
      <c r="Z327" s="250"/>
      <c r="AA327" s="250"/>
      <c r="AB327" s="250"/>
      <c r="AC327" s="250"/>
      <c r="AD327" s="251">
        <v>-13.467000000000001</v>
      </c>
      <c r="AE327" s="251">
        <v>-12.378</v>
      </c>
      <c r="AF327" s="251">
        <v>-22.425000000000001</v>
      </c>
      <c r="AG327" s="251">
        <v>-12.608000000000001</v>
      </c>
      <c r="AH327" s="251">
        <v>-40.719000000000001</v>
      </c>
      <c r="AI327" s="251">
        <v>-32.451000000000001</v>
      </c>
      <c r="AJ327" s="251">
        <v>-79.349999999999994</v>
      </c>
      <c r="AK327" s="251">
        <v>-28.815999999999999</v>
      </c>
      <c r="AL327" s="251">
        <v>-15.544</v>
      </c>
      <c r="AM327" s="252">
        <v>-211.69399999999999</v>
      </c>
      <c r="AN327" s="304">
        <f>SUM(O327,P327)</f>
        <v>32.019716693340911</v>
      </c>
      <c r="AO327" s="250">
        <f>SUM(Q327,R327)</f>
        <v>-40.732837063630313</v>
      </c>
      <c r="AP327" s="250">
        <f t="shared" si="275"/>
        <v>-82.520568055543436</v>
      </c>
      <c r="AQ327" s="250">
        <f t="shared" si="275"/>
        <v>-63.265768842583384</v>
      </c>
      <c r="AR327" s="250">
        <f t="shared" si="275"/>
        <v>-69.592345726841813</v>
      </c>
      <c r="AS327" s="166"/>
    </row>
    <row r="328" spans="1:45" s="167" customFormat="1" x14ac:dyDescent="0.35">
      <c r="A328" s="303" t="s">
        <v>854</v>
      </c>
      <c r="B328" s="315"/>
      <c r="C328" s="248">
        <v>22.056999999999999</v>
      </c>
      <c r="D328" s="166">
        <f>AH328-SUM(C328)</f>
        <v>17.59</v>
      </c>
      <c r="E328" s="248">
        <v>21.34</v>
      </c>
      <c r="F328" s="166">
        <f>AI328-SUM(E328)</f>
        <v>8.75</v>
      </c>
      <c r="G328" s="248">
        <v>62.241</v>
      </c>
      <c r="H328" s="166">
        <f>AJ328-SUM(G328)</f>
        <v>12.128</v>
      </c>
      <c r="I328" s="248">
        <v>3.7890000000000001</v>
      </c>
      <c r="J328" s="166">
        <f>AK328-SUM(I328)</f>
        <v>17.811999999999998</v>
      </c>
      <c r="K328" s="248">
        <v>-34.771999999999998</v>
      </c>
      <c r="L328" s="166">
        <f>AL328-SUM(K328)</f>
        <v>64.325000000000003</v>
      </c>
      <c r="M328" s="248">
        <v>71.001000000000005</v>
      </c>
      <c r="N328" s="166">
        <f>AM328-SUM(M328)</f>
        <v>73.377999999999986</v>
      </c>
      <c r="O328" s="249">
        <v>14.275</v>
      </c>
      <c r="P328" s="164">
        <f>P439-O439</f>
        <v>-43.543970743655109</v>
      </c>
      <c r="Q328" s="164">
        <f>Q439-AN439</f>
        <v>57.634480642508606</v>
      </c>
      <c r="R328" s="164">
        <f>R439-Q439</f>
        <v>-26.103817287976824</v>
      </c>
      <c r="S328" s="164"/>
      <c r="T328" s="164"/>
      <c r="U328" s="164"/>
      <c r="V328" s="164"/>
      <c r="W328" s="164"/>
      <c r="X328" s="164"/>
      <c r="Y328" s="164"/>
      <c r="Z328" s="250"/>
      <c r="AA328" s="250"/>
      <c r="AB328" s="250"/>
      <c r="AC328" s="250"/>
      <c r="AD328" s="251">
        <v>9.6829999999999998</v>
      </c>
      <c r="AE328" s="251">
        <v>21.352</v>
      </c>
      <c r="AF328" s="251">
        <v>33.563000000000002</v>
      </c>
      <c r="AG328" s="251">
        <v>7.4740000000000002</v>
      </c>
      <c r="AH328" s="251">
        <v>39.646999999999998</v>
      </c>
      <c r="AI328" s="251">
        <v>30.09</v>
      </c>
      <c r="AJ328" s="251">
        <v>74.369</v>
      </c>
      <c r="AK328" s="251">
        <v>21.600999999999999</v>
      </c>
      <c r="AL328" s="251">
        <v>29.553000000000001</v>
      </c>
      <c r="AM328" s="252">
        <v>144.37899999999999</v>
      </c>
      <c r="AN328" s="304">
        <f>SUM(O328,P328)</f>
        <v>-29.26897074365511</v>
      </c>
      <c r="AO328" s="250">
        <f>SUM(Q328,R328)</f>
        <v>31.530663354531782</v>
      </c>
      <c r="AP328" s="250">
        <f>AP439-AO439</f>
        <v>63.87790389163149</v>
      </c>
      <c r="AQ328" s="250">
        <f>AQ439-AP439</f>
        <v>48.973059650250832</v>
      </c>
      <c r="AR328" s="250">
        <f>AR439-AQ439</f>
        <v>53.870365615276</v>
      </c>
      <c r="AS328" s="166"/>
    </row>
    <row r="329" spans="1:45" s="262" customFormat="1" x14ac:dyDescent="0.35">
      <c r="A329" s="253" t="s">
        <v>855</v>
      </c>
      <c r="B329" s="355"/>
      <c r="C329" s="256">
        <f t="shared" ref="C329:R329" si="276">SUM(C325:C328)</f>
        <v>20.12</v>
      </c>
      <c r="D329" s="256">
        <f t="shared" si="276"/>
        <v>20.850999999999999</v>
      </c>
      <c r="E329" s="256">
        <f t="shared" si="276"/>
        <v>20.591999999999999</v>
      </c>
      <c r="F329" s="256">
        <f t="shared" si="276"/>
        <v>36.459000000000017</v>
      </c>
      <c r="G329" s="256">
        <f t="shared" si="276"/>
        <v>28.463000000000008</v>
      </c>
      <c r="H329" s="256">
        <f t="shared" si="276"/>
        <v>36.196000000000012</v>
      </c>
      <c r="I329" s="256">
        <f t="shared" si="276"/>
        <v>24.962000000000003</v>
      </c>
      <c r="J329" s="256">
        <f t="shared" si="276"/>
        <v>39.207999999999998</v>
      </c>
      <c r="K329" s="256">
        <f t="shared" si="276"/>
        <v>44.075999999999986</v>
      </c>
      <c r="L329" s="256">
        <f t="shared" si="276"/>
        <v>47.175999999999988</v>
      </c>
      <c r="M329" s="256">
        <f t="shared" si="276"/>
        <v>46.168000000000006</v>
      </c>
      <c r="N329" s="256">
        <f t="shared" si="276"/>
        <v>37.476000000000028</v>
      </c>
      <c r="O329" s="257">
        <f t="shared" si="276"/>
        <v>61.117999999999995</v>
      </c>
      <c r="P329" s="255">
        <f t="shared" si="276"/>
        <v>32.824571751425793</v>
      </c>
      <c r="Q329" s="255">
        <f t="shared" si="276"/>
        <v>42.422945013593349</v>
      </c>
      <c r="R329" s="255">
        <f t="shared" si="276"/>
        <v>30.768928493006882</v>
      </c>
      <c r="S329" s="255"/>
      <c r="T329" s="255"/>
      <c r="U329" s="255"/>
      <c r="V329" s="255"/>
      <c r="W329" s="255"/>
      <c r="X329" s="255"/>
      <c r="Y329" s="255"/>
      <c r="Z329" s="258"/>
      <c r="AA329" s="258"/>
      <c r="AB329" s="258"/>
      <c r="AC329" s="258"/>
      <c r="AD329" s="258">
        <f t="shared" ref="AD329:AR329" si="277">SUM(AD325:AD328)</f>
        <v>17.656999999999996</v>
      </c>
      <c r="AE329" s="259">
        <f t="shared" si="277"/>
        <v>35.672999999999995</v>
      </c>
      <c r="AF329" s="259">
        <f t="shared" si="277"/>
        <v>47.411000000000001</v>
      </c>
      <c r="AG329" s="259">
        <f t="shared" si="277"/>
        <v>29.924999999999997</v>
      </c>
      <c r="AH329" s="259">
        <f t="shared" si="277"/>
        <v>40.970999999999997</v>
      </c>
      <c r="AI329" s="259">
        <f t="shared" si="277"/>
        <v>57.051000000000016</v>
      </c>
      <c r="AJ329" s="259">
        <f t="shared" si="277"/>
        <v>64.65900000000002</v>
      </c>
      <c r="AK329" s="259">
        <f t="shared" si="277"/>
        <v>64.17</v>
      </c>
      <c r="AL329" s="259">
        <f t="shared" si="277"/>
        <v>91.251999999999981</v>
      </c>
      <c r="AM329" s="260">
        <f t="shared" si="277"/>
        <v>83.644000000000005</v>
      </c>
      <c r="AN329" s="259">
        <f t="shared" si="277"/>
        <v>93.942571751425788</v>
      </c>
      <c r="AO329" s="258">
        <f t="shared" si="277"/>
        <v>73.191873506600245</v>
      </c>
      <c r="AP329" s="258">
        <f t="shared" si="277"/>
        <v>70.195383951848171</v>
      </c>
      <c r="AQ329" s="258">
        <f t="shared" si="277"/>
        <v>83.531549820042457</v>
      </c>
      <c r="AR329" s="258">
        <f t="shared" si="277"/>
        <v>91.594622486998958</v>
      </c>
      <c r="AS329" s="261"/>
    </row>
    <row r="330" spans="1:45" s="262" customFormat="1" x14ac:dyDescent="0.35">
      <c r="A330" s="305"/>
      <c r="B330" s="368"/>
      <c r="C330" s="307"/>
      <c r="D330" s="307"/>
      <c r="E330" s="307"/>
      <c r="F330" s="307"/>
      <c r="G330" s="307"/>
      <c r="H330" s="307"/>
      <c r="I330" s="307"/>
      <c r="J330" s="307"/>
      <c r="K330" s="307"/>
      <c r="L330" s="307"/>
      <c r="M330" s="307"/>
      <c r="N330" s="307"/>
      <c r="O330" s="308"/>
      <c r="P330" s="307"/>
      <c r="Q330" s="307"/>
      <c r="R330" s="307"/>
      <c r="S330" s="307"/>
      <c r="T330" s="307"/>
      <c r="U330" s="307"/>
      <c r="V330" s="307"/>
      <c r="W330" s="307"/>
      <c r="X330" s="307"/>
      <c r="Y330" s="307"/>
      <c r="Z330" s="309"/>
      <c r="AA330" s="309"/>
      <c r="AB330" s="309"/>
      <c r="AC330" s="309"/>
      <c r="AD330" s="309"/>
      <c r="AE330" s="309"/>
      <c r="AF330" s="309"/>
      <c r="AG330" s="309"/>
      <c r="AH330" s="309"/>
      <c r="AI330" s="309"/>
      <c r="AJ330" s="309"/>
      <c r="AK330" s="309"/>
      <c r="AL330" s="309"/>
      <c r="AM330" s="310"/>
      <c r="AN330" s="250"/>
      <c r="AO330" s="250"/>
      <c r="AP330" s="250"/>
      <c r="AQ330" s="250"/>
      <c r="AR330" s="250"/>
      <c r="AS330" s="261"/>
    </row>
    <row r="331" spans="1:45" s="262" customFormat="1" x14ac:dyDescent="0.35">
      <c r="A331" s="393" t="s">
        <v>347</v>
      </c>
      <c r="B331" s="368"/>
      <c r="C331" s="307"/>
      <c r="D331" s="307"/>
      <c r="E331" s="307"/>
      <c r="F331" s="307"/>
      <c r="G331" s="307"/>
      <c r="H331" s="307"/>
      <c r="I331" s="307"/>
      <c r="J331" s="307"/>
      <c r="K331" s="307"/>
      <c r="L331" s="307"/>
      <c r="M331" s="307"/>
      <c r="N331" s="307"/>
      <c r="O331" s="308"/>
      <c r="P331" s="307"/>
      <c r="Q331" s="307"/>
      <c r="R331" s="307"/>
      <c r="S331" s="307"/>
      <c r="T331" s="307"/>
      <c r="U331" s="307"/>
      <c r="V331" s="307"/>
      <c r="W331" s="307"/>
      <c r="X331" s="307"/>
      <c r="Y331" s="307"/>
      <c r="Z331" s="309"/>
      <c r="AA331" s="309"/>
      <c r="AB331" s="309"/>
      <c r="AC331" s="309"/>
      <c r="AD331" s="309"/>
      <c r="AE331" s="309"/>
      <c r="AF331" s="309"/>
      <c r="AG331" s="309"/>
      <c r="AH331" s="309"/>
      <c r="AI331" s="309"/>
      <c r="AJ331" s="309"/>
      <c r="AK331" s="309"/>
      <c r="AL331" s="309"/>
      <c r="AM331" s="310"/>
      <c r="AN331" s="250"/>
      <c r="AO331" s="250"/>
      <c r="AP331" s="250"/>
      <c r="AQ331" s="250"/>
      <c r="AR331" s="250"/>
      <c r="AS331" s="261"/>
    </row>
    <row r="332" spans="1:45" s="167" customFormat="1" x14ac:dyDescent="0.35">
      <c r="A332" s="303" t="s">
        <v>268</v>
      </c>
      <c r="B332" s="315"/>
      <c r="C332" s="248">
        <v>8.7999999999999995E-2</v>
      </c>
      <c r="D332" s="166">
        <f>AH332-SUM(C332)</f>
        <v>5.3999999999999992E-2</v>
      </c>
      <c r="E332" s="248">
        <v>3.7999999999999999E-2</v>
      </c>
      <c r="F332" s="166">
        <f>AI332-SUM(E332)</f>
        <v>7.9000000000000015E-2</v>
      </c>
      <c r="G332" s="248">
        <v>0.11</v>
      </c>
      <c r="H332" s="166">
        <f>AJ332-SUM(G332)</f>
        <v>0.22300000000000003</v>
      </c>
      <c r="I332" s="248">
        <v>0.154</v>
      </c>
      <c r="J332" s="166">
        <f>AK332-SUM(I332)</f>
        <v>4.6000000000000013E-2</v>
      </c>
      <c r="K332" s="248">
        <v>2.4E-2</v>
      </c>
      <c r="L332" s="166">
        <f>AL332-SUM(K332)</f>
        <v>4.0000000000000001E-3</v>
      </c>
      <c r="M332" s="248">
        <v>6.0000000000000001E-3</v>
      </c>
      <c r="N332" s="166">
        <f>AM332-SUM(M332)</f>
        <v>0.246</v>
      </c>
      <c r="O332" s="249">
        <v>0.151</v>
      </c>
      <c r="P332" s="164">
        <f>-P277</f>
        <v>0.14537820821917807</v>
      </c>
      <c r="Q332" s="164" t="e">
        <f>-Q277</f>
        <v>#REF!</v>
      </c>
      <c r="R332" s="164" t="e">
        <f>-R277</f>
        <v>#REF!</v>
      </c>
      <c r="S332" s="164"/>
      <c r="T332" s="164"/>
      <c r="U332" s="164"/>
      <c r="V332" s="164"/>
      <c r="W332" s="164"/>
      <c r="X332" s="164"/>
      <c r="Y332" s="164"/>
      <c r="Z332" s="250"/>
      <c r="AA332" s="250"/>
      <c r="AB332" s="250"/>
      <c r="AC332" s="250"/>
      <c r="AD332" s="251">
        <v>8.1000000000000003E-2</v>
      </c>
      <c r="AE332" s="251">
        <v>0.10199999999999999</v>
      </c>
      <c r="AF332" s="251">
        <v>0.19500000000000001</v>
      </c>
      <c r="AG332" s="251">
        <v>0.21299999999999999</v>
      </c>
      <c r="AH332" s="251">
        <v>0.14199999999999999</v>
      </c>
      <c r="AI332" s="251">
        <v>0.11700000000000001</v>
      </c>
      <c r="AJ332" s="251">
        <v>0.33300000000000002</v>
      </c>
      <c r="AK332" s="251">
        <v>0.2</v>
      </c>
      <c r="AL332" s="251">
        <v>2.8000000000000001E-2</v>
      </c>
      <c r="AM332" s="252">
        <v>0.252</v>
      </c>
      <c r="AN332" s="304">
        <f>SUM(O332,P332)</f>
        <v>0.29637820821917804</v>
      </c>
      <c r="AO332" s="250" t="e">
        <f>SUM(Q332,R332)</f>
        <v>#REF!</v>
      </c>
      <c r="AP332" s="250" t="e">
        <f>-AP277</f>
        <v>#REF!</v>
      </c>
      <c r="AQ332" s="250" t="e">
        <f>-AQ277</f>
        <v>#REF!</v>
      </c>
      <c r="AR332" s="250" t="e">
        <f>-AR277</f>
        <v>#REF!</v>
      </c>
      <c r="AS332" s="166"/>
    </row>
    <row r="333" spans="1:45" s="167" customFormat="1" x14ac:dyDescent="0.35">
      <c r="A333" s="303" t="s">
        <v>856</v>
      </c>
      <c r="B333" s="315"/>
      <c r="C333" s="248">
        <v>-0.65700000000000003</v>
      </c>
      <c r="D333" s="166">
        <f>AH333-SUM(C333)</f>
        <v>-0.28799999999999992</v>
      </c>
      <c r="E333" s="248">
        <v>-0.55300000000000005</v>
      </c>
      <c r="F333" s="166">
        <f>AI333-SUM(E333)</f>
        <v>-0.41199999999999992</v>
      </c>
      <c r="G333" s="248">
        <v>-1.175</v>
      </c>
      <c r="H333" s="166">
        <f>AJ333-SUM(G333)</f>
        <v>-0.9930000000000001</v>
      </c>
      <c r="I333" s="248">
        <v>-1.484</v>
      </c>
      <c r="J333" s="166">
        <f>AK333-SUM(I333)</f>
        <v>-6.18</v>
      </c>
      <c r="K333" s="248">
        <v>-2.06</v>
      </c>
      <c r="L333" s="166">
        <f>AL333-SUM(K333)</f>
        <v>-0.20500000000000007</v>
      </c>
      <c r="M333" s="248">
        <v>-1.242</v>
      </c>
      <c r="N333" s="166">
        <f>AM333-SUM(M333)</f>
        <v>-0.64800000000000013</v>
      </c>
      <c r="O333" s="249">
        <v>-1.052</v>
      </c>
      <c r="P333" s="164">
        <f>-P371</f>
        <v>-1.7100000000000002</v>
      </c>
      <c r="Q333" s="164">
        <f>-Q371</f>
        <v>-1.7100000000000002</v>
      </c>
      <c r="R333" s="164">
        <f>-R371</f>
        <v>-1.7100000000000002</v>
      </c>
      <c r="S333" s="164"/>
      <c r="T333" s="164"/>
      <c r="U333" s="164"/>
      <c r="V333" s="164"/>
      <c r="W333" s="164"/>
      <c r="X333" s="164"/>
      <c r="Y333" s="164"/>
      <c r="Z333" s="250"/>
      <c r="AA333" s="250"/>
      <c r="AB333" s="250"/>
      <c r="AC333" s="250"/>
      <c r="AD333" s="251">
        <v>-2.722</v>
      </c>
      <c r="AE333" s="251">
        <v>-1.8220000000000001</v>
      </c>
      <c r="AF333" s="251">
        <v>-2.2170000000000001</v>
      </c>
      <c r="AG333" s="251">
        <v>-1.19</v>
      </c>
      <c r="AH333" s="251">
        <v>-0.94499999999999995</v>
      </c>
      <c r="AI333" s="251">
        <v>-0.96499999999999997</v>
      </c>
      <c r="AJ333" s="251">
        <v>-2.1680000000000001</v>
      </c>
      <c r="AK333" s="251">
        <v>-7.6639999999999997</v>
      </c>
      <c r="AL333" s="251">
        <v>-2.2650000000000001</v>
      </c>
      <c r="AM333" s="252">
        <v>-1.8900000000000001</v>
      </c>
      <c r="AN333" s="304">
        <f>SUM(O333,P333)</f>
        <v>-2.7620000000000005</v>
      </c>
      <c r="AO333" s="250">
        <f>SUM(Q333,R333)</f>
        <v>-3.4200000000000004</v>
      </c>
      <c r="AP333" s="250">
        <f>-AP371</f>
        <v>-3.4200000000000004</v>
      </c>
      <c r="AQ333" s="250">
        <f>-AQ371</f>
        <v>-3.4200000000000004</v>
      </c>
      <c r="AR333" s="250">
        <f>-AR371</f>
        <v>-3.4200000000000004</v>
      </c>
      <c r="AS333" s="166"/>
    </row>
    <row r="334" spans="1:45" s="167" customFormat="1" x14ac:dyDescent="0.35">
      <c r="A334" s="303" t="s">
        <v>349</v>
      </c>
      <c r="B334" s="315"/>
      <c r="C334" s="248">
        <v>-0.443</v>
      </c>
      <c r="D334" s="166">
        <f>AH334-SUM(C334)</f>
        <v>-7.3000000000000009E-2</v>
      </c>
      <c r="E334" s="248">
        <v>-3.6999999999999998E-2</v>
      </c>
      <c r="F334" s="166">
        <f>AI334-SUM(E334)</f>
        <v>-8.199999999999999E-2</v>
      </c>
      <c r="G334" s="248">
        <v>-0.14499999999999999</v>
      </c>
      <c r="H334" s="166">
        <f>AJ334-SUM(G334)</f>
        <v>-1.6000000000000014E-2</v>
      </c>
      <c r="I334" s="248">
        <v>-0.53</v>
      </c>
      <c r="J334" s="166">
        <f>AK334-SUM(I334)</f>
        <v>-0.7629999999999999</v>
      </c>
      <c r="K334" s="248">
        <v>-1.569</v>
      </c>
      <c r="L334" s="166">
        <f>AL334-SUM(K334)</f>
        <v>-2.63</v>
      </c>
      <c r="M334" s="248">
        <v>-1.5720000000000001</v>
      </c>
      <c r="N334" s="166">
        <f>AM334-SUM(M334)</f>
        <v>-1.762</v>
      </c>
      <c r="O334" s="249">
        <v>-0.36099999999999999</v>
      </c>
      <c r="P334" s="164">
        <f>-P377</f>
        <v>-1.29</v>
      </c>
      <c r="Q334" s="164">
        <f>-Q377</f>
        <v>-1.29</v>
      </c>
      <c r="R334" s="164">
        <f>-R377</f>
        <v>-1.29</v>
      </c>
      <c r="S334" s="164"/>
      <c r="T334" s="164"/>
      <c r="U334" s="164"/>
      <c r="V334" s="164"/>
      <c r="W334" s="164"/>
      <c r="X334" s="164"/>
      <c r="Y334" s="164"/>
      <c r="Z334" s="250"/>
      <c r="AA334" s="250"/>
      <c r="AB334" s="250"/>
      <c r="AC334" s="250"/>
      <c r="AD334" s="251">
        <v>-0.375</v>
      </c>
      <c r="AE334" s="251">
        <v>-0.33</v>
      </c>
      <c r="AF334" s="251">
        <v>-0.28799999999999998</v>
      </c>
      <c r="AG334" s="251">
        <v>-0.53600000000000003</v>
      </c>
      <c r="AH334" s="251">
        <v>-0.51600000000000001</v>
      </c>
      <c r="AI334" s="251">
        <v>-0.11899999999999999</v>
      </c>
      <c r="AJ334" s="251">
        <v>-0.161</v>
      </c>
      <c r="AK334" s="251">
        <v>-1.2929999999999999</v>
      </c>
      <c r="AL334" s="251">
        <v>-4.1989999999999998</v>
      </c>
      <c r="AM334" s="252">
        <v>-3.3340000000000001</v>
      </c>
      <c r="AN334" s="304">
        <f>SUM(O334,P334)</f>
        <v>-1.651</v>
      </c>
      <c r="AO334" s="250">
        <f>SUM(Q334,R334)</f>
        <v>-2.58</v>
      </c>
      <c r="AP334" s="250">
        <f>-AP377</f>
        <v>-2.58</v>
      </c>
      <c r="AQ334" s="250">
        <f>-AQ377</f>
        <v>-2.58</v>
      </c>
      <c r="AR334" s="250">
        <f>-AR377</f>
        <v>-2.58</v>
      </c>
      <c r="AS334" s="166"/>
    </row>
    <row r="335" spans="1:45" s="167" customFormat="1" x14ac:dyDescent="0.35">
      <c r="A335" s="303" t="s">
        <v>857</v>
      </c>
      <c r="B335" s="315"/>
      <c r="C335" s="164"/>
      <c r="D335" s="166">
        <f>AH335-SUM(C335)</f>
        <v>0</v>
      </c>
      <c r="E335" s="164"/>
      <c r="F335" s="166">
        <f>AI335-SUM(E335)</f>
        <v>0</v>
      </c>
      <c r="G335" s="164"/>
      <c r="H335" s="166">
        <f>AJ335-SUM(G335)</f>
        <v>0</v>
      </c>
      <c r="I335" s="164"/>
      <c r="J335" s="166">
        <f>AK335-SUM(I335)</f>
        <v>0</v>
      </c>
      <c r="K335" s="164"/>
      <c r="L335" s="166">
        <f>AL335-SUM(K335)</f>
        <v>0</v>
      </c>
      <c r="M335" s="164"/>
      <c r="N335" s="166">
        <f>AM335-SUM(M335)</f>
        <v>0</v>
      </c>
      <c r="O335" s="165"/>
      <c r="P335" s="164">
        <f t="shared" ref="P335:R336" si="278">P230</f>
        <v>0</v>
      </c>
      <c r="Q335" s="164">
        <f t="shared" si="278"/>
        <v>0</v>
      </c>
      <c r="R335" s="164">
        <f t="shared" si="278"/>
        <v>0</v>
      </c>
      <c r="S335" s="164"/>
      <c r="T335" s="164"/>
      <c r="U335" s="164"/>
      <c r="V335" s="164"/>
      <c r="W335" s="164"/>
      <c r="X335" s="164"/>
      <c r="Y335" s="164"/>
      <c r="Z335" s="250"/>
      <c r="AA335" s="250"/>
      <c r="AB335" s="250"/>
      <c r="AC335" s="250"/>
      <c r="AD335" s="250"/>
      <c r="AE335" s="250"/>
      <c r="AF335" s="250"/>
      <c r="AG335" s="250"/>
      <c r="AH335" s="250"/>
      <c r="AI335" s="250"/>
      <c r="AJ335" s="250"/>
      <c r="AK335" s="250"/>
      <c r="AL335" s="250"/>
      <c r="AM335" s="264"/>
      <c r="AN335" s="304">
        <f>SUM(O335,P335)</f>
        <v>0</v>
      </c>
      <c r="AO335" s="250">
        <f>SUM(Q335,R335)</f>
        <v>0</v>
      </c>
      <c r="AP335" s="250">
        <f t="shared" ref="AP335:AR336" si="279">AP230</f>
        <v>0</v>
      </c>
      <c r="AQ335" s="250">
        <f t="shared" si="279"/>
        <v>0</v>
      </c>
      <c r="AR335" s="250">
        <f t="shared" si="279"/>
        <v>0</v>
      </c>
      <c r="AS335" s="166"/>
    </row>
    <row r="336" spans="1:45" s="167" customFormat="1" x14ac:dyDescent="0.35">
      <c r="A336" s="303" t="s">
        <v>351</v>
      </c>
      <c r="B336" s="315"/>
      <c r="C336" s="248">
        <v>7.0000000000000001E-3</v>
      </c>
      <c r="D336" s="166">
        <f>AH336-SUM(C336)</f>
        <v>0</v>
      </c>
      <c r="E336" s="164"/>
      <c r="F336" s="166">
        <f>AI336-SUM(E336)</f>
        <v>0</v>
      </c>
      <c r="G336" s="164"/>
      <c r="H336" s="166">
        <f>AJ336-SUM(G336)</f>
        <v>0</v>
      </c>
      <c r="I336" s="164"/>
      <c r="J336" s="166">
        <f>AK336-SUM(I336)</f>
        <v>0</v>
      </c>
      <c r="K336" s="164"/>
      <c r="L336" s="166">
        <f>AL336-SUM(K336)</f>
        <v>0</v>
      </c>
      <c r="M336" s="164"/>
      <c r="N336" s="166">
        <f>AM336-SUM(M336)</f>
        <v>0</v>
      </c>
      <c r="O336" s="165"/>
      <c r="P336" s="164">
        <f t="shared" si="278"/>
        <v>0</v>
      </c>
      <c r="Q336" s="164">
        <f t="shared" si="278"/>
        <v>0</v>
      </c>
      <c r="R336" s="164">
        <f t="shared" si="278"/>
        <v>0</v>
      </c>
      <c r="S336" s="164"/>
      <c r="T336" s="164"/>
      <c r="U336" s="164"/>
      <c r="V336" s="164"/>
      <c r="W336" s="164"/>
      <c r="X336" s="164"/>
      <c r="Y336" s="164"/>
      <c r="Z336" s="250"/>
      <c r="AA336" s="250"/>
      <c r="AB336" s="250"/>
      <c r="AC336" s="250"/>
      <c r="AD336" s="251">
        <v>0</v>
      </c>
      <c r="AE336" s="251">
        <v>0</v>
      </c>
      <c r="AF336" s="251">
        <v>4.0000000000000001E-3</v>
      </c>
      <c r="AG336" s="251">
        <v>1.0999999999999999E-2</v>
      </c>
      <c r="AH336" s="251">
        <v>7.0000000000000001E-3</v>
      </c>
      <c r="AI336" s="251">
        <v>0</v>
      </c>
      <c r="AJ336" s="250"/>
      <c r="AK336" s="250"/>
      <c r="AL336" s="250"/>
      <c r="AM336" s="264"/>
      <c r="AN336" s="304">
        <f>SUM(O336,P336)</f>
        <v>0</v>
      </c>
      <c r="AO336" s="250">
        <f>SUM(Q336,R336)</f>
        <v>0</v>
      </c>
      <c r="AP336" s="250">
        <f t="shared" si="279"/>
        <v>0</v>
      </c>
      <c r="AQ336" s="250">
        <f t="shared" si="279"/>
        <v>0</v>
      </c>
      <c r="AR336" s="250">
        <f t="shared" si="279"/>
        <v>0</v>
      </c>
      <c r="AS336" s="166"/>
    </row>
    <row r="337" spans="1:45" s="262" customFormat="1" x14ac:dyDescent="0.35">
      <c r="A337" s="253" t="s">
        <v>858</v>
      </c>
      <c r="B337" s="355"/>
      <c r="C337" s="256">
        <f t="shared" ref="C337:R337" si="280">SUM(C332:C336)</f>
        <v>-1.0050000000000001</v>
      </c>
      <c r="D337" s="256">
        <f t="shared" si="280"/>
        <v>-0.30699999999999994</v>
      </c>
      <c r="E337" s="256">
        <f t="shared" si="280"/>
        <v>-0.55200000000000005</v>
      </c>
      <c r="F337" s="256">
        <f t="shared" si="280"/>
        <v>-0.41499999999999992</v>
      </c>
      <c r="G337" s="256">
        <f t="shared" si="280"/>
        <v>-1.21</v>
      </c>
      <c r="H337" s="256">
        <f t="shared" si="280"/>
        <v>-0.78600000000000003</v>
      </c>
      <c r="I337" s="256">
        <f t="shared" si="280"/>
        <v>-1.86</v>
      </c>
      <c r="J337" s="256">
        <f t="shared" si="280"/>
        <v>-6.8969999999999994</v>
      </c>
      <c r="K337" s="256">
        <f t="shared" si="280"/>
        <v>-3.605</v>
      </c>
      <c r="L337" s="256">
        <f t="shared" si="280"/>
        <v>-2.831</v>
      </c>
      <c r="M337" s="256">
        <f t="shared" si="280"/>
        <v>-2.8079999999999998</v>
      </c>
      <c r="N337" s="256">
        <f t="shared" si="280"/>
        <v>-2.1640000000000001</v>
      </c>
      <c r="O337" s="257">
        <f t="shared" si="280"/>
        <v>-1.262</v>
      </c>
      <c r="P337" s="255">
        <f t="shared" si="280"/>
        <v>-2.8546217917808221</v>
      </c>
      <c r="Q337" s="255" t="e">
        <f t="shared" si="280"/>
        <v>#REF!</v>
      </c>
      <c r="R337" s="255" t="e">
        <f t="shared" si="280"/>
        <v>#REF!</v>
      </c>
      <c r="S337" s="255"/>
      <c r="T337" s="255"/>
      <c r="U337" s="255"/>
      <c r="V337" s="255"/>
      <c r="W337" s="255"/>
      <c r="X337" s="255"/>
      <c r="Y337" s="255"/>
      <c r="Z337" s="258"/>
      <c r="AA337" s="258"/>
      <c r="AB337" s="258"/>
      <c r="AC337" s="258"/>
      <c r="AD337" s="258">
        <f t="shared" ref="AD337:AR337" si="281">SUM(AD332:AD336)</f>
        <v>-3.016</v>
      </c>
      <c r="AE337" s="259">
        <f t="shared" si="281"/>
        <v>-2.0499999999999998</v>
      </c>
      <c r="AF337" s="259">
        <f t="shared" si="281"/>
        <v>-2.306</v>
      </c>
      <c r="AG337" s="259">
        <f t="shared" si="281"/>
        <v>-1.502</v>
      </c>
      <c r="AH337" s="259">
        <f t="shared" si="281"/>
        <v>-1.3120000000000001</v>
      </c>
      <c r="AI337" s="259">
        <f t="shared" si="281"/>
        <v>-0.96699999999999997</v>
      </c>
      <c r="AJ337" s="259">
        <f t="shared" si="281"/>
        <v>-1.9960000000000002</v>
      </c>
      <c r="AK337" s="259">
        <f t="shared" si="281"/>
        <v>-8.7569999999999997</v>
      </c>
      <c r="AL337" s="259">
        <f t="shared" si="281"/>
        <v>-6.4359999999999999</v>
      </c>
      <c r="AM337" s="260">
        <f t="shared" si="281"/>
        <v>-4.9720000000000004</v>
      </c>
      <c r="AN337" s="259">
        <f t="shared" si="281"/>
        <v>-4.1166217917808225</v>
      </c>
      <c r="AO337" s="258" t="e">
        <f t="shared" si="281"/>
        <v>#REF!</v>
      </c>
      <c r="AP337" s="258" t="e">
        <f t="shared" si="281"/>
        <v>#REF!</v>
      </c>
      <c r="AQ337" s="258" t="e">
        <f t="shared" si="281"/>
        <v>#REF!</v>
      </c>
      <c r="AR337" s="258" t="e">
        <f t="shared" si="281"/>
        <v>#REF!</v>
      </c>
      <c r="AS337" s="261"/>
    </row>
    <row r="338" spans="1:45" s="262" customFormat="1" x14ac:dyDescent="0.35">
      <c r="A338" s="305"/>
      <c r="B338" s="368"/>
      <c r="C338" s="307"/>
      <c r="D338" s="307"/>
      <c r="E338" s="307"/>
      <c r="F338" s="307"/>
      <c r="G338" s="307"/>
      <c r="H338" s="307"/>
      <c r="I338" s="307"/>
      <c r="J338" s="307"/>
      <c r="K338" s="307"/>
      <c r="L338" s="307"/>
      <c r="M338" s="307"/>
      <c r="N338" s="307"/>
      <c r="O338" s="308"/>
      <c r="P338" s="307"/>
      <c r="Q338" s="307"/>
      <c r="R338" s="307"/>
      <c r="S338" s="307"/>
      <c r="T338" s="307"/>
      <c r="U338" s="307"/>
      <c r="V338" s="307"/>
      <c r="W338" s="307"/>
      <c r="X338" s="307"/>
      <c r="Y338" s="307"/>
      <c r="Z338" s="309"/>
      <c r="AA338" s="309"/>
      <c r="AB338" s="309"/>
      <c r="AC338" s="309"/>
      <c r="AD338" s="309"/>
      <c r="AE338" s="309"/>
      <c r="AF338" s="309"/>
      <c r="AG338" s="309"/>
      <c r="AH338" s="309"/>
      <c r="AI338" s="309"/>
      <c r="AJ338" s="309"/>
      <c r="AK338" s="309"/>
      <c r="AL338" s="309"/>
      <c r="AM338" s="310"/>
      <c r="AN338" s="250"/>
      <c r="AO338" s="250"/>
      <c r="AP338" s="250"/>
      <c r="AQ338" s="250"/>
      <c r="AR338" s="250"/>
      <c r="AS338" s="261"/>
    </row>
    <row r="339" spans="1:45" s="262" customFormat="1" x14ac:dyDescent="0.35">
      <c r="A339" s="393" t="s">
        <v>352</v>
      </c>
      <c r="B339" s="368"/>
      <c r="C339" s="307"/>
      <c r="D339" s="307"/>
      <c r="E339" s="307"/>
      <c r="F339" s="307"/>
      <c r="G339" s="307"/>
      <c r="H339" s="307"/>
      <c r="I339" s="307"/>
      <c r="J339" s="307"/>
      <c r="K339" s="307"/>
      <c r="L339" s="307"/>
      <c r="M339" s="307"/>
      <c r="N339" s="307"/>
      <c r="O339" s="308"/>
      <c r="P339" s="307"/>
      <c r="Q339" s="307"/>
      <c r="R339" s="307"/>
      <c r="S339" s="307"/>
      <c r="T339" s="307"/>
      <c r="U339" s="307"/>
      <c r="V339" s="307"/>
      <c r="W339" s="307"/>
      <c r="X339" s="307"/>
      <c r="Y339" s="307"/>
      <c r="Z339" s="309"/>
      <c r="AA339" s="309"/>
      <c r="AB339" s="309"/>
      <c r="AC339" s="309"/>
      <c r="AD339" s="309"/>
      <c r="AE339" s="309"/>
      <c r="AF339" s="309"/>
      <c r="AG339" s="309"/>
      <c r="AH339" s="309"/>
      <c r="AI339" s="309"/>
      <c r="AJ339" s="309"/>
      <c r="AK339" s="309"/>
      <c r="AL339" s="309"/>
      <c r="AM339" s="310"/>
      <c r="AN339" s="250"/>
      <c r="AO339" s="250"/>
      <c r="AP339" s="250"/>
      <c r="AQ339" s="250"/>
      <c r="AR339" s="250"/>
      <c r="AS339" s="261"/>
    </row>
    <row r="340" spans="1:45" s="167" customFormat="1" x14ac:dyDescent="0.35">
      <c r="A340" s="303" t="s">
        <v>353</v>
      </c>
      <c r="B340" s="315"/>
      <c r="C340" s="248">
        <v>0.21</v>
      </c>
      <c r="D340" s="166">
        <f>AH340-SUM(C340)</f>
        <v>0</v>
      </c>
      <c r="E340" s="248">
        <v>0.315</v>
      </c>
      <c r="F340" s="166">
        <f>AI340-SUM(E340)</f>
        <v>0</v>
      </c>
      <c r="G340" s="248">
        <v>0</v>
      </c>
      <c r="H340" s="166">
        <f>AJ340-SUM(G340)</f>
        <v>0</v>
      </c>
      <c r="I340" s="248">
        <v>0</v>
      </c>
      <c r="J340" s="166">
        <f>AK340-SUM(I340)</f>
        <v>-1E-3</v>
      </c>
      <c r="K340" s="248">
        <v>0</v>
      </c>
      <c r="L340" s="166">
        <f>AL340-SUM(K340)</f>
        <v>0</v>
      </c>
      <c r="M340" s="164"/>
      <c r="N340" s="166">
        <f>AM340-SUM(M340)</f>
        <v>0</v>
      </c>
      <c r="O340" s="165"/>
      <c r="P340" s="164">
        <f>P236</f>
        <v>0</v>
      </c>
      <c r="Q340" s="164">
        <f>Q236</f>
        <v>0</v>
      </c>
      <c r="R340" s="164">
        <f>R236</f>
        <v>0</v>
      </c>
      <c r="S340" s="164"/>
      <c r="T340" s="164"/>
      <c r="U340" s="164"/>
      <c r="V340" s="164"/>
      <c r="W340" s="164"/>
      <c r="X340" s="164"/>
      <c r="Y340" s="164"/>
      <c r="Z340" s="250"/>
      <c r="AA340" s="250"/>
      <c r="AB340" s="250"/>
      <c r="AC340" s="250"/>
      <c r="AD340" s="251">
        <v>0</v>
      </c>
      <c r="AE340" s="251">
        <v>0.17399999999999999</v>
      </c>
      <c r="AF340" s="251">
        <v>0.97699999999999998</v>
      </c>
      <c r="AG340" s="251">
        <v>0.51300000000000001</v>
      </c>
      <c r="AH340" s="251">
        <v>0.21</v>
      </c>
      <c r="AI340" s="251">
        <v>0.315</v>
      </c>
      <c r="AJ340" s="251">
        <v>0</v>
      </c>
      <c r="AK340" s="251">
        <v>-1E-3</v>
      </c>
      <c r="AL340" s="250"/>
      <c r="AM340" s="264"/>
      <c r="AN340" s="304">
        <f t="shared" ref="AN340:AN348" si="282">SUM(O340,P340)</f>
        <v>0</v>
      </c>
      <c r="AO340" s="250">
        <f t="shared" ref="AO340:AO348" si="283">SUM(Q340,R340)</f>
        <v>0</v>
      </c>
      <c r="AP340" s="250">
        <f>AP236</f>
        <v>0</v>
      </c>
      <c r="AQ340" s="250">
        <f>AQ236</f>
        <v>0</v>
      </c>
      <c r="AR340" s="250">
        <f>AR236</f>
        <v>0</v>
      </c>
      <c r="AS340" s="166"/>
    </row>
    <row r="341" spans="1:45" s="167" customFormat="1" x14ac:dyDescent="0.35">
      <c r="A341" s="303" t="s">
        <v>859</v>
      </c>
      <c r="B341" s="315"/>
      <c r="C341" s="164"/>
      <c r="D341" s="166">
        <f>AH341-SUM(C341)</f>
        <v>0</v>
      </c>
      <c r="E341" s="164"/>
      <c r="F341" s="166">
        <f>AI341-SUM(E341)</f>
        <v>0</v>
      </c>
      <c r="G341" s="164"/>
      <c r="H341" s="166">
        <f>AJ341-SUM(G341)</f>
        <v>0</v>
      </c>
      <c r="I341" s="164"/>
      <c r="J341" s="166">
        <f>AK341-SUM(I341)</f>
        <v>0</v>
      </c>
      <c r="K341" s="164"/>
      <c r="L341" s="166">
        <f>AL341-SUM(K341)</f>
        <v>0</v>
      </c>
      <c r="M341" s="164"/>
      <c r="N341" s="166">
        <f>AM341-SUM(M341)</f>
        <v>0</v>
      </c>
      <c r="O341" s="165"/>
      <c r="P341" s="164"/>
      <c r="Q341" s="164"/>
      <c r="R341" s="164"/>
      <c r="S341" s="164"/>
      <c r="T341" s="164"/>
      <c r="U341" s="164"/>
      <c r="V341" s="164"/>
      <c r="W341" s="164"/>
      <c r="X341" s="164"/>
      <c r="Y341" s="164"/>
      <c r="Z341" s="250"/>
      <c r="AA341" s="250"/>
      <c r="AB341" s="250"/>
      <c r="AC341" s="250"/>
      <c r="AD341" s="250"/>
      <c r="AE341" s="250"/>
      <c r="AF341" s="250"/>
      <c r="AG341" s="250"/>
      <c r="AH341" s="250"/>
      <c r="AI341" s="250"/>
      <c r="AJ341" s="250"/>
      <c r="AK341" s="250"/>
      <c r="AL341" s="250"/>
      <c r="AM341" s="264"/>
      <c r="AN341" s="304">
        <f t="shared" si="282"/>
        <v>0</v>
      </c>
      <c r="AO341" s="250">
        <f t="shared" si="283"/>
        <v>0</v>
      </c>
      <c r="AP341" s="250"/>
      <c r="AQ341" s="250"/>
      <c r="AR341" s="250"/>
      <c r="AS341" s="166"/>
    </row>
    <row r="342" spans="1:45" s="167" customFormat="1" x14ac:dyDescent="0.35">
      <c r="A342" s="303" t="s">
        <v>860</v>
      </c>
      <c r="B342" s="315"/>
      <c r="C342" s="164"/>
      <c r="D342" s="166">
        <f>AH342-SUM(C342)</f>
        <v>0</v>
      </c>
      <c r="E342" s="164"/>
      <c r="F342" s="166">
        <f>AI342-SUM(E342)</f>
        <v>0</v>
      </c>
      <c r="G342" s="164"/>
      <c r="H342" s="166">
        <f>AJ342-SUM(G342)</f>
        <v>0</v>
      </c>
      <c r="I342" s="164"/>
      <c r="J342" s="166">
        <f>AK342-SUM(I342)</f>
        <v>0</v>
      </c>
      <c r="K342" s="164"/>
      <c r="L342" s="166">
        <f>AL342-SUM(K342)</f>
        <v>0</v>
      </c>
      <c r="M342" s="164"/>
      <c r="N342" s="166">
        <f>AM342-SUM(M342)</f>
        <v>0</v>
      </c>
      <c r="O342" s="165"/>
      <c r="P342" s="164">
        <f>P235</f>
        <v>0</v>
      </c>
      <c r="Q342" s="164">
        <f>Q235</f>
        <v>0</v>
      </c>
      <c r="R342" s="164">
        <f>R235</f>
        <v>0</v>
      </c>
      <c r="S342" s="164"/>
      <c r="T342" s="164"/>
      <c r="U342" s="164"/>
      <c r="V342" s="164"/>
      <c r="W342" s="164"/>
      <c r="X342" s="164"/>
      <c r="Y342" s="164"/>
      <c r="Z342" s="250"/>
      <c r="AA342" s="250"/>
      <c r="AB342" s="250"/>
      <c r="AC342" s="250"/>
      <c r="AD342" s="250"/>
      <c r="AE342" s="250"/>
      <c r="AF342" s="250"/>
      <c r="AG342" s="250"/>
      <c r="AH342" s="250"/>
      <c r="AI342" s="250"/>
      <c r="AJ342" s="250"/>
      <c r="AK342" s="250"/>
      <c r="AL342" s="250"/>
      <c r="AM342" s="264"/>
      <c r="AN342" s="304">
        <f t="shared" si="282"/>
        <v>0</v>
      </c>
      <c r="AO342" s="250">
        <f t="shared" si="283"/>
        <v>0</v>
      </c>
      <c r="AP342" s="250">
        <f>AP235</f>
        <v>0</v>
      </c>
      <c r="AQ342" s="250">
        <f>AQ235</f>
        <v>0</v>
      </c>
      <c r="AR342" s="250">
        <f>AR235</f>
        <v>0</v>
      </c>
      <c r="AS342" s="166"/>
    </row>
    <row r="343" spans="1:45" s="167" customFormat="1" x14ac:dyDescent="0.35">
      <c r="A343" s="303" t="s">
        <v>354</v>
      </c>
      <c r="B343" s="315"/>
      <c r="C343" s="164"/>
      <c r="D343" s="166">
        <f>AH343-SUM(C343)</f>
        <v>0</v>
      </c>
      <c r="E343" s="164"/>
      <c r="F343" s="166">
        <f>AI343-SUM(E343)</f>
        <v>0</v>
      </c>
      <c r="G343" s="164"/>
      <c r="H343" s="166">
        <f>AJ343-SUM(G343)</f>
        <v>0</v>
      </c>
      <c r="I343" s="164"/>
      <c r="J343" s="166">
        <f>AK343-SUM(I343)</f>
        <v>0</v>
      </c>
      <c r="K343" s="164"/>
      <c r="L343" s="166">
        <f>AL343-SUM(K343)</f>
        <v>0</v>
      </c>
      <c r="M343" s="164"/>
      <c r="N343" s="166">
        <f>AM343-SUM(M343)</f>
        <v>0</v>
      </c>
      <c r="O343" s="165"/>
      <c r="P343" s="164"/>
      <c r="Q343" s="164"/>
      <c r="R343" s="164"/>
      <c r="S343" s="164"/>
      <c r="T343" s="164"/>
      <c r="U343" s="164"/>
      <c r="V343" s="164"/>
      <c r="W343" s="164"/>
      <c r="X343" s="164"/>
      <c r="Y343" s="164"/>
      <c r="Z343" s="250"/>
      <c r="AA343" s="250"/>
      <c r="AB343" s="250"/>
      <c r="AC343" s="250"/>
      <c r="AD343" s="251">
        <v>0</v>
      </c>
      <c r="AE343" s="251">
        <v>0</v>
      </c>
      <c r="AF343" s="251">
        <v>0.67600000000000005</v>
      </c>
      <c r="AG343" s="251">
        <v>1.7729999999999999</v>
      </c>
      <c r="AH343" s="250"/>
      <c r="AI343" s="250"/>
      <c r="AJ343" s="250"/>
      <c r="AK343" s="250"/>
      <c r="AL343" s="250"/>
      <c r="AM343" s="264"/>
      <c r="AN343" s="304">
        <f t="shared" si="282"/>
        <v>0</v>
      </c>
      <c r="AO343" s="250">
        <f t="shared" si="283"/>
        <v>0</v>
      </c>
      <c r="AP343" s="250"/>
      <c r="AQ343" s="250"/>
      <c r="AR343" s="250"/>
      <c r="AS343" s="166"/>
    </row>
    <row r="344" spans="1:45" s="167" customFormat="1" x14ac:dyDescent="0.35">
      <c r="A344" s="303" t="s">
        <v>861</v>
      </c>
      <c r="B344" s="315"/>
      <c r="C344" s="164"/>
      <c r="D344" s="164"/>
      <c r="E344" s="164"/>
      <c r="F344" s="164"/>
      <c r="G344" s="164"/>
      <c r="H344" s="164"/>
      <c r="I344" s="164"/>
      <c r="J344" s="164"/>
      <c r="K344" s="164"/>
      <c r="L344" s="164"/>
      <c r="M344" s="164"/>
      <c r="N344" s="164"/>
      <c r="O344" s="165"/>
      <c r="P344" s="164">
        <f>-P271</f>
        <v>0</v>
      </c>
      <c r="Q344" s="164">
        <f>-Q271</f>
        <v>0</v>
      </c>
      <c r="R344" s="164">
        <f>-R271</f>
        <v>0</v>
      </c>
      <c r="S344" s="164"/>
      <c r="T344" s="164"/>
      <c r="U344" s="164"/>
      <c r="V344" s="164"/>
      <c r="W344" s="164"/>
      <c r="X344" s="164"/>
      <c r="Y344" s="164"/>
      <c r="Z344" s="250"/>
      <c r="AA344" s="250"/>
      <c r="AB344" s="250"/>
      <c r="AC344" s="250"/>
      <c r="AD344" s="250"/>
      <c r="AE344" s="250"/>
      <c r="AF344" s="250"/>
      <c r="AG344" s="250"/>
      <c r="AH344" s="250"/>
      <c r="AI344" s="250"/>
      <c r="AJ344" s="250"/>
      <c r="AK344" s="250"/>
      <c r="AL344" s="250"/>
      <c r="AM344" s="264"/>
      <c r="AN344" s="304">
        <f t="shared" si="282"/>
        <v>0</v>
      </c>
      <c r="AO344" s="250">
        <f t="shared" si="283"/>
        <v>0</v>
      </c>
      <c r="AP344" s="250">
        <f>-AP271</f>
        <v>0</v>
      </c>
      <c r="AQ344" s="250">
        <f>-AQ271</f>
        <v>0</v>
      </c>
      <c r="AR344" s="250">
        <f>-AR271</f>
        <v>0</v>
      </c>
      <c r="AS344" s="166"/>
    </row>
    <row r="345" spans="1:45" s="167" customFormat="1" x14ac:dyDescent="0.35">
      <c r="A345" s="303" t="s">
        <v>355</v>
      </c>
      <c r="B345" s="315"/>
      <c r="C345" s="248">
        <v>-35.173999999999999</v>
      </c>
      <c r="D345" s="166">
        <f>AH345-SUM(C345)</f>
        <v>-5.730000000000004</v>
      </c>
      <c r="E345" s="248">
        <v>-38.79</v>
      </c>
      <c r="F345" s="166">
        <f>AI345-SUM(E345)</f>
        <v>-6.5309999999999988</v>
      </c>
      <c r="G345" s="248">
        <v>-47.31</v>
      </c>
      <c r="H345" s="166">
        <f>AJ345-SUM(G345)</f>
        <v>-8.9209999999999994</v>
      </c>
      <c r="I345" s="248">
        <v>-52.338000000000001</v>
      </c>
      <c r="J345" s="166">
        <f>AK345-SUM(I345)</f>
        <v>0</v>
      </c>
      <c r="K345" s="248">
        <v>-48.081000000000003</v>
      </c>
      <c r="L345" s="166">
        <f>AL345-SUM(K345)</f>
        <v>-12.733999999999995</v>
      </c>
      <c r="M345" s="248">
        <v>-69.468999999999994</v>
      </c>
      <c r="N345" s="166">
        <f>AM345-SUM(M345)</f>
        <v>-14.551000000000002</v>
      </c>
      <c r="O345" s="249">
        <v>-58.22</v>
      </c>
      <c r="P345" s="164" t="e">
        <f>P232</f>
        <v>#REF!</v>
      </c>
      <c r="Q345" s="164" t="e">
        <f>Q232</f>
        <v>#REF!</v>
      </c>
      <c r="R345" s="164" t="e">
        <f>R232</f>
        <v>#REF!</v>
      </c>
      <c r="S345" s="164"/>
      <c r="T345" s="164"/>
      <c r="U345" s="164"/>
      <c r="V345" s="164"/>
      <c r="W345" s="164"/>
      <c r="X345" s="164"/>
      <c r="Y345" s="164"/>
      <c r="Z345" s="250"/>
      <c r="AA345" s="250"/>
      <c r="AB345" s="250"/>
      <c r="AC345" s="250"/>
      <c r="AD345" s="251">
        <v>-17.266999999999999</v>
      </c>
      <c r="AE345" s="251">
        <v>-4.766</v>
      </c>
      <c r="AF345" s="251">
        <v>-7.3109999999999999</v>
      </c>
      <c r="AG345" s="251">
        <v>-43.453000000000003</v>
      </c>
      <c r="AH345" s="251">
        <v>-40.904000000000003</v>
      </c>
      <c r="AI345" s="251">
        <v>-45.320999999999998</v>
      </c>
      <c r="AJ345" s="251">
        <v>-56.231000000000002</v>
      </c>
      <c r="AK345" s="251">
        <v>-52.338000000000001</v>
      </c>
      <c r="AL345" s="251">
        <v>-60.814999999999998</v>
      </c>
      <c r="AM345" s="252">
        <v>-84.02</v>
      </c>
      <c r="AN345" s="304" t="e">
        <f t="shared" si="282"/>
        <v>#REF!</v>
      </c>
      <c r="AO345" s="250" t="e">
        <f t="shared" si="283"/>
        <v>#REF!</v>
      </c>
      <c r="AP345" s="250" t="e">
        <f>AP232</f>
        <v>#REF!</v>
      </c>
      <c r="AQ345" s="250" t="e">
        <f>AQ232</f>
        <v>#REF!</v>
      </c>
      <c r="AR345" s="250" t="e">
        <f>AR232</f>
        <v>#REF!</v>
      </c>
      <c r="AS345" s="166"/>
    </row>
    <row r="346" spans="1:45" s="167" customFormat="1" x14ac:dyDescent="0.35">
      <c r="A346" s="246" t="s">
        <v>862</v>
      </c>
      <c r="B346" s="315"/>
      <c r="C346" s="164"/>
      <c r="D346" s="164">
        <f>AH346-SUM(C346)</f>
        <v>0</v>
      </c>
      <c r="E346" s="164"/>
      <c r="F346" s="164">
        <f>AI346-SUM(E346)</f>
        <v>0</v>
      </c>
      <c r="G346" s="248">
        <v>0</v>
      </c>
      <c r="H346" s="164">
        <f>AJ346-SUM(G346)</f>
        <v>0</v>
      </c>
      <c r="I346" s="248">
        <v>-0.48499999999999999</v>
      </c>
      <c r="J346" s="164">
        <f>AK346-SUM(I346)</f>
        <v>-1.3969999999999998</v>
      </c>
      <c r="K346" s="248">
        <v>-1.1459999999999999</v>
      </c>
      <c r="L346" s="164">
        <f>AL346-SUM(K346)</f>
        <v>-0.97900000000000009</v>
      </c>
      <c r="M346" s="248">
        <v>-1.206</v>
      </c>
      <c r="N346" s="164">
        <f>AM346-SUM(M346)</f>
        <v>-1.1630000000000003</v>
      </c>
      <c r="O346" s="249">
        <v>-0.98299999999999998</v>
      </c>
      <c r="P346" s="164">
        <f>P401</f>
        <v>-0.98573605795116159</v>
      </c>
      <c r="Q346" s="164">
        <f>Q401</f>
        <v>-1.011149587178819</v>
      </c>
      <c r="R346" s="164">
        <f>R401</f>
        <v>-1.0077642223601899</v>
      </c>
      <c r="S346" s="164"/>
      <c r="T346" s="164"/>
      <c r="U346" s="164"/>
      <c r="V346" s="164"/>
      <c r="W346" s="164"/>
      <c r="X346" s="164"/>
      <c r="Y346" s="164"/>
      <c r="Z346" s="250"/>
      <c r="AA346" s="250"/>
      <c r="AB346" s="250"/>
      <c r="AC346" s="250"/>
      <c r="AD346" s="250"/>
      <c r="AE346" s="250"/>
      <c r="AF346" s="250"/>
      <c r="AG346" s="250"/>
      <c r="AH346" s="250"/>
      <c r="AI346" s="250"/>
      <c r="AJ346" s="251">
        <v>0</v>
      </c>
      <c r="AK346" s="251">
        <v>-1.8819999999999999</v>
      </c>
      <c r="AL346" s="251">
        <v>-2.125</v>
      </c>
      <c r="AM346" s="252">
        <v>-2.3690000000000002</v>
      </c>
      <c r="AN346" s="250">
        <f t="shared" si="282"/>
        <v>-1.9687360579511615</v>
      </c>
      <c r="AO346" s="250">
        <f t="shared" si="283"/>
        <v>-2.0189138095390087</v>
      </c>
      <c r="AP346" s="250">
        <f>AP401</f>
        <v>-2.0565728900721667</v>
      </c>
      <c r="AQ346" s="250">
        <f>AQ401</f>
        <v>-2.0956917441818956</v>
      </c>
      <c r="AR346" s="250">
        <f>AR401</f>
        <v>-2.1355929753738194</v>
      </c>
      <c r="AS346" s="166"/>
    </row>
    <row r="347" spans="1:45" s="167" customFormat="1" x14ac:dyDescent="0.35">
      <c r="A347" s="303" t="s">
        <v>863</v>
      </c>
      <c r="B347" s="315"/>
      <c r="C347" s="164"/>
      <c r="D347" s="166">
        <f>AH347-SUM(C347)</f>
        <v>0</v>
      </c>
      <c r="E347" s="164"/>
      <c r="F347" s="166">
        <f>AI347-SUM(E347)</f>
        <v>0</v>
      </c>
      <c r="G347" s="248">
        <v>0</v>
      </c>
      <c r="H347" s="166">
        <f>AJ347-SUM(G347)</f>
        <v>0</v>
      </c>
      <c r="I347" s="248">
        <v>-0.109</v>
      </c>
      <c r="J347" s="166">
        <f>AK347-SUM(I347)</f>
        <v>-0.20700000000000002</v>
      </c>
      <c r="K347" s="248">
        <v>-0.13800000000000001</v>
      </c>
      <c r="L347" s="166">
        <f>AL347-SUM(K347)</f>
        <v>-0.15299999999999997</v>
      </c>
      <c r="M347" s="248">
        <v>-0.126</v>
      </c>
      <c r="N347" s="166">
        <f>AM347-SUM(M347)</f>
        <v>-0.127</v>
      </c>
      <c r="O347" s="249">
        <v>-9.9000000000000005E-2</v>
      </c>
      <c r="P347" s="164">
        <f>-P407</f>
        <v>-8.9266224657534241E-2</v>
      </c>
      <c r="Q347" s="164">
        <f>-Q407</f>
        <v>-8.958290735670045E-2</v>
      </c>
      <c r="R347" s="164">
        <f>-R407</f>
        <v>-9.1891468648066563E-2</v>
      </c>
      <c r="S347" s="164"/>
      <c r="T347" s="164"/>
      <c r="U347" s="164"/>
      <c r="V347" s="164"/>
      <c r="W347" s="164"/>
      <c r="X347" s="164"/>
      <c r="Y347" s="164"/>
      <c r="Z347" s="250"/>
      <c r="AA347" s="250"/>
      <c r="AB347" s="250"/>
      <c r="AC347" s="250"/>
      <c r="AD347" s="250"/>
      <c r="AE347" s="250"/>
      <c r="AF347" s="250"/>
      <c r="AG347" s="250"/>
      <c r="AH347" s="250"/>
      <c r="AI347" s="250"/>
      <c r="AJ347" s="251">
        <v>0</v>
      </c>
      <c r="AK347" s="251">
        <v>-0.316</v>
      </c>
      <c r="AL347" s="251">
        <v>-0.29099999999999998</v>
      </c>
      <c r="AM347" s="252">
        <v>-0.253</v>
      </c>
      <c r="AN347" s="304">
        <f t="shared" si="282"/>
        <v>-0.18826622465753423</v>
      </c>
      <c r="AO347" s="250">
        <f t="shared" si="283"/>
        <v>-0.18147437600476701</v>
      </c>
      <c r="AP347" s="250">
        <f>-AP407</f>
        <v>-0.18782305918248512</v>
      </c>
      <c r="AQ347" s="250">
        <f>-AQ407</f>
        <v>-0.19359212405784909</v>
      </c>
      <c r="AR347" s="250">
        <f>-AR407</f>
        <v>-0.19947657023072032</v>
      </c>
      <c r="AS347" s="166"/>
    </row>
    <row r="348" spans="1:45" s="167" customFormat="1" x14ac:dyDescent="0.35">
      <c r="A348" s="303" t="s">
        <v>864</v>
      </c>
      <c r="B348" s="315"/>
      <c r="C348" s="248">
        <v>0.108</v>
      </c>
      <c r="D348" s="166">
        <f>AH348-SUM(C348)</f>
        <v>0.20900000000000002</v>
      </c>
      <c r="E348" s="248">
        <v>0.11</v>
      </c>
      <c r="F348" s="166">
        <f>AI348-SUM(E348)</f>
        <v>0</v>
      </c>
      <c r="G348" s="164"/>
      <c r="H348" s="166">
        <f>AJ348-SUM(G348)</f>
        <v>0</v>
      </c>
      <c r="I348" s="164"/>
      <c r="J348" s="166">
        <f>AK348-SUM(I348)</f>
        <v>0</v>
      </c>
      <c r="K348" s="164"/>
      <c r="L348" s="166">
        <f>AL348-SUM(K348)</f>
        <v>0</v>
      </c>
      <c r="M348" s="164"/>
      <c r="N348" s="166">
        <f>AM348-SUM(M348)</f>
        <v>0</v>
      </c>
      <c r="O348" s="165"/>
      <c r="P348" s="164"/>
      <c r="Q348" s="164"/>
      <c r="R348" s="164"/>
      <c r="S348" s="164"/>
      <c r="T348" s="164"/>
      <c r="U348" s="164"/>
      <c r="V348" s="164"/>
      <c r="W348" s="164"/>
      <c r="X348" s="164"/>
      <c r="Y348" s="164"/>
      <c r="Z348" s="250"/>
      <c r="AA348" s="250"/>
      <c r="AB348" s="250"/>
      <c r="AC348" s="250"/>
      <c r="AD348" s="251">
        <v>1.198</v>
      </c>
      <c r="AE348" s="251">
        <v>1.2999999999999999E-2</v>
      </c>
      <c r="AF348" s="251">
        <v>-2.5249999999999999</v>
      </c>
      <c r="AG348" s="251">
        <v>0.46300000000000002</v>
      </c>
      <c r="AH348" s="251">
        <v>0.317</v>
      </c>
      <c r="AI348" s="251">
        <v>0.11</v>
      </c>
      <c r="AJ348" s="250"/>
      <c r="AK348" s="250"/>
      <c r="AL348" s="250"/>
      <c r="AM348" s="264"/>
      <c r="AN348" s="304">
        <f t="shared" si="282"/>
        <v>0</v>
      </c>
      <c r="AO348" s="250">
        <f t="shared" si="283"/>
        <v>0</v>
      </c>
      <c r="AP348" s="250"/>
      <c r="AQ348" s="250"/>
      <c r="AR348" s="250"/>
      <c r="AS348" s="166"/>
    </row>
    <row r="349" spans="1:45" s="262" customFormat="1" x14ac:dyDescent="0.35">
      <c r="A349" s="253" t="s">
        <v>865</v>
      </c>
      <c r="B349" s="355"/>
      <c r="C349" s="256">
        <f t="shared" ref="C349:R349" si="284">SUM(C340:C348)</f>
        <v>-34.856000000000002</v>
      </c>
      <c r="D349" s="256">
        <f t="shared" si="284"/>
        <v>-5.5210000000000043</v>
      </c>
      <c r="E349" s="256">
        <f t="shared" si="284"/>
        <v>-38.365000000000002</v>
      </c>
      <c r="F349" s="256">
        <f t="shared" si="284"/>
        <v>-6.5309999999999988</v>
      </c>
      <c r="G349" s="256">
        <f t="shared" si="284"/>
        <v>-47.31</v>
      </c>
      <c r="H349" s="256">
        <f t="shared" si="284"/>
        <v>-8.9209999999999994</v>
      </c>
      <c r="I349" s="256">
        <f t="shared" si="284"/>
        <v>-52.932000000000002</v>
      </c>
      <c r="J349" s="256">
        <f t="shared" si="284"/>
        <v>-1.6049999999999998</v>
      </c>
      <c r="K349" s="256">
        <f t="shared" si="284"/>
        <v>-49.365000000000002</v>
      </c>
      <c r="L349" s="256">
        <f t="shared" si="284"/>
        <v>-13.865999999999994</v>
      </c>
      <c r="M349" s="256">
        <f t="shared" si="284"/>
        <v>-70.801000000000002</v>
      </c>
      <c r="N349" s="256">
        <f t="shared" si="284"/>
        <v>-15.841000000000003</v>
      </c>
      <c r="O349" s="257">
        <f t="shared" si="284"/>
        <v>-59.301999999999992</v>
      </c>
      <c r="P349" s="255" t="e">
        <f t="shared" si="284"/>
        <v>#REF!</v>
      </c>
      <c r="Q349" s="255" t="e">
        <f t="shared" si="284"/>
        <v>#REF!</v>
      </c>
      <c r="R349" s="255" t="e">
        <f t="shared" si="284"/>
        <v>#REF!</v>
      </c>
      <c r="S349" s="255"/>
      <c r="T349" s="255"/>
      <c r="U349" s="255"/>
      <c r="V349" s="255"/>
      <c r="W349" s="255"/>
      <c r="X349" s="255"/>
      <c r="Y349" s="255"/>
      <c r="Z349" s="258"/>
      <c r="AA349" s="258"/>
      <c r="AB349" s="258"/>
      <c r="AC349" s="258"/>
      <c r="AD349" s="258">
        <f t="shared" ref="AD349:AR349" si="285">SUM(AD340:AD348)</f>
        <v>-16.068999999999999</v>
      </c>
      <c r="AE349" s="259">
        <f t="shared" si="285"/>
        <v>-4.5789999999999997</v>
      </c>
      <c r="AF349" s="259">
        <f t="shared" si="285"/>
        <v>-8.1829999999999998</v>
      </c>
      <c r="AG349" s="259">
        <f t="shared" si="285"/>
        <v>-40.704000000000001</v>
      </c>
      <c r="AH349" s="259">
        <f t="shared" si="285"/>
        <v>-40.377000000000002</v>
      </c>
      <c r="AI349" s="259">
        <f t="shared" si="285"/>
        <v>-44.896000000000001</v>
      </c>
      <c r="AJ349" s="259">
        <f t="shared" si="285"/>
        <v>-56.231000000000002</v>
      </c>
      <c r="AK349" s="259">
        <f t="shared" si="285"/>
        <v>-54.536999999999999</v>
      </c>
      <c r="AL349" s="259">
        <f t="shared" si="285"/>
        <v>-63.230999999999995</v>
      </c>
      <c r="AM349" s="260">
        <f t="shared" si="285"/>
        <v>-86.641999999999996</v>
      </c>
      <c r="AN349" s="259" t="e">
        <f t="shared" si="285"/>
        <v>#REF!</v>
      </c>
      <c r="AO349" s="258" t="e">
        <f t="shared" si="285"/>
        <v>#REF!</v>
      </c>
      <c r="AP349" s="258" t="e">
        <f t="shared" si="285"/>
        <v>#REF!</v>
      </c>
      <c r="AQ349" s="258" t="e">
        <f t="shared" si="285"/>
        <v>#REF!</v>
      </c>
      <c r="AR349" s="258" t="e">
        <f t="shared" si="285"/>
        <v>#REF!</v>
      </c>
      <c r="AS349" s="261"/>
    </row>
    <row r="350" spans="1:45" s="262" customFormat="1" x14ac:dyDescent="0.35">
      <c r="A350" s="305"/>
      <c r="B350" s="368"/>
      <c r="C350" s="307"/>
      <c r="D350" s="307"/>
      <c r="E350" s="307"/>
      <c r="F350" s="307"/>
      <c r="G350" s="307"/>
      <c r="H350" s="307"/>
      <c r="I350" s="307"/>
      <c r="J350" s="307"/>
      <c r="K350" s="307"/>
      <c r="L350" s="307"/>
      <c r="M350" s="307"/>
      <c r="N350" s="307"/>
      <c r="O350" s="308"/>
      <c r="P350" s="307"/>
      <c r="Q350" s="307"/>
      <c r="R350" s="307"/>
      <c r="S350" s="307"/>
      <c r="T350" s="307"/>
      <c r="U350" s="307"/>
      <c r="V350" s="307"/>
      <c r="W350" s="307"/>
      <c r="X350" s="307"/>
      <c r="Y350" s="307"/>
      <c r="Z350" s="309"/>
      <c r="AA350" s="309"/>
      <c r="AB350" s="309"/>
      <c r="AC350" s="309"/>
      <c r="AD350" s="309"/>
      <c r="AE350" s="309"/>
      <c r="AF350" s="309"/>
      <c r="AG350" s="309"/>
      <c r="AH350" s="309"/>
      <c r="AI350" s="309"/>
      <c r="AJ350" s="309"/>
      <c r="AK350" s="309"/>
      <c r="AL350" s="309"/>
      <c r="AM350" s="310"/>
      <c r="AN350" s="309"/>
      <c r="AO350" s="309"/>
      <c r="AP350" s="309"/>
      <c r="AQ350" s="309"/>
      <c r="AR350" s="309"/>
      <c r="AS350" s="261"/>
    </row>
    <row r="351" spans="1:45" s="262" customFormat="1" x14ac:dyDescent="0.35">
      <c r="A351" s="393" t="s">
        <v>227</v>
      </c>
      <c r="B351" s="368"/>
      <c r="C351" s="307"/>
      <c r="D351" s="261">
        <f>AH351-SUM(C351)</f>
        <v>0</v>
      </c>
      <c r="E351" s="307"/>
      <c r="F351" s="261">
        <f>AI351-SUM(E351)</f>
        <v>0</v>
      </c>
      <c r="G351" s="307"/>
      <c r="H351" s="261">
        <f>AJ351-SUM(G351)</f>
        <v>0</v>
      </c>
      <c r="I351" s="307"/>
      <c r="J351" s="261">
        <f>AK351-SUM(I351)</f>
        <v>0</v>
      </c>
      <c r="K351" s="307"/>
      <c r="L351" s="261">
        <f>AL351-SUM(K351)</f>
        <v>0</v>
      </c>
      <c r="M351" s="307"/>
      <c r="N351" s="261">
        <f>AM351-SUM(M351)</f>
        <v>3.5619999999999998</v>
      </c>
      <c r="O351" s="395">
        <v>-0.14799999999999999</v>
      </c>
      <c r="P351" s="307"/>
      <c r="Q351" s="307"/>
      <c r="R351" s="307"/>
      <c r="S351" s="307"/>
      <c r="T351" s="307"/>
      <c r="U351" s="307"/>
      <c r="V351" s="307"/>
      <c r="W351" s="307"/>
      <c r="X351" s="307"/>
      <c r="Y351" s="307"/>
      <c r="Z351" s="309"/>
      <c r="AA351" s="309"/>
      <c r="AB351" s="309"/>
      <c r="AC351" s="309"/>
      <c r="AD351" s="309"/>
      <c r="AE351" s="309"/>
      <c r="AF351" s="309"/>
      <c r="AG351" s="309"/>
      <c r="AH351" s="309"/>
      <c r="AI351" s="309"/>
      <c r="AJ351" s="309"/>
      <c r="AK351" s="309"/>
      <c r="AL351" s="309"/>
      <c r="AM351" s="397">
        <v>3.5619999999999998</v>
      </c>
      <c r="AN351" s="420">
        <f>SUM(O351,P351)</f>
        <v>-0.14799999999999999</v>
      </c>
      <c r="AO351" s="309">
        <f>SUM(Q351,R351)</f>
        <v>0</v>
      </c>
      <c r="AP351" s="309"/>
      <c r="AQ351" s="309"/>
      <c r="AR351" s="309"/>
      <c r="AS351" s="261"/>
    </row>
    <row r="352" spans="1:45" s="167" customFormat="1" x14ac:dyDescent="0.35">
      <c r="A352" s="393" t="s">
        <v>866</v>
      </c>
      <c r="B352" s="368"/>
      <c r="C352" s="261">
        <f t="shared" ref="C352:R352" si="286">C349+C337+C329+C351</f>
        <v>-15.741000000000003</v>
      </c>
      <c r="D352" s="261">
        <f t="shared" si="286"/>
        <v>15.022999999999994</v>
      </c>
      <c r="E352" s="261">
        <f t="shared" si="286"/>
        <v>-18.325000000000003</v>
      </c>
      <c r="F352" s="261">
        <f t="shared" si="286"/>
        <v>29.513000000000019</v>
      </c>
      <c r="G352" s="261">
        <f t="shared" si="286"/>
        <v>-20.056999999999995</v>
      </c>
      <c r="H352" s="261">
        <f t="shared" si="286"/>
        <v>26.489000000000011</v>
      </c>
      <c r="I352" s="261">
        <f t="shared" si="286"/>
        <v>-29.83</v>
      </c>
      <c r="J352" s="261">
        <f t="shared" si="286"/>
        <v>30.706</v>
      </c>
      <c r="K352" s="261">
        <f t="shared" si="286"/>
        <v>-8.8940000000000126</v>
      </c>
      <c r="L352" s="261">
        <f t="shared" si="286"/>
        <v>30.478999999999992</v>
      </c>
      <c r="M352" s="261">
        <f t="shared" si="286"/>
        <v>-27.441000000000003</v>
      </c>
      <c r="N352" s="261">
        <f t="shared" si="286"/>
        <v>23.033000000000026</v>
      </c>
      <c r="O352" s="421">
        <f t="shared" si="286"/>
        <v>0.40600000000000203</v>
      </c>
      <c r="P352" s="307" t="e">
        <f t="shared" si="286"/>
        <v>#REF!</v>
      </c>
      <c r="Q352" s="307" t="e">
        <f t="shared" si="286"/>
        <v>#REF!</v>
      </c>
      <c r="R352" s="307" t="e">
        <f t="shared" si="286"/>
        <v>#REF!</v>
      </c>
      <c r="S352" s="307"/>
      <c r="T352" s="307"/>
      <c r="U352" s="307"/>
      <c r="V352" s="307"/>
      <c r="W352" s="307"/>
      <c r="X352" s="307"/>
      <c r="Y352" s="307"/>
      <c r="Z352" s="309"/>
      <c r="AA352" s="309"/>
      <c r="AB352" s="309"/>
      <c r="AC352" s="309"/>
      <c r="AD352" s="309">
        <f t="shared" ref="AD352:AR352" si="287">AD349+AD337+AD329+AD351</f>
        <v>-1.4280000000000044</v>
      </c>
      <c r="AE352" s="420">
        <f t="shared" si="287"/>
        <v>29.043999999999997</v>
      </c>
      <c r="AF352" s="420">
        <f t="shared" si="287"/>
        <v>36.921999999999997</v>
      </c>
      <c r="AG352" s="420">
        <f t="shared" si="287"/>
        <v>-12.281000000000006</v>
      </c>
      <c r="AH352" s="420">
        <f t="shared" si="287"/>
        <v>-0.71800000000000352</v>
      </c>
      <c r="AI352" s="420">
        <f t="shared" si="287"/>
        <v>11.188000000000017</v>
      </c>
      <c r="AJ352" s="420">
        <f t="shared" si="287"/>
        <v>6.4320000000000164</v>
      </c>
      <c r="AK352" s="420">
        <f t="shared" si="287"/>
        <v>0.87600000000000477</v>
      </c>
      <c r="AL352" s="420">
        <f t="shared" si="287"/>
        <v>21.58499999999998</v>
      </c>
      <c r="AM352" s="422">
        <f t="shared" si="287"/>
        <v>-4.4079999999999853</v>
      </c>
      <c r="AN352" s="420" t="e">
        <f t="shared" si="287"/>
        <v>#REF!</v>
      </c>
      <c r="AO352" s="309" t="e">
        <f t="shared" si="287"/>
        <v>#REF!</v>
      </c>
      <c r="AP352" s="309" t="e">
        <f t="shared" si="287"/>
        <v>#REF!</v>
      </c>
      <c r="AQ352" s="309" t="e">
        <f t="shared" si="287"/>
        <v>#REF!</v>
      </c>
      <c r="AR352" s="309" t="e">
        <f t="shared" si="287"/>
        <v>#REF!</v>
      </c>
      <c r="AS352" s="166"/>
    </row>
    <row r="353" spans="1:45" s="262" customFormat="1" x14ac:dyDescent="0.35">
      <c r="A353" s="305"/>
      <c r="B353" s="368"/>
      <c r="C353" s="307"/>
      <c r="D353" s="307"/>
      <c r="E353" s="307"/>
      <c r="F353" s="307"/>
      <c r="G353" s="307"/>
      <c r="H353" s="307"/>
      <c r="I353" s="307"/>
      <c r="J353" s="307"/>
      <c r="K353" s="307"/>
      <c r="L353" s="307"/>
      <c r="M353" s="307"/>
      <c r="N353" s="307"/>
      <c r="O353" s="308"/>
      <c r="P353" s="307"/>
      <c r="Q353" s="307"/>
      <c r="R353" s="307"/>
      <c r="S353" s="307"/>
      <c r="T353" s="307"/>
      <c r="U353" s="307"/>
      <c r="V353" s="307"/>
      <c r="W353" s="307"/>
      <c r="X353" s="307"/>
      <c r="Y353" s="307"/>
      <c r="Z353" s="309"/>
      <c r="AA353" s="309"/>
      <c r="AB353" s="309"/>
      <c r="AC353" s="309"/>
      <c r="AD353" s="309"/>
      <c r="AE353" s="309"/>
      <c r="AF353" s="309"/>
      <c r="AG353" s="309"/>
      <c r="AH353" s="309"/>
      <c r="AI353" s="309"/>
      <c r="AJ353" s="309"/>
      <c r="AK353" s="309"/>
      <c r="AL353" s="309"/>
      <c r="AM353" s="310"/>
      <c r="AN353" s="250"/>
      <c r="AO353" s="250"/>
      <c r="AP353" s="250"/>
      <c r="AQ353" s="250"/>
      <c r="AR353" s="250"/>
      <c r="AS353" s="261"/>
    </row>
    <row r="354" spans="1:45" s="262" customFormat="1" x14ac:dyDescent="0.35">
      <c r="A354" s="393" t="s">
        <v>867</v>
      </c>
      <c r="B354" s="368"/>
      <c r="C354" s="261">
        <f>AG355</f>
        <v>62.36099999999999</v>
      </c>
      <c r="D354" s="261">
        <f>C355</f>
        <v>46.61999999999999</v>
      </c>
      <c r="E354" s="261">
        <f>AH355</f>
        <v>61.642999999999986</v>
      </c>
      <c r="F354" s="261">
        <f>E355</f>
        <v>43.317999999999984</v>
      </c>
      <c r="G354" s="261">
        <f>AI355</f>
        <v>72.831000000000003</v>
      </c>
      <c r="H354" s="261">
        <f>G355</f>
        <v>52.774000000000008</v>
      </c>
      <c r="I354" s="261">
        <f>AJ355</f>
        <v>79.263000000000019</v>
      </c>
      <c r="J354" s="261">
        <f>I355</f>
        <v>49.433000000000021</v>
      </c>
      <c r="K354" s="261">
        <f>AK355</f>
        <v>80.139000000000024</v>
      </c>
      <c r="L354" s="261">
        <f>K355</f>
        <v>71.245000000000005</v>
      </c>
      <c r="M354" s="261">
        <f>AL355</f>
        <v>101.724</v>
      </c>
      <c r="N354" s="261">
        <f>M355</f>
        <v>74.283000000000001</v>
      </c>
      <c r="O354" s="421">
        <f>AM355</f>
        <v>97.316000000000017</v>
      </c>
      <c r="P354" s="307">
        <f>O355</f>
        <v>97.722000000000023</v>
      </c>
      <c r="Q354" s="307" t="e">
        <f>AN355</f>
        <v>#REF!</v>
      </c>
      <c r="R354" s="307" t="e">
        <f>Q355</f>
        <v>#REF!</v>
      </c>
      <c r="S354" s="307"/>
      <c r="T354" s="307"/>
      <c r="U354" s="307"/>
      <c r="V354" s="307"/>
      <c r="W354" s="307"/>
      <c r="X354" s="307"/>
      <c r="Y354" s="307"/>
      <c r="Z354" s="309"/>
      <c r="AA354" s="309"/>
      <c r="AB354" s="309"/>
      <c r="AC354" s="309"/>
      <c r="AD354" s="396">
        <v>10.103999999999999</v>
      </c>
      <c r="AE354" s="420">
        <f t="shared" ref="AE354:AR354" si="288">AD355</f>
        <v>8.6759999999999948</v>
      </c>
      <c r="AF354" s="420">
        <f t="shared" si="288"/>
        <v>37.719999999999992</v>
      </c>
      <c r="AG354" s="420">
        <f t="shared" si="288"/>
        <v>74.641999999999996</v>
      </c>
      <c r="AH354" s="420">
        <f t="shared" si="288"/>
        <v>62.36099999999999</v>
      </c>
      <c r="AI354" s="420">
        <f t="shared" si="288"/>
        <v>61.642999999999986</v>
      </c>
      <c r="AJ354" s="420">
        <f t="shared" si="288"/>
        <v>72.831000000000003</v>
      </c>
      <c r="AK354" s="420">
        <f t="shared" si="288"/>
        <v>79.263000000000019</v>
      </c>
      <c r="AL354" s="420">
        <f t="shared" si="288"/>
        <v>80.139000000000024</v>
      </c>
      <c r="AM354" s="422">
        <f t="shared" si="288"/>
        <v>101.724</v>
      </c>
      <c r="AN354" s="420">
        <f t="shared" si="288"/>
        <v>97.316000000000017</v>
      </c>
      <c r="AO354" s="309" t="e">
        <f t="shared" si="288"/>
        <v>#REF!</v>
      </c>
      <c r="AP354" s="309" t="e">
        <f t="shared" si="288"/>
        <v>#REF!</v>
      </c>
      <c r="AQ354" s="309" t="e">
        <f t="shared" si="288"/>
        <v>#REF!</v>
      </c>
      <c r="AR354" s="309" t="e">
        <f t="shared" si="288"/>
        <v>#REF!</v>
      </c>
      <c r="AS354" s="261"/>
    </row>
    <row r="355" spans="1:45" s="262" customFormat="1" x14ac:dyDescent="0.35">
      <c r="A355" s="393" t="s">
        <v>868</v>
      </c>
      <c r="B355" s="368"/>
      <c r="C355" s="261">
        <f t="shared" ref="C355:R355" si="289">C354+C352</f>
        <v>46.61999999999999</v>
      </c>
      <c r="D355" s="261">
        <f t="shared" si="289"/>
        <v>61.642999999999986</v>
      </c>
      <c r="E355" s="261">
        <f t="shared" si="289"/>
        <v>43.317999999999984</v>
      </c>
      <c r="F355" s="261">
        <f t="shared" si="289"/>
        <v>72.831000000000003</v>
      </c>
      <c r="G355" s="261">
        <f t="shared" si="289"/>
        <v>52.774000000000008</v>
      </c>
      <c r="H355" s="261">
        <f t="shared" si="289"/>
        <v>79.263000000000019</v>
      </c>
      <c r="I355" s="261">
        <f t="shared" si="289"/>
        <v>49.433000000000021</v>
      </c>
      <c r="J355" s="261">
        <f t="shared" si="289"/>
        <v>80.139000000000024</v>
      </c>
      <c r="K355" s="261">
        <f t="shared" si="289"/>
        <v>71.245000000000005</v>
      </c>
      <c r="L355" s="261">
        <f t="shared" si="289"/>
        <v>101.72399999999999</v>
      </c>
      <c r="M355" s="261">
        <f t="shared" si="289"/>
        <v>74.283000000000001</v>
      </c>
      <c r="N355" s="261">
        <f t="shared" si="289"/>
        <v>97.316000000000031</v>
      </c>
      <c r="O355" s="421">
        <f t="shared" si="289"/>
        <v>97.722000000000023</v>
      </c>
      <c r="P355" s="307" t="e">
        <f t="shared" si="289"/>
        <v>#REF!</v>
      </c>
      <c r="Q355" s="307" t="e">
        <f t="shared" si="289"/>
        <v>#REF!</v>
      </c>
      <c r="R355" s="307" t="e">
        <f t="shared" si="289"/>
        <v>#REF!</v>
      </c>
      <c r="S355" s="307"/>
      <c r="T355" s="307"/>
      <c r="U355" s="307"/>
      <c r="V355" s="307"/>
      <c r="W355" s="307"/>
      <c r="X355" s="307"/>
      <c r="Y355" s="307"/>
      <c r="Z355" s="309"/>
      <c r="AA355" s="309"/>
      <c r="AB355" s="309"/>
      <c r="AC355" s="309"/>
      <c r="AD355" s="309">
        <f t="shared" ref="AD355:AR355" si="290">AD354+AD352</f>
        <v>8.6759999999999948</v>
      </c>
      <c r="AE355" s="420">
        <f t="shared" si="290"/>
        <v>37.719999999999992</v>
      </c>
      <c r="AF355" s="420">
        <f t="shared" si="290"/>
        <v>74.641999999999996</v>
      </c>
      <c r="AG355" s="420">
        <f t="shared" si="290"/>
        <v>62.36099999999999</v>
      </c>
      <c r="AH355" s="420">
        <f t="shared" si="290"/>
        <v>61.642999999999986</v>
      </c>
      <c r="AI355" s="420">
        <f t="shared" si="290"/>
        <v>72.831000000000003</v>
      </c>
      <c r="AJ355" s="420">
        <f t="shared" si="290"/>
        <v>79.263000000000019</v>
      </c>
      <c r="AK355" s="420">
        <f t="shared" si="290"/>
        <v>80.139000000000024</v>
      </c>
      <c r="AL355" s="420">
        <f t="shared" si="290"/>
        <v>101.724</v>
      </c>
      <c r="AM355" s="422">
        <f t="shared" si="290"/>
        <v>97.316000000000017</v>
      </c>
      <c r="AN355" s="420" t="e">
        <f t="shared" si="290"/>
        <v>#REF!</v>
      </c>
      <c r="AO355" s="309" t="e">
        <f t="shared" si="290"/>
        <v>#REF!</v>
      </c>
      <c r="AP355" s="309" t="e">
        <f t="shared" si="290"/>
        <v>#REF!</v>
      </c>
      <c r="AQ355" s="309" t="e">
        <f t="shared" si="290"/>
        <v>#REF!</v>
      </c>
      <c r="AR355" s="309" t="e">
        <f t="shared" si="290"/>
        <v>#REF!</v>
      </c>
      <c r="AS355" s="261"/>
    </row>
    <row r="356" spans="1:45" s="262" customFormat="1" x14ac:dyDescent="0.35">
      <c r="A356" s="305"/>
      <c r="B356" s="368"/>
      <c r="C356" s="307"/>
      <c r="D356" s="307"/>
      <c r="E356" s="307"/>
      <c r="F356" s="307"/>
      <c r="G356" s="307"/>
      <c r="H356" s="307"/>
      <c r="I356" s="307"/>
      <c r="J356" s="307"/>
      <c r="K356" s="307"/>
      <c r="L356" s="307"/>
      <c r="M356" s="307"/>
      <c r="N356" s="307"/>
      <c r="O356" s="308"/>
      <c r="P356" s="307"/>
      <c r="Q356" s="307"/>
      <c r="R356" s="307"/>
      <c r="S356" s="307"/>
      <c r="T356" s="307"/>
      <c r="U356" s="307"/>
      <c r="V356" s="307"/>
      <c r="W356" s="307"/>
      <c r="X356" s="307"/>
      <c r="Y356" s="307"/>
      <c r="Z356" s="309"/>
      <c r="AA356" s="309"/>
      <c r="AB356" s="309"/>
      <c r="AC356" s="309"/>
      <c r="AD356" s="309"/>
      <c r="AE356" s="309"/>
      <c r="AF356" s="309"/>
      <c r="AG356" s="309"/>
      <c r="AH356" s="309"/>
      <c r="AI356" s="309"/>
      <c r="AJ356" s="309"/>
      <c r="AK356" s="309"/>
      <c r="AL356" s="309"/>
      <c r="AM356" s="310"/>
      <c r="AN356" s="309"/>
      <c r="AO356" s="309"/>
      <c r="AP356" s="309"/>
      <c r="AQ356" s="309"/>
      <c r="AR356" s="309"/>
      <c r="AS356" s="261"/>
    </row>
    <row r="357" spans="1:45" s="167" customFormat="1" x14ac:dyDescent="0.35">
      <c r="A357" s="417" t="s">
        <v>869</v>
      </c>
      <c r="B357" s="417"/>
      <c r="C357" s="418">
        <f t="shared" ref="C357:R357" si="291">ROUND(C355-C426,6)</f>
        <v>0</v>
      </c>
      <c r="D357" s="418">
        <f t="shared" si="291"/>
        <v>0</v>
      </c>
      <c r="E357" s="418">
        <f t="shared" si="291"/>
        <v>0</v>
      </c>
      <c r="F357" s="418">
        <f t="shared" si="291"/>
        <v>0</v>
      </c>
      <c r="G357" s="418">
        <f t="shared" si="291"/>
        <v>0</v>
      </c>
      <c r="H357" s="418">
        <f t="shared" si="291"/>
        <v>0</v>
      </c>
      <c r="I357" s="418">
        <f t="shared" si="291"/>
        <v>0</v>
      </c>
      <c r="J357" s="418">
        <f t="shared" si="291"/>
        <v>0</v>
      </c>
      <c r="K357" s="418">
        <f t="shared" si="291"/>
        <v>0</v>
      </c>
      <c r="L357" s="418">
        <f t="shared" si="291"/>
        <v>0</v>
      </c>
      <c r="M357" s="418">
        <f t="shared" si="291"/>
        <v>0</v>
      </c>
      <c r="N357" s="418">
        <f t="shared" si="291"/>
        <v>0</v>
      </c>
      <c r="O357" s="419">
        <f t="shared" si="291"/>
        <v>0</v>
      </c>
      <c r="P357" s="418" t="e">
        <f t="shared" si="291"/>
        <v>#REF!</v>
      </c>
      <c r="Q357" s="418" t="e">
        <f t="shared" si="291"/>
        <v>#REF!</v>
      </c>
      <c r="R357" s="418" t="e">
        <f t="shared" si="291"/>
        <v>#REF!</v>
      </c>
      <c r="S357" s="418"/>
      <c r="T357" s="418"/>
      <c r="U357" s="418"/>
      <c r="V357" s="418"/>
      <c r="W357" s="418"/>
      <c r="X357" s="418"/>
      <c r="Y357" s="418"/>
      <c r="Z357" s="418"/>
      <c r="AA357" s="418"/>
      <c r="AB357" s="418"/>
      <c r="AC357" s="418"/>
      <c r="AD357" s="418">
        <f t="shared" ref="AD357:AR357" si="292">ROUND(AD355-AD426,6)</f>
        <v>0</v>
      </c>
      <c r="AE357" s="418">
        <f t="shared" si="292"/>
        <v>0</v>
      </c>
      <c r="AF357" s="418">
        <f t="shared" si="292"/>
        <v>0</v>
      </c>
      <c r="AG357" s="418">
        <f t="shared" si="292"/>
        <v>0</v>
      </c>
      <c r="AH357" s="418">
        <f t="shared" si="292"/>
        <v>0</v>
      </c>
      <c r="AI357" s="418">
        <f t="shared" si="292"/>
        <v>0</v>
      </c>
      <c r="AJ357" s="418">
        <f t="shared" si="292"/>
        <v>0</v>
      </c>
      <c r="AK357" s="418">
        <f t="shared" si="292"/>
        <v>0</v>
      </c>
      <c r="AL357" s="418">
        <f t="shared" si="292"/>
        <v>0</v>
      </c>
      <c r="AM357" s="419">
        <f t="shared" si="292"/>
        <v>0</v>
      </c>
      <c r="AN357" s="418" t="e">
        <f t="shared" si="292"/>
        <v>#REF!</v>
      </c>
      <c r="AO357" s="418" t="e">
        <f t="shared" si="292"/>
        <v>#REF!</v>
      </c>
      <c r="AP357" s="418" t="e">
        <f t="shared" si="292"/>
        <v>#REF!</v>
      </c>
      <c r="AQ357" s="418" t="e">
        <f t="shared" si="292"/>
        <v>#REF!</v>
      </c>
      <c r="AR357" s="418" t="e">
        <f t="shared" si="292"/>
        <v>#REF!</v>
      </c>
      <c r="AS357" s="166"/>
    </row>
    <row r="358" spans="1:45" s="262" customFormat="1" x14ac:dyDescent="0.35">
      <c r="A358" s="305"/>
      <c r="B358" s="368"/>
      <c r="C358" s="307"/>
      <c r="D358" s="307"/>
      <c r="E358" s="307"/>
      <c r="F358" s="307"/>
      <c r="G358" s="307"/>
      <c r="H358" s="307"/>
      <c r="I358" s="307"/>
      <c r="J358" s="307"/>
      <c r="K358" s="307"/>
      <c r="L358" s="307"/>
      <c r="M358" s="307"/>
      <c r="N358" s="307"/>
      <c r="O358" s="308"/>
      <c r="P358" s="307"/>
      <c r="Q358" s="307"/>
      <c r="R358" s="307"/>
      <c r="S358" s="307"/>
      <c r="T358" s="307"/>
      <c r="U358" s="307"/>
      <c r="V358" s="307"/>
      <c r="W358" s="307"/>
      <c r="X358" s="307"/>
      <c r="Y358" s="307"/>
      <c r="Z358" s="309"/>
      <c r="AA358" s="309"/>
      <c r="AB358" s="309"/>
      <c r="AC358" s="309"/>
      <c r="AD358" s="309"/>
      <c r="AE358" s="309"/>
      <c r="AF358" s="309"/>
      <c r="AG358" s="309"/>
      <c r="AH358" s="309"/>
      <c r="AI358" s="309"/>
      <c r="AJ358" s="309"/>
      <c r="AK358" s="309"/>
      <c r="AL358" s="309"/>
      <c r="AM358" s="310"/>
      <c r="AN358" s="309"/>
      <c r="AO358" s="309"/>
      <c r="AP358" s="309"/>
      <c r="AQ358" s="309"/>
      <c r="AR358" s="309"/>
      <c r="AS358" s="261"/>
    </row>
    <row r="359" spans="1:45" s="262" customFormat="1" x14ac:dyDescent="0.35">
      <c r="A359" s="627" t="s">
        <v>870</v>
      </c>
      <c r="B359" s="628"/>
      <c r="C359" s="242"/>
      <c r="D359" s="242"/>
      <c r="E359" s="242"/>
      <c r="F359" s="242"/>
      <c r="G359" s="242"/>
      <c r="H359" s="242"/>
      <c r="I359" s="242"/>
      <c r="J359" s="242"/>
      <c r="K359" s="242"/>
      <c r="L359" s="242"/>
      <c r="M359" s="242"/>
      <c r="N359" s="242"/>
      <c r="O359" s="629"/>
      <c r="P359" s="242"/>
      <c r="Q359" s="242"/>
      <c r="R359" s="242"/>
      <c r="S359" s="242"/>
      <c r="T359" s="242"/>
      <c r="U359" s="242"/>
      <c r="V359" s="242"/>
      <c r="W359" s="242"/>
      <c r="X359" s="242"/>
      <c r="Y359" s="242"/>
      <c r="Z359" s="242"/>
      <c r="AA359" s="242"/>
      <c r="AB359" s="242"/>
      <c r="AC359" s="242"/>
      <c r="AD359" s="242"/>
      <c r="AE359" s="242"/>
      <c r="AF359" s="242"/>
      <c r="AG359" s="242"/>
      <c r="AH359" s="242"/>
      <c r="AI359" s="242"/>
      <c r="AJ359" s="242"/>
      <c r="AK359" s="242"/>
      <c r="AL359" s="242"/>
      <c r="AM359" s="629"/>
      <c r="AN359" s="242"/>
      <c r="AO359" s="242"/>
      <c r="AP359" s="242"/>
      <c r="AQ359" s="242"/>
      <c r="AR359" s="242"/>
      <c r="AS359" s="261"/>
    </row>
    <row r="360" spans="1:45" s="262" customFormat="1" x14ac:dyDescent="0.35">
      <c r="A360" s="393" t="s">
        <v>871</v>
      </c>
      <c r="B360" s="368"/>
      <c r="C360" s="438"/>
      <c r="D360" s="438"/>
      <c r="E360" s="226">
        <f t="shared" ref="E360:O360" si="293">E425/SUM(E171,D171)</f>
        <v>0.23342812123002685</v>
      </c>
      <c r="F360" s="226">
        <f t="shared" si="293"/>
        <v>0.25834788411556331</v>
      </c>
      <c r="G360" s="226">
        <f t="shared" si="293"/>
        <v>0.27587601417844959</v>
      </c>
      <c r="H360" s="226">
        <f t="shared" si="293"/>
        <v>0.28765164858763786</v>
      </c>
      <c r="I360" s="226">
        <f t="shared" si="293"/>
        <v>0.26262376077491595</v>
      </c>
      <c r="J360" s="226">
        <f t="shared" si="293"/>
        <v>0.29163042055393656</v>
      </c>
      <c r="K360" s="226">
        <f t="shared" si="293"/>
        <v>0.25146132586172865</v>
      </c>
      <c r="L360" s="226">
        <f t="shared" si="293"/>
        <v>0.28501375071649837</v>
      </c>
      <c r="M360" s="226">
        <f t="shared" si="293"/>
        <v>0.35005559400051328</v>
      </c>
      <c r="N360" s="226">
        <f t="shared" si="293"/>
        <v>0.5022737688158776</v>
      </c>
      <c r="O360" s="630">
        <f t="shared" si="293"/>
        <v>0.53874992469366378</v>
      </c>
      <c r="P360" s="438">
        <f t="shared" ref="P360:R362" si="294">N360+P364</f>
        <v>0.5022737688158776</v>
      </c>
      <c r="Q360" s="438">
        <f t="shared" si="294"/>
        <v>0.53874992469366378</v>
      </c>
      <c r="R360" s="438">
        <f t="shared" si="294"/>
        <v>0.5022737688158776</v>
      </c>
      <c r="S360" s="438"/>
      <c r="T360" s="438"/>
      <c r="U360" s="438"/>
      <c r="V360" s="438"/>
      <c r="W360" s="438"/>
      <c r="X360" s="438"/>
      <c r="Y360" s="438"/>
      <c r="Z360" s="443"/>
      <c r="AA360" s="443"/>
      <c r="AB360" s="443"/>
      <c r="AC360" s="443"/>
      <c r="AD360" s="443">
        <f t="shared" ref="AD360:AO360" si="295">AD425/AD171</f>
        <v>0.21897836040388524</v>
      </c>
      <c r="AE360" s="443">
        <f t="shared" si="295"/>
        <v>0.19848572792627528</v>
      </c>
      <c r="AF360" s="631">
        <f t="shared" si="295"/>
        <v>0.20458861502741227</v>
      </c>
      <c r="AG360" s="631">
        <f t="shared" si="295"/>
        <v>0.19749654570306285</v>
      </c>
      <c r="AH360" s="631">
        <f t="shared" si="295"/>
        <v>0.20841912056178724</v>
      </c>
      <c r="AI360" s="631">
        <f t="shared" si="295"/>
        <v>0.25834788411556331</v>
      </c>
      <c r="AJ360" s="631">
        <f t="shared" si="295"/>
        <v>0.28765164858763786</v>
      </c>
      <c r="AK360" s="631">
        <f t="shared" si="295"/>
        <v>0.29163042055393656</v>
      </c>
      <c r="AL360" s="631">
        <f t="shared" si="295"/>
        <v>0.28501375071649837</v>
      </c>
      <c r="AM360" s="632">
        <f t="shared" si="295"/>
        <v>0.5022737688158776</v>
      </c>
      <c r="AN360" s="631">
        <f t="shared" si="295"/>
        <v>0.5022737688158776</v>
      </c>
      <c r="AO360" s="443">
        <f t="shared" si="295"/>
        <v>0.5022737688158776</v>
      </c>
      <c r="AP360" s="443">
        <f t="shared" ref="AP360:AR362" si="296">AO360+AP364</f>
        <v>0.5022737688158776</v>
      </c>
      <c r="AQ360" s="443">
        <f t="shared" si="296"/>
        <v>0.5022737688158776</v>
      </c>
      <c r="AR360" s="443">
        <f t="shared" si="296"/>
        <v>0.5022737688158776</v>
      </c>
      <c r="AS360" s="261"/>
    </row>
    <row r="361" spans="1:45" s="262" customFormat="1" x14ac:dyDescent="0.35">
      <c r="A361" s="393" t="s">
        <v>872</v>
      </c>
      <c r="B361" s="368"/>
      <c r="C361" s="438"/>
      <c r="D361" s="438"/>
      <c r="E361" s="226">
        <f t="shared" ref="E361:O361" si="297">E424/SUM(E171,D171)</f>
        <v>1.563877194278258E-2</v>
      </c>
      <c r="F361" s="226">
        <f t="shared" si="297"/>
        <v>1.0826534605774152E-2</v>
      </c>
      <c r="G361" s="226">
        <f t="shared" si="297"/>
        <v>4.0098570927762769E-2</v>
      </c>
      <c r="H361" s="226">
        <f t="shared" si="297"/>
        <v>1.117508814345732E-2</v>
      </c>
      <c r="I361" s="226">
        <f t="shared" si="297"/>
        <v>1.5139178597206909E-2</v>
      </c>
      <c r="J361" s="226">
        <f t="shared" si="297"/>
        <v>1.0903078281391145E-2</v>
      </c>
      <c r="K361" s="226">
        <f t="shared" si="297"/>
        <v>1.2020705029438913E-2</v>
      </c>
      <c r="L361" s="226">
        <f t="shared" si="297"/>
        <v>3.3208347778574128E-2</v>
      </c>
      <c r="M361" s="226">
        <f t="shared" si="297"/>
        <v>3.8330054712790253E-2</v>
      </c>
      <c r="N361" s="226">
        <f t="shared" si="297"/>
        <v>4.734931063337125E-3</v>
      </c>
      <c r="O361" s="630">
        <f t="shared" si="297"/>
        <v>7.0684255593162094E-3</v>
      </c>
      <c r="P361" s="438">
        <f t="shared" si="294"/>
        <v>4.734931063337125E-3</v>
      </c>
      <c r="Q361" s="438">
        <f t="shared" si="294"/>
        <v>7.0684255593162094E-3</v>
      </c>
      <c r="R361" s="438">
        <f t="shared" si="294"/>
        <v>4.734931063337125E-3</v>
      </c>
      <c r="S361" s="438"/>
      <c r="T361" s="438"/>
      <c r="U361" s="438"/>
      <c r="V361" s="438"/>
      <c r="W361" s="438"/>
      <c r="X361" s="438"/>
      <c r="Y361" s="438"/>
      <c r="Z361" s="443"/>
      <c r="AA361" s="443"/>
      <c r="AB361" s="443"/>
      <c r="AC361" s="443"/>
      <c r="AD361" s="443">
        <f t="shared" ref="AD361:AO361" si="298">AD424/AD171</f>
        <v>1.0812217629044159E-2</v>
      </c>
      <c r="AE361" s="443">
        <f t="shared" si="298"/>
        <v>8.8768356388805782E-3</v>
      </c>
      <c r="AF361" s="631">
        <f t="shared" si="298"/>
        <v>4.4490373839928604E-3</v>
      </c>
      <c r="AG361" s="631">
        <f t="shared" si="298"/>
        <v>6.8580250494161528E-3</v>
      </c>
      <c r="AH361" s="631">
        <f t="shared" si="298"/>
        <v>8.3785192784022796E-3</v>
      </c>
      <c r="AI361" s="631">
        <f t="shared" si="298"/>
        <v>1.0826534605774152E-2</v>
      </c>
      <c r="AJ361" s="631">
        <f t="shared" si="298"/>
        <v>1.117508814345732E-2</v>
      </c>
      <c r="AK361" s="631">
        <f t="shared" si="298"/>
        <v>1.0903078281391145E-2</v>
      </c>
      <c r="AL361" s="631">
        <f t="shared" si="298"/>
        <v>3.3208347778574128E-2</v>
      </c>
      <c r="AM361" s="632">
        <f t="shared" si="298"/>
        <v>4.734931063337125E-3</v>
      </c>
      <c r="AN361" s="631">
        <f t="shared" si="298"/>
        <v>4.734931063337125E-3</v>
      </c>
      <c r="AO361" s="443">
        <f t="shared" si="298"/>
        <v>4.734931063337125E-3</v>
      </c>
      <c r="AP361" s="443">
        <f t="shared" si="296"/>
        <v>4.734931063337125E-3</v>
      </c>
      <c r="AQ361" s="443">
        <f t="shared" si="296"/>
        <v>4.734931063337125E-3</v>
      </c>
      <c r="AR361" s="443">
        <f t="shared" si="296"/>
        <v>4.734931063337125E-3</v>
      </c>
      <c r="AS361" s="261"/>
    </row>
    <row r="362" spans="1:45" s="262" customFormat="1" x14ac:dyDescent="0.35">
      <c r="A362" s="393" t="s">
        <v>873</v>
      </c>
      <c r="B362" s="368"/>
      <c r="C362" s="438"/>
      <c r="D362" s="438"/>
      <c r="E362" s="226">
        <f t="shared" ref="E362:O362" si="299">E439/SUM(E171,D171)</f>
        <v>0.21728955855922399</v>
      </c>
      <c r="F362" s="226">
        <f t="shared" si="299"/>
        <v>0.23239104474616412</v>
      </c>
      <c r="G362" s="226">
        <f t="shared" si="299"/>
        <v>0.28355295265983405</v>
      </c>
      <c r="H362" s="226">
        <f t="shared" si="299"/>
        <v>0.26176666004603522</v>
      </c>
      <c r="I362" s="226">
        <f t="shared" si="299"/>
        <v>0.24264366785671709</v>
      </c>
      <c r="J362" s="226">
        <f t="shared" si="299"/>
        <v>0.24497204136559569</v>
      </c>
      <c r="K362" s="226">
        <f t="shared" si="299"/>
        <v>0.20385374086145877</v>
      </c>
      <c r="L362" s="226">
        <f t="shared" si="299"/>
        <v>0.25377053205460176</v>
      </c>
      <c r="M362" s="226">
        <f t="shared" si="299"/>
        <v>0.31353720391983064</v>
      </c>
      <c r="N362" s="226">
        <f t="shared" si="299"/>
        <v>0.38880240754175072</v>
      </c>
      <c r="O362" s="630">
        <f t="shared" si="299"/>
        <v>0.43244700656078683</v>
      </c>
      <c r="P362" s="438">
        <f t="shared" si="294"/>
        <v>0.38880240754175072</v>
      </c>
      <c r="Q362" s="438">
        <f t="shared" si="294"/>
        <v>0.43244700656078683</v>
      </c>
      <c r="R362" s="438">
        <f t="shared" si="294"/>
        <v>0.38880240754175072</v>
      </c>
      <c r="S362" s="438"/>
      <c r="T362" s="438"/>
      <c r="U362" s="438"/>
      <c r="V362" s="438"/>
      <c r="W362" s="438"/>
      <c r="X362" s="438"/>
      <c r="Y362" s="438"/>
      <c r="Z362" s="443"/>
      <c r="AA362" s="443"/>
      <c r="AB362" s="443"/>
      <c r="AC362" s="443"/>
      <c r="AD362" s="443">
        <f t="shared" ref="AD362:AO362" si="300">AD439/AD171</f>
        <v>0.13426960046089004</v>
      </c>
      <c r="AE362" s="443">
        <f t="shared" si="300"/>
        <v>0.14759002133530905</v>
      </c>
      <c r="AF362" s="631">
        <f t="shared" si="300"/>
        <v>0.18127143154320532</v>
      </c>
      <c r="AG362" s="631">
        <f t="shared" si="300"/>
        <v>0.17182543046712209</v>
      </c>
      <c r="AH362" s="631">
        <f t="shared" si="300"/>
        <v>0.18639832982176277</v>
      </c>
      <c r="AI362" s="631">
        <f t="shared" si="300"/>
        <v>0.23239104474616412</v>
      </c>
      <c r="AJ362" s="631">
        <f t="shared" si="300"/>
        <v>0.26176666004603522</v>
      </c>
      <c r="AK362" s="631">
        <f t="shared" si="300"/>
        <v>0.24497204136559569</v>
      </c>
      <c r="AL362" s="631">
        <f t="shared" si="300"/>
        <v>0.25377053205460176</v>
      </c>
      <c r="AM362" s="632">
        <f t="shared" si="300"/>
        <v>0.38880240754175072</v>
      </c>
      <c r="AN362" s="631">
        <f t="shared" si="300"/>
        <v>0.38880240754175072</v>
      </c>
      <c r="AO362" s="443">
        <f t="shared" si="300"/>
        <v>0.38880240754175072</v>
      </c>
      <c r="AP362" s="443">
        <f t="shared" si="296"/>
        <v>0.38880240754175072</v>
      </c>
      <c r="AQ362" s="443">
        <f t="shared" si="296"/>
        <v>0.38880240754175072</v>
      </c>
      <c r="AR362" s="443">
        <f t="shared" si="296"/>
        <v>0.38880240754175072</v>
      </c>
      <c r="AS362" s="261"/>
    </row>
    <row r="363" spans="1:45" s="262" customFormat="1" x14ac:dyDescent="0.35">
      <c r="A363" s="305"/>
      <c r="B363" s="368"/>
      <c r="C363" s="307"/>
      <c r="D363" s="307"/>
      <c r="E363" s="307"/>
      <c r="F363" s="307"/>
      <c r="G363" s="307"/>
      <c r="H363" s="307"/>
      <c r="I363" s="307"/>
      <c r="J363" s="307"/>
      <c r="K363" s="307"/>
      <c r="L363" s="307"/>
      <c r="M363" s="307"/>
      <c r="N363" s="307"/>
      <c r="O363" s="308"/>
      <c r="P363" s="307"/>
      <c r="Q363" s="307"/>
      <c r="R363" s="307"/>
      <c r="S363" s="307"/>
      <c r="T363" s="307"/>
      <c r="U363" s="307"/>
      <c r="V363" s="307"/>
      <c r="W363" s="307"/>
      <c r="X363" s="307"/>
      <c r="Y363" s="307"/>
      <c r="Z363" s="309"/>
      <c r="AA363" s="309"/>
      <c r="AB363" s="309"/>
      <c r="AC363" s="309"/>
      <c r="AD363" s="309"/>
      <c r="AE363" s="309"/>
      <c r="AF363" s="309"/>
      <c r="AG363" s="309"/>
      <c r="AH363" s="309"/>
      <c r="AI363" s="309"/>
      <c r="AJ363" s="309"/>
      <c r="AK363" s="309"/>
      <c r="AL363" s="309"/>
      <c r="AM363" s="310"/>
      <c r="AN363" s="309"/>
      <c r="AO363" s="309"/>
      <c r="AP363" s="309"/>
      <c r="AQ363" s="309"/>
      <c r="AR363" s="309"/>
      <c r="AS363" s="261"/>
    </row>
    <row r="364" spans="1:45" s="262" customFormat="1" x14ac:dyDescent="0.35">
      <c r="A364" s="633" t="s">
        <v>874</v>
      </c>
      <c r="B364" s="634"/>
      <c r="C364" s="286"/>
      <c r="D364" s="286"/>
      <c r="E364" s="286"/>
      <c r="F364" s="286"/>
      <c r="G364" s="282">
        <f t="shared" ref="G364:O366" si="301">G360-E360</f>
        <v>4.2447892948422744E-2</v>
      </c>
      <c r="H364" s="282">
        <f t="shared" si="301"/>
        <v>2.9303764472074556E-2</v>
      </c>
      <c r="I364" s="282">
        <f t="shared" si="301"/>
        <v>-1.3252253403533643E-2</v>
      </c>
      <c r="J364" s="282">
        <f t="shared" si="301"/>
        <v>3.9787719662986998E-3</v>
      </c>
      <c r="K364" s="282">
        <f t="shared" si="301"/>
        <v>-1.1162434913187302E-2</v>
      </c>
      <c r="L364" s="282">
        <f t="shared" si="301"/>
        <v>-6.6166698374381938E-3</v>
      </c>
      <c r="M364" s="282">
        <f t="shared" si="301"/>
        <v>9.8594268138784635E-2</v>
      </c>
      <c r="N364" s="282">
        <f t="shared" si="301"/>
        <v>0.21726001809937923</v>
      </c>
      <c r="O364" s="635">
        <f t="shared" si="301"/>
        <v>0.1886943306931505</v>
      </c>
      <c r="P364" s="636">
        <v>0</v>
      </c>
      <c r="Q364" s="636">
        <v>0</v>
      </c>
      <c r="R364" s="636">
        <v>0</v>
      </c>
      <c r="S364" s="636"/>
      <c r="T364" s="636"/>
      <c r="U364" s="636"/>
      <c r="V364" s="636"/>
      <c r="W364" s="636"/>
      <c r="X364" s="636"/>
      <c r="Y364" s="637"/>
      <c r="Z364" s="288"/>
      <c r="AA364" s="288"/>
      <c r="AB364" s="288"/>
      <c r="AC364" s="288"/>
      <c r="AD364" s="288"/>
      <c r="AE364" s="288">
        <f t="shared" ref="AE364:AO366" si="302">AE360-AD360</f>
        <v>-2.0492632477609962E-2</v>
      </c>
      <c r="AF364" s="288">
        <f t="shared" si="302"/>
        <v>6.102887101136989E-3</v>
      </c>
      <c r="AG364" s="638">
        <f t="shared" si="302"/>
        <v>-7.0920693243494148E-3</v>
      </c>
      <c r="AH364" s="638">
        <f t="shared" si="302"/>
        <v>1.0922574858724388E-2</v>
      </c>
      <c r="AI364" s="638">
        <f t="shared" si="302"/>
        <v>4.9928763553776068E-2</v>
      </c>
      <c r="AJ364" s="638">
        <f t="shared" si="302"/>
        <v>2.9303764472074556E-2</v>
      </c>
      <c r="AK364" s="638">
        <f t="shared" si="302"/>
        <v>3.9787719662986998E-3</v>
      </c>
      <c r="AL364" s="638">
        <f t="shared" si="302"/>
        <v>-6.6166698374381938E-3</v>
      </c>
      <c r="AM364" s="639">
        <f t="shared" si="302"/>
        <v>0.21726001809937923</v>
      </c>
      <c r="AN364" s="638">
        <f t="shared" si="302"/>
        <v>0</v>
      </c>
      <c r="AO364" s="288">
        <f t="shared" si="302"/>
        <v>0</v>
      </c>
      <c r="AP364" s="640">
        <v>0</v>
      </c>
      <c r="AQ364" s="640">
        <v>0</v>
      </c>
      <c r="AR364" s="640">
        <v>0</v>
      </c>
      <c r="AS364" s="261"/>
    </row>
    <row r="365" spans="1:45" s="262" customFormat="1" x14ac:dyDescent="0.35">
      <c r="A365" s="633" t="s">
        <v>875</v>
      </c>
      <c r="B365" s="634"/>
      <c r="C365" s="286"/>
      <c r="D365" s="286"/>
      <c r="E365" s="286"/>
      <c r="F365" s="286"/>
      <c r="G365" s="282">
        <f t="shared" si="301"/>
        <v>2.4459798984980189E-2</v>
      </c>
      <c r="H365" s="282">
        <f t="shared" si="301"/>
        <v>3.4855353768316853E-4</v>
      </c>
      <c r="I365" s="282">
        <f t="shared" si="301"/>
        <v>-2.4959392330555861E-2</v>
      </c>
      <c r="J365" s="282">
        <f t="shared" si="301"/>
        <v>-2.7200986206617553E-4</v>
      </c>
      <c r="K365" s="282">
        <f t="shared" si="301"/>
        <v>-3.1184735677679959E-3</v>
      </c>
      <c r="L365" s="282">
        <f t="shared" si="301"/>
        <v>2.2305269497182985E-2</v>
      </c>
      <c r="M365" s="282">
        <f t="shared" si="301"/>
        <v>2.630934968335134E-2</v>
      </c>
      <c r="N365" s="282">
        <f t="shared" si="301"/>
        <v>-2.8473416715237003E-2</v>
      </c>
      <c r="O365" s="635">
        <f t="shared" si="301"/>
        <v>-3.1261629153474045E-2</v>
      </c>
      <c r="P365" s="636">
        <v>0</v>
      </c>
      <c r="Q365" s="636">
        <v>0</v>
      </c>
      <c r="R365" s="636">
        <v>0</v>
      </c>
      <c r="S365" s="636"/>
      <c r="T365" s="636"/>
      <c r="U365" s="636"/>
      <c r="V365" s="636"/>
      <c r="W365" s="636"/>
      <c r="X365" s="636"/>
      <c r="Y365" s="637"/>
      <c r="Z365" s="288"/>
      <c r="AA365" s="288"/>
      <c r="AB365" s="288"/>
      <c r="AC365" s="288"/>
      <c r="AD365" s="288"/>
      <c r="AE365" s="288">
        <f t="shared" si="302"/>
        <v>-1.9353819901635812E-3</v>
      </c>
      <c r="AF365" s="288">
        <f t="shared" si="302"/>
        <v>-4.4277982548877179E-3</v>
      </c>
      <c r="AG365" s="638">
        <f t="shared" si="302"/>
        <v>2.4089876654232924E-3</v>
      </c>
      <c r="AH365" s="638">
        <f t="shared" si="302"/>
        <v>1.5204942289861268E-3</v>
      </c>
      <c r="AI365" s="638">
        <f t="shared" si="302"/>
        <v>2.4480153273718722E-3</v>
      </c>
      <c r="AJ365" s="638">
        <f t="shared" si="302"/>
        <v>3.4855353768316853E-4</v>
      </c>
      <c r="AK365" s="638">
        <f t="shared" si="302"/>
        <v>-2.7200986206617553E-4</v>
      </c>
      <c r="AL365" s="638">
        <f t="shared" si="302"/>
        <v>2.2305269497182985E-2</v>
      </c>
      <c r="AM365" s="639">
        <f t="shared" si="302"/>
        <v>-2.8473416715237003E-2</v>
      </c>
      <c r="AN365" s="638">
        <f t="shared" si="302"/>
        <v>0</v>
      </c>
      <c r="AO365" s="288">
        <f t="shared" si="302"/>
        <v>0</v>
      </c>
      <c r="AP365" s="640">
        <v>0</v>
      </c>
      <c r="AQ365" s="640">
        <v>0</v>
      </c>
      <c r="AR365" s="640">
        <v>0</v>
      </c>
      <c r="AS365" s="261"/>
    </row>
    <row r="366" spans="1:45" s="262" customFormat="1" x14ac:dyDescent="0.35">
      <c r="A366" s="633" t="s">
        <v>876</v>
      </c>
      <c r="B366" s="634"/>
      <c r="C366" s="286"/>
      <c r="D366" s="286"/>
      <c r="E366" s="286"/>
      <c r="F366" s="286"/>
      <c r="G366" s="282">
        <f t="shared" si="301"/>
        <v>6.6263394100610051E-2</v>
      </c>
      <c r="H366" s="282">
        <f t="shared" si="301"/>
        <v>2.9375615299871094E-2</v>
      </c>
      <c r="I366" s="282">
        <f t="shared" si="301"/>
        <v>-4.0909284803116952E-2</v>
      </c>
      <c r="J366" s="282">
        <f t="shared" si="301"/>
        <v>-1.6794618680439521E-2</v>
      </c>
      <c r="K366" s="282">
        <f t="shared" si="301"/>
        <v>-3.8789926995258323E-2</v>
      </c>
      <c r="L366" s="282">
        <f t="shared" si="301"/>
        <v>8.7984906890060666E-3</v>
      </c>
      <c r="M366" s="282">
        <f t="shared" si="301"/>
        <v>0.10968346305837187</v>
      </c>
      <c r="N366" s="282">
        <f t="shared" si="301"/>
        <v>0.13503187548714896</v>
      </c>
      <c r="O366" s="635">
        <f t="shared" si="301"/>
        <v>0.11890980264095619</v>
      </c>
      <c r="P366" s="636">
        <v>0</v>
      </c>
      <c r="Q366" s="636">
        <v>0</v>
      </c>
      <c r="R366" s="636">
        <v>0</v>
      </c>
      <c r="S366" s="636"/>
      <c r="T366" s="636"/>
      <c r="U366" s="636"/>
      <c r="V366" s="636"/>
      <c r="W366" s="636"/>
      <c r="X366" s="636"/>
      <c r="Y366" s="637"/>
      <c r="Z366" s="288"/>
      <c r="AA366" s="288"/>
      <c r="AB366" s="288"/>
      <c r="AC366" s="288"/>
      <c r="AD366" s="288"/>
      <c r="AE366" s="288">
        <f t="shared" si="302"/>
        <v>1.3320420874419009E-2</v>
      </c>
      <c r="AF366" s="288">
        <f t="shared" si="302"/>
        <v>3.3681410207896278E-2</v>
      </c>
      <c r="AG366" s="638">
        <f t="shared" si="302"/>
        <v>-9.4460010760832325E-3</v>
      </c>
      <c r="AH366" s="638">
        <f t="shared" si="302"/>
        <v>1.4572899354640678E-2</v>
      </c>
      <c r="AI366" s="638">
        <f t="shared" si="302"/>
        <v>4.5992714924401351E-2</v>
      </c>
      <c r="AJ366" s="638">
        <f t="shared" si="302"/>
        <v>2.9375615299871094E-2</v>
      </c>
      <c r="AK366" s="638">
        <f t="shared" si="302"/>
        <v>-1.6794618680439521E-2</v>
      </c>
      <c r="AL366" s="638">
        <f t="shared" si="302"/>
        <v>8.7984906890060666E-3</v>
      </c>
      <c r="AM366" s="639">
        <f t="shared" si="302"/>
        <v>0.13503187548714896</v>
      </c>
      <c r="AN366" s="638">
        <f t="shared" si="302"/>
        <v>0</v>
      </c>
      <c r="AO366" s="288">
        <f t="shared" si="302"/>
        <v>0</v>
      </c>
      <c r="AP366" s="640">
        <v>0</v>
      </c>
      <c r="AQ366" s="640">
        <v>0</v>
      </c>
      <c r="AR366" s="640">
        <v>0</v>
      </c>
      <c r="AS366" s="261"/>
    </row>
    <row r="367" spans="1:45" s="262" customFormat="1" x14ac:dyDescent="0.35">
      <c r="A367" s="263"/>
      <c r="B367" s="315"/>
      <c r="C367" s="524"/>
      <c r="D367" s="524"/>
      <c r="E367" s="524"/>
      <c r="F367" s="524"/>
      <c r="G367" s="524"/>
      <c r="H367" s="524"/>
      <c r="I367" s="524"/>
      <c r="J367" s="524"/>
      <c r="K367" s="524"/>
      <c r="L367" s="524"/>
      <c r="M367" s="524"/>
      <c r="N367" s="524"/>
      <c r="O367" s="525"/>
      <c r="P367" s="524"/>
      <c r="Q367" s="524"/>
      <c r="R367" s="524"/>
      <c r="S367" s="524"/>
      <c r="T367" s="524"/>
      <c r="U367" s="524"/>
      <c r="V367" s="524"/>
      <c r="W367" s="524"/>
      <c r="X367" s="524"/>
      <c r="Y367" s="524"/>
      <c r="Z367" s="526"/>
      <c r="AA367" s="526"/>
      <c r="AB367" s="526"/>
      <c r="AC367" s="526"/>
      <c r="AD367" s="526"/>
      <c r="AE367" s="526"/>
      <c r="AF367" s="526"/>
      <c r="AG367" s="526"/>
      <c r="AH367" s="526"/>
      <c r="AI367" s="526"/>
      <c r="AJ367" s="526"/>
      <c r="AK367" s="526"/>
      <c r="AL367" s="526"/>
      <c r="AM367" s="529"/>
      <c r="AN367" s="526"/>
      <c r="AO367" s="526"/>
      <c r="AP367" s="526"/>
      <c r="AQ367" s="526"/>
      <c r="AR367" s="526"/>
      <c r="AS367" s="261"/>
    </row>
    <row r="368" spans="1:45" s="262" customFormat="1" x14ac:dyDescent="0.35">
      <c r="A368" s="627" t="s">
        <v>877</v>
      </c>
      <c r="B368" s="628"/>
      <c r="C368" s="641"/>
      <c r="D368" s="641"/>
      <c r="E368" s="641"/>
      <c r="F368" s="641"/>
      <c r="G368" s="641"/>
      <c r="H368" s="641"/>
      <c r="I368" s="641"/>
      <c r="J368" s="641"/>
      <c r="K368" s="641"/>
      <c r="L368" s="641"/>
      <c r="M368" s="641"/>
      <c r="N368" s="641"/>
      <c r="O368" s="642"/>
      <c r="P368" s="641"/>
      <c r="Q368" s="641"/>
      <c r="R368" s="641"/>
      <c r="S368" s="641"/>
      <c r="T368" s="641"/>
      <c r="U368" s="641"/>
      <c r="V368" s="641"/>
      <c r="W368" s="641"/>
      <c r="X368" s="641"/>
      <c r="Y368" s="641"/>
      <c r="Z368" s="641"/>
      <c r="AA368" s="641"/>
      <c r="AB368" s="641"/>
      <c r="AC368" s="641"/>
      <c r="AD368" s="641"/>
      <c r="AE368" s="641"/>
      <c r="AF368" s="641"/>
      <c r="AG368" s="641"/>
      <c r="AH368" s="641"/>
      <c r="AI368" s="641"/>
      <c r="AJ368" s="641"/>
      <c r="AK368" s="641"/>
      <c r="AL368" s="641"/>
      <c r="AM368" s="642"/>
      <c r="AN368" s="641"/>
      <c r="AO368" s="641"/>
      <c r="AP368" s="641"/>
      <c r="AQ368" s="641"/>
      <c r="AR368" s="641"/>
      <c r="AS368" s="261"/>
    </row>
    <row r="369" spans="1:45" s="262" customFormat="1" x14ac:dyDescent="0.35">
      <c r="A369" s="393" t="s">
        <v>878</v>
      </c>
      <c r="B369" s="368"/>
      <c r="C369" s="643">
        <f>AG373</f>
        <v>6.391</v>
      </c>
      <c r="D369" s="643">
        <f>C373</f>
        <v>6.1429999999999998</v>
      </c>
      <c r="E369" s="643">
        <f>AH373</f>
        <v>5.5789999999999997</v>
      </c>
      <c r="F369" s="643">
        <f>E373</f>
        <v>5.3819999999999997</v>
      </c>
      <c r="G369" s="643">
        <f>AI373</f>
        <v>5.056</v>
      </c>
      <c r="H369" s="643">
        <f>G373</f>
        <v>5.4880000000000004</v>
      </c>
      <c r="I369" s="643">
        <f>AJ373</f>
        <v>5.7610000000000001</v>
      </c>
      <c r="J369" s="643">
        <f>I373</f>
        <v>6.585</v>
      </c>
      <c r="K369" s="643">
        <f>AK373</f>
        <v>11.897</v>
      </c>
      <c r="L369" s="643">
        <f>K373</f>
        <v>12.782999999999999</v>
      </c>
      <c r="M369" s="643">
        <f>AL373</f>
        <v>11.753</v>
      </c>
      <c r="N369" s="643">
        <f>M373</f>
        <v>11.811999999999999</v>
      </c>
      <c r="O369" s="644">
        <f>AM373</f>
        <v>11.27</v>
      </c>
      <c r="P369" s="645">
        <f>O373</f>
        <v>11.166</v>
      </c>
      <c r="Q369" s="645">
        <f>AN373</f>
        <v>11.768577534246576</v>
      </c>
      <c r="R369" s="645">
        <f>Q373</f>
        <v>12.295288864136539</v>
      </c>
      <c r="S369" s="645"/>
      <c r="T369" s="645"/>
      <c r="U369" s="645"/>
      <c r="V369" s="645"/>
      <c r="W369" s="645"/>
      <c r="X369" s="645"/>
      <c r="Y369" s="645"/>
      <c r="Z369" s="646"/>
      <c r="AA369" s="646"/>
      <c r="AB369" s="646"/>
      <c r="AC369" s="646"/>
      <c r="AD369" s="647">
        <v>4.6970000000000001</v>
      </c>
      <c r="AE369" s="646">
        <f t="shared" ref="AE369:AR369" si="303">AD373</f>
        <v>6.351</v>
      </c>
      <c r="AF369" s="648">
        <f t="shared" si="303"/>
        <v>6.6070000000000002</v>
      </c>
      <c r="AG369" s="648">
        <f t="shared" si="303"/>
        <v>6.9969999999999999</v>
      </c>
      <c r="AH369" s="648">
        <f t="shared" si="303"/>
        <v>6.391</v>
      </c>
      <c r="AI369" s="648">
        <f t="shared" si="303"/>
        <v>5.5789999999999997</v>
      </c>
      <c r="AJ369" s="648">
        <f t="shared" si="303"/>
        <v>5.056</v>
      </c>
      <c r="AK369" s="648">
        <f t="shared" si="303"/>
        <v>5.7610000000000001</v>
      </c>
      <c r="AL369" s="648">
        <f t="shared" si="303"/>
        <v>11.897</v>
      </c>
      <c r="AM369" s="649">
        <f t="shared" si="303"/>
        <v>11.753</v>
      </c>
      <c r="AN369" s="646">
        <f t="shared" si="303"/>
        <v>11.27</v>
      </c>
      <c r="AO369" s="646">
        <f t="shared" si="303"/>
        <v>11.768577534246576</v>
      </c>
      <c r="AP369" s="646">
        <f t="shared" si="303"/>
        <v>12.782478714807114</v>
      </c>
      <c r="AQ369" s="646">
        <f t="shared" si="303"/>
        <v>13.64598297184569</v>
      </c>
      <c r="AR369" s="646">
        <f t="shared" si="303"/>
        <v>14.336786377476553</v>
      </c>
      <c r="AS369" s="261"/>
    </row>
    <row r="370" spans="1:45" s="262" customFormat="1" x14ac:dyDescent="0.35">
      <c r="A370" s="303" t="s">
        <v>879</v>
      </c>
      <c r="B370" s="315"/>
      <c r="C370" s="650">
        <f t="shared" ref="C370:O370" si="304">-C316</f>
        <v>-0.82399999999999995</v>
      </c>
      <c r="D370" s="650">
        <f t="shared" si="304"/>
        <v>-0.81700000000000006</v>
      </c>
      <c r="E370" s="650">
        <f t="shared" si="304"/>
        <v>-0.745</v>
      </c>
      <c r="F370" s="650">
        <f t="shared" si="304"/>
        <v>-0.71499999999999997</v>
      </c>
      <c r="G370" s="650">
        <f t="shared" si="304"/>
        <v>-0.64600000000000002</v>
      </c>
      <c r="H370" s="650">
        <f t="shared" si="304"/>
        <v>-0.62899999999999989</v>
      </c>
      <c r="I370" s="650">
        <f t="shared" si="304"/>
        <v>-0.58199999999999996</v>
      </c>
      <c r="J370" s="650">
        <f t="shared" si="304"/>
        <v>-0.79999999999999993</v>
      </c>
      <c r="K370" s="650">
        <f t="shared" si="304"/>
        <v>-1.1739999999999999</v>
      </c>
      <c r="L370" s="650">
        <f t="shared" si="304"/>
        <v>-1.1579999999999999</v>
      </c>
      <c r="M370" s="650">
        <f t="shared" si="304"/>
        <v>-1.1819999999999999</v>
      </c>
      <c r="N370" s="650">
        <f t="shared" si="304"/>
        <v>-1.1910000000000003</v>
      </c>
      <c r="O370" s="651">
        <f t="shared" si="304"/>
        <v>-1.155</v>
      </c>
      <c r="P370" s="524">
        <f>-P369*P381*P3/AN3</f>
        <v>-1.1074224657534246</v>
      </c>
      <c r="Q370" s="524">
        <f>-Q369*Q381*Q3/AO3</f>
        <v>-1.1832886701100382</v>
      </c>
      <c r="R370" s="524">
        <f>-R369*R381*R3/AO3</f>
        <v>-1.2228101493294263</v>
      </c>
      <c r="S370" s="524"/>
      <c r="T370" s="524"/>
      <c r="U370" s="524"/>
      <c r="V370" s="524"/>
      <c r="W370" s="524"/>
      <c r="X370" s="524"/>
      <c r="Y370" s="524"/>
      <c r="Z370" s="526"/>
      <c r="AA370" s="526"/>
      <c r="AB370" s="526"/>
      <c r="AC370" s="526"/>
      <c r="AD370" s="526">
        <f t="shared" ref="AD370:AM370" si="305">-AD316</f>
        <v>-1.0680000000000001</v>
      </c>
      <c r="AE370" s="526">
        <f t="shared" si="305"/>
        <v>-1.5649999999999999</v>
      </c>
      <c r="AF370" s="527">
        <f t="shared" si="305"/>
        <v>-1.794</v>
      </c>
      <c r="AG370" s="527">
        <f t="shared" si="305"/>
        <v>-1.796</v>
      </c>
      <c r="AH370" s="527">
        <f t="shared" si="305"/>
        <v>-1.641</v>
      </c>
      <c r="AI370" s="527">
        <f t="shared" si="305"/>
        <v>-1.46</v>
      </c>
      <c r="AJ370" s="527">
        <f t="shared" si="305"/>
        <v>-1.2749999999999999</v>
      </c>
      <c r="AK370" s="527">
        <f t="shared" si="305"/>
        <v>-1.3819999999999999</v>
      </c>
      <c r="AL370" s="527">
        <f t="shared" si="305"/>
        <v>-2.3319999999999999</v>
      </c>
      <c r="AM370" s="528">
        <f t="shared" si="305"/>
        <v>-2.3730000000000002</v>
      </c>
      <c r="AN370" s="526">
        <f>IF(OR(ISBLANK(O370),ISBLANK(P370)),"n/a",SUM(O370,P370))</f>
        <v>-2.2624224657534246</v>
      </c>
      <c r="AO370" s="526">
        <f>IF(OR(ISBLANK(Q370),ISBLANK(R370)),"n/a",SUM(Q370,R370))</f>
        <v>-2.4060988194394648</v>
      </c>
      <c r="AP370" s="526">
        <f>-AP369*AP381</f>
        <v>-2.556495742961423</v>
      </c>
      <c r="AQ370" s="526">
        <f>-AQ369*AQ381</f>
        <v>-2.7291965943691383</v>
      </c>
      <c r="AR370" s="526">
        <f>-AR369*AR381</f>
        <v>-2.8673572754953107</v>
      </c>
      <c r="AS370" s="261"/>
    </row>
    <row r="371" spans="1:45" s="262" customFormat="1" x14ac:dyDescent="0.35">
      <c r="A371" s="303" t="s">
        <v>880</v>
      </c>
      <c r="B371" s="315"/>
      <c r="C371" s="650">
        <f t="shared" ref="C371:O371" si="306">C387+C334</f>
        <v>0.65700000000000003</v>
      </c>
      <c r="D371" s="650">
        <f t="shared" si="306"/>
        <v>0.28799999999999992</v>
      </c>
      <c r="E371" s="650">
        <f t="shared" si="306"/>
        <v>0.55300000000000005</v>
      </c>
      <c r="F371" s="650">
        <f t="shared" si="306"/>
        <v>0.41199999999999992</v>
      </c>
      <c r="G371" s="650">
        <f t="shared" si="306"/>
        <v>1.175</v>
      </c>
      <c r="H371" s="650">
        <f t="shared" si="306"/>
        <v>0.9930000000000001</v>
      </c>
      <c r="I371" s="650">
        <f t="shared" si="306"/>
        <v>1.4840000000000002</v>
      </c>
      <c r="J371" s="650">
        <f t="shared" si="306"/>
        <v>6.18</v>
      </c>
      <c r="K371" s="650">
        <f t="shared" si="306"/>
        <v>2.06</v>
      </c>
      <c r="L371" s="650">
        <f t="shared" si="306"/>
        <v>0.20500000000000007</v>
      </c>
      <c r="M371" s="650">
        <f t="shared" si="306"/>
        <v>1.242</v>
      </c>
      <c r="N371" s="650">
        <f t="shared" si="306"/>
        <v>0.64800000000000013</v>
      </c>
      <c r="O371" s="651">
        <f t="shared" si="306"/>
        <v>1.052</v>
      </c>
      <c r="P371" s="524">
        <f>P387*(1-P388)</f>
        <v>1.7100000000000002</v>
      </c>
      <c r="Q371" s="524">
        <f>Q387*(1-Q388)</f>
        <v>1.7100000000000002</v>
      </c>
      <c r="R371" s="524">
        <f>R387*(1-R388)</f>
        <v>1.7100000000000002</v>
      </c>
      <c r="S371" s="524"/>
      <c r="T371" s="524"/>
      <c r="U371" s="524"/>
      <c r="V371" s="524"/>
      <c r="W371" s="524"/>
      <c r="X371" s="524"/>
      <c r="Y371" s="524"/>
      <c r="Z371" s="526"/>
      <c r="AA371" s="526"/>
      <c r="AB371" s="526"/>
      <c r="AC371" s="526"/>
      <c r="AD371" s="526">
        <f t="shared" ref="AD371:AM371" si="307">AD387+AD334</f>
        <v>2.722</v>
      </c>
      <c r="AE371" s="526">
        <f t="shared" si="307"/>
        <v>1.8220000000000001</v>
      </c>
      <c r="AF371" s="527">
        <f t="shared" si="307"/>
        <v>2.2170000000000001</v>
      </c>
      <c r="AG371" s="527">
        <f t="shared" si="307"/>
        <v>1.19</v>
      </c>
      <c r="AH371" s="527">
        <f t="shared" si="307"/>
        <v>0.94499999999999984</v>
      </c>
      <c r="AI371" s="527">
        <f t="shared" si="307"/>
        <v>0.96500000000000008</v>
      </c>
      <c r="AJ371" s="527">
        <f t="shared" si="307"/>
        <v>2.1680000000000001</v>
      </c>
      <c r="AK371" s="527">
        <f t="shared" si="307"/>
        <v>7.6639999999999988</v>
      </c>
      <c r="AL371" s="527">
        <f t="shared" si="307"/>
        <v>2.2650000000000006</v>
      </c>
      <c r="AM371" s="528">
        <f t="shared" si="307"/>
        <v>1.8900000000000001</v>
      </c>
      <c r="AN371" s="526">
        <f>IF(OR(ISBLANK(O371),ISBLANK(P371)),"n/a",SUM(O371,P371))</f>
        <v>2.7620000000000005</v>
      </c>
      <c r="AO371" s="526">
        <f>IF(OR(ISBLANK(Q371),ISBLANK(R371)),"n/a",SUM(Q371,R371))</f>
        <v>3.4200000000000004</v>
      </c>
      <c r="AP371" s="526">
        <f>AP387*(1-AP388)</f>
        <v>3.4200000000000004</v>
      </c>
      <c r="AQ371" s="526">
        <f>AQ387*(1-AQ388)</f>
        <v>3.4200000000000004</v>
      </c>
      <c r="AR371" s="526">
        <f>AR387*(1-AR388)</f>
        <v>3.4200000000000004</v>
      </c>
      <c r="AS371" s="261"/>
    </row>
    <row r="372" spans="1:45" s="262" customFormat="1" x14ac:dyDescent="0.35">
      <c r="A372" s="303" t="s">
        <v>881</v>
      </c>
      <c r="B372" s="315"/>
      <c r="C372" s="650">
        <f t="shared" ref="C372:R372" si="308">ROUND(C373-C369-C370-C371,6)</f>
        <v>-8.1000000000000003E-2</v>
      </c>
      <c r="D372" s="650">
        <f t="shared" si="308"/>
        <v>-3.5000000000000003E-2</v>
      </c>
      <c r="E372" s="650">
        <f t="shared" si="308"/>
        <v>-5.0000000000000001E-3</v>
      </c>
      <c r="F372" s="650">
        <f t="shared" si="308"/>
        <v>-2.3E-2</v>
      </c>
      <c r="G372" s="650">
        <f t="shared" si="308"/>
        <v>-9.7000000000000003E-2</v>
      </c>
      <c r="H372" s="650">
        <f t="shared" si="308"/>
        <v>-9.0999999999999998E-2</v>
      </c>
      <c r="I372" s="650">
        <f t="shared" si="308"/>
        <v>-7.8E-2</v>
      </c>
      <c r="J372" s="650">
        <f t="shared" si="308"/>
        <v>-6.8000000000000005E-2</v>
      </c>
      <c r="K372" s="650">
        <f t="shared" si="308"/>
        <v>0</v>
      </c>
      <c r="L372" s="650">
        <f t="shared" si="308"/>
        <v>-7.6999999999999999E-2</v>
      </c>
      <c r="M372" s="650">
        <f t="shared" si="308"/>
        <v>-1E-3</v>
      </c>
      <c r="N372" s="650">
        <f t="shared" si="308"/>
        <v>1E-3</v>
      </c>
      <c r="O372" s="651">
        <f t="shared" si="308"/>
        <v>-1E-3</v>
      </c>
      <c r="P372" s="524">
        <f t="shared" si="308"/>
        <v>0</v>
      </c>
      <c r="Q372" s="524">
        <f t="shared" si="308"/>
        <v>0</v>
      </c>
      <c r="R372" s="524">
        <f t="shared" si="308"/>
        <v>0</v>
      </c>
      <c r="S372" s="524"/>
      <c r="T372" s="524"/>
      <c r="U372" s="524"/>
      <c r="V372" s="524"/>
      <c r="W372" s="524"/>
      <c r="X372" s="524"/>
      <c r="Y372" s="524"/>
      <c r="Z372" s="526"/>
      <c r="AA372" s="526"/>
      <c r="AB372" s="526"/>
      <c r="AC372" s="526"/>
      <c r="AD372" s="526">
        <f t="shared" ref="AD372:AM372" si="309">ROUND(AD373-AD369-AD370-AD371,6)</f>
        <v>0</v>
      </c>
      <c r="AE372" s="526">
        <f t="shared" si="309"/>
        <v>-1E-3</v>
      </c>
      <c r="AF372" s="527">
        <f t="shared" si="309"/>
        <v>-3.3000000000000002E-2</v>
      </c>
      <c r="AG372" s="527">
        <f t="shared" si="309"/>
        <v>0</v>
      </c>
      <c r="AH372" s="527">
        <f t="shared" si="309"/>
        <v>-0.11600000000000001</v>
      </c>
      <c r="AI372" s="527">
        <f t="shared" si="309"/>
        <v>-2.8000000000000001E-2</v>
      </c>
      <c r="AJ372" s="527">
        <f t="shared" si="309"/>
        <v>-0.188</v>
      </c>
      <c r="AK372" s="527">
        <f t="shared" si="309"/>
        <v>-0.14599999999999999</v>
      </c>
      <c r="AL372" s="527">
        <f t="shared" si="309"/>
        <v>-7.6999999999999999E-2</v>
      </c>
      <c r="AM372" s="528">
        <f t="shared" si="309"/>
        <v>0</v>
      </c>
      <c r="AN372" s="526">
        <f>ROUND(AN373-AN369-IF(ISNUMBER(AN370),AN370,0)-IF(ISNUMBER(AN371),AN371,0),6)</f>
        <v>-1E-3</v>
      </c>
      <c r="AO372" s="526">
        <f>ROUND(AO373-AO369-IF(ISNUMBER(AO370),AO370,0)-IF(ISNUMBER(AO371),AO371,0),6)</f>
        <v>0</v>
      </c>
      <c r="AP372" s="526">
        <f>ROUND(AP373-AP369-AP370-AP371,6)</f>
        <v>0</v>
      </c>
      <c r="AQ372" s="526">
        <f>ROUND(AQ373-AQ369-AQ370-AQ371,6)</f>
        <v>0</v>
      </c>
      <c r="AR372" s="526">
        <f>ROUND(AR373-AR369-AR370-AR371,6)</f>
        <v>0</v>
      </c>
      <c r="AS372" s="261"/>
    </row>
    <row r="373" spans="1:45" s="262" customFormat="1" x14ac:dyDescent="0.35">
      <c r="A373" s="652" t="s">
        <v>882</v>
      </c>
      <c r="B373" s="653"/>
      <c r="C373" s="654">
        <f t="shared" ref="C373:R373" si="310">C431</f>
        <v>6.1429999999999998</v>
      </c>
      <c r="D373" s="654">
        <f t="shared" si="310"/>
        <v>5.5789999999999997</v>
      </c>
      <c r="E373" s="654">
        <f t="shared" si="310"/>
        <v>5.3819999999999997</v>
      </c>
      <c r="F373" s="654">
        <f t="shared" si="310"/>
        <v>5.056</v>
      </c>
      <c r="G373" s="654">
        <f t="shared" si="310"/>
        <v>5.4880000000000004</v>
      </c>
      <c r="H373" s="654">
        <f t="shared" si="310"/>
        <v>5.7610000000000001</v>
      </c>
      <c r="I373" s="654">
        <f t="shared" si="310"/>
        <v>6.585</v>
      </c>
      <c r="J373" s="654">
        <f t="shared" si="310"/>
        <v>11.897</v>
      </c>
      <c r="K373" s="654">
        <f t="shared" si="310"/>
        <v>12.782999999999999</v>
      </c>
      <c r="L373" s="654">
        <f t="shared" si="310"/>
        <v>11.753</v>
      </c>
      <c r="M373" s="654">
        <f t="shared" si="310"/>
        <v>11.811999999999999</v>
      </c>
      <c r="N373" s="654">
        <f t="shared" si="310"/>
        <v>11.27</v>
      </c>
      <c r="O373" s="655">
        <f t="shared" si="310"/>
        <v>11.166</v>
      </c>
      <c r="P373" s="562">
        <f t="shared" si="310"/>
        <v>11.768577534246576</v>
      </c>
      <c r="Q373" s="562">
        <f t="shared" si="310"/>
        <v>12.295288864136539</v>
      </c>
      <c r="R373" s="562">
        <f t="shared" si="310"/>
        <v>12.782478714807114</v>
      </c>
      <c r="S373" s="562"/>
      <c r="T373" s="562"/>
      <c r="U373" s="562"/>
      <c r="V373" s="562"/>
      <c r="W373" s="562"/>
      <c r="X373" s="562"/>
      <c r="Y373" s="562"/>
      <c r="Z373" s="564"/>
      <c r="AA373" s="564"/>
      <c r="AB373" s="564"/>
      <c r="AC373" s="564"/>
      <c r="AD373" s="564">
        <f t="shared" ref="AD373:AR373" si="311">AD431</f>
        <v>6.351</v>
      </c>
      <c r="AE373" s="656">
        <f t="shared" si="311"/>
        <v>6.6070000000000002</v>
      </c>
      <c r="AF373" s="656">
        <f t="shared" si="311"/>
        <v>6.9969999999999999</v>
      </c>
      <c r="AG373" s="656">
        <f t="shared" si="311"/>
        <v>6.391</v>
      </c>
      <c r="AH373" s="656">
        <f t="shared" si="311"/>
        <v>5.5789999999999997</v>
      </c>
      <c r="AI373" s="656">
        <f t="shared" si="311"/>
        <v>5.056</v>
      </c>
      <c r="AJ373" s="656">
        <f t="shared" si="311"/>
        <v>5.7610000000000001</v>
      </c>
      <c r="AK373" s="656">
        <f t="shared" si="311"/>
        <v>11.897</v>
      </c>
      <c r="AL373" s="656">
        <f t="shared" si="311"/>
        <v>11.753</v>
      </c>
      <c r="AM373" s="657">
        <f t="shared" si="311"/>
        <v>11.27</v>
      </c>
      <c r="AN373" s="564">
        <f t="shared" si="311"/>
        <v>11.768577534246576</v>
      </c>
      <c r="AO373" s="564">
        <f t="shared" si="311"/>
        <v>12.782478714807114</v>
      </c>
      <c r="AP373" s="564">
        <f t="shared" si="311"/>
        <v>13.64598297184569</v>
      </c>
      <c r="AQ373" s="564">
        <f t="shared" si="311"/>
        <v>14.336786377476553</v>
      </c>
      <c r="AR373" s="564">
        <f t="shared" si="311"/>
        <v>14.889429101981245</v>
      </c>
      <c r="AS373" s="261"/>
    </row>
    <row r="374" spans="1:45" s="262" customFormat="1" x14ac:dyDescent="0.35">
      <c r="A374" s="263"/>
      <c r="B374" s="315"/>
      <c r="C374" s="524"/>
      <c r="D374" s="524"/>
      <c r="E374" s="524"/>
      <c r="F374" s="524"/>
      <c r="G374" s="524"/>
      <c r="H374" s="524"/>
      <c r="I374" s="524"/>
      <c r="J374" s="524"/>
      <c r="K374" s="524"/>
      <c r="L374" s="524"/>
      <c r="M374" s="524"/>
      <c r="N374" s="524"/>
      <c r="O374" s="525"/>
      <c r="P374" s="524"/>
      <c r="Q374" s="524"/>
      <c r="R374" s="524"/>
      <c r="S374" s="524"/>
      <c r="T374" s="524"/>
      <c r="U374" s="524"/>
      <c r="V374" s="524"/>
      <c r="W374" s="524"/>
      <c r="X374" s="524"/>
      <c r="Y374" s="524"/>
      <c r="Z374" s="526"/>
      <c r="AA374" s="526"/>
      <c r="AB374" s="526"/>
      <c r="AC374" s="526"/>
      <c r="AD374" s="526"/>
      <c r="AE374" s="526"/>
      <c r="AF374" s="526"/>
      <c r="AG374" s="526"/>
      <c r="AH374" s="526"/>
      <c r="AI374" s="526"/>
      <c r="AJ374" s="526"/>
      <c r="AK374" s="526"/>
      <c r="AL374" s="526"/>
      <c r="AM374" s="529"/>
      <c r="AN374" s="526"/>
      <c r="AO374" s="526"/>
      <c r="AP374" s="526"/>
      <c r="AQ374" s="526"/>
      <c r="AR374" s="526"/>
      <c r="AS374" s="261"/>
    </row>
    <row r="375" spans="1:45" s="262" customFormat="1" x14ac:dyDescent="0.35">
      <c r="A375" s="393" t="s">
        <v>883</v>
      </c>
      <c r="B375" s="368"/>
      <c r="C375" s="643">
        <f>AG379</f>
        <v>0.66700000000000004</v>
      </c>
      <c r="D375" s="643">
        <f>C379</f>
        <v>0.94399999999999995</v>
      </c>
      <c r="E375" s="643">
        <f>AH379</f>
        <v>0.504</v>
      </c>
      <c r="F375" s="643">
        <f>E379</f>
        <v>0.38600000000000001</v>
      </c>
      <c r="G375" s="643">
        <f>AI379</f>
        <v>0.32400000000000001</v>
      </c>
      <c r="H375" s="643">
        <f>G379</f>
        <v>0.34599999999999997</v>
      </c>
      <c r="I375" s="643">
        <f>AJ379</f>
        <v>0.24</v>
      </c>
      <c r="J375" s="643">
        <f>I379</f>
        <v>0.70099999999999996</v>
      </c>
      <c r="K375" s="643">
        <f>AK379</f>
        <v>1.3009999999999999</v>
      </c>
      <c r="L375" s="643">
        <f>K379</f>
        <v>2.6960000000000002</v>
      </c>
      <c r="M375" s="643">
        <f>AL379</f>
        <v>5.202</v>
      </c>
      <c r="N375" s="643">
        <f>M379</f>
        <v>6.6959999999999997</v>
      </c>
      <c r="O375" s="644">
        <f>AM379</f>
        <v>7.9779999999999998</v>
      </c>
      <c r="P375" s="645">
        <f>O379</f>
        <v>7.5750000000000002</v>
      </c>
      <c r="Q375" s="645">
        <f>AN379</f>
        <v>7.9259075342465755</v>
      </c>
      <c r="R375" s="645">
        <f>Q379</f>
        <v>8.2197552211991916</v>
      </c>
      <c r="S375" s="645"/>
      <c r="T375" s="645"/>
      <c r="U375" s="645"/>
      <c r="V375" s="645"/>
      <c r="W375" s="645"/>
      <c r="X375" s="645"/>
      <c r="Y375" s="645"/>
      <c r="Z375" s="646"/>
      <c r="AA375" s="646"/>
      <c r="AB375" s="646"/>
      <c r="AC375" s="646"/>
      <c r="AD375" s="647">
        <v>0.129</v>
      </c>
      <c r="AE375" s="646">
        <f t="shared" ref="AE375:AR375" si="312">AD379</f>
        <v>0.40600000000000003</v>
      </c>
      <c r="AF375" s="648">
        <f t="shared" si="312"/>
        <v>0.52300000000000002</v>
      </c>
      <c r="AG375" s="648">
        <f t="shared" si="312"/>
        <v>0.45800000000000002</v>
      </c>
      <c r="AH375" s="648">
        <f t="shared" si="312"/>
        <v>0.66700000000000004</v>
      </c>
      <c r="AI375" s="648">
        <f t="shared" si="312"/>
        <v>0.504</v>
      </c>
      <c r="AJ375" s="648">
        <f t="shared" si="312"/>
        <v>0.32400000000000001</v>
      </c>
      <c r="AK375" s="648">
        <f t="shared" si="312"/>
        <v>0.24</v>
      </c>
      <c r="AL375" s="648">
        <f t="shared" si="312"/>
        <v>1.3009999999999999</v>
      </c>
      <c r="AM375" s="649">
        <f t="shared" si="312"/>
        <v>5.202</v>
      </c>
      <c r="AN375" s="646">
        <f t="shared" si="312"/>
        <v>7.9779999999999998</v>
      </c>
      <c r="AO375" s="646">
        <f t="shared" si="312"/>
        <v>7.9259075342465755</v>
      </c>
      <c r="AP375" s="646">
        <f t="shared" si="312"/>
        <v>8.4879004054490199</v>
      </c>
      <c r="AQ375" s="646">
        <f t="shared" si="312"/>
        <v>8.9459253040867655</v>
      </c>
      <c r="AR375" s="646">
        <f t="shared" si="312"/>
        <v>9.2894439780650746</v>
      </c>
      <c r="AS375" s="261"/>
    </row>
    <row r="376" spans="1:45" s="262" customFormat="1" x14ac:dyDescent="0.35">
      <c r="A376" s="303" t="s">
        <v>338</v>
      </c>
      <c r="B376" s="315"/>
      <c r="C376" s="650">
        <f t="shared" ref="C376:O376" si="313">-C318</f>
        <v>-0.16500000000000001</v>
      </c>
      <c r="D376" s="650">
        <f t="shared" si="313"/>
        <v>-0.20199999999999999</v>
      </c>
      <c r="E376" s="650">
        <f t="shared" si="313"/>
        <v>-0.154</v>
      </c>
      <c r="F376" s="650">
        <f t="shared" si="313"/>
        <v>-0.14499999999999999</v>
      </c>
      <c r="G376" s="650">
        <f t="shared" si="313"/>
        <v>-0.121</v>
      </c>
      <c r="H376" s="650">
        <f t="shared" si="313"/>
        <v>-0.124</v>
      </c>
      <c r="I376" s="650">
        <f t="shared" si="313"/>
        <v>-6.9000000000000006E-2</v>
      </c>
      <c r="J376" s="650">
        <f t="shared" si="313"/>
        <v>-0.16300000000000001</v>
      </c>
      <c r="K376" s="650">
        <f t="shared" si="313"/>
        <v>-0.17499999999999999</v>
      </c>
      <c r="L376" s="650">
        <f t="shared" si="313"/>
        <v>-0.122</v>
      </c>
      <c r="M376" s="650">
        <f t="shared" si="313"/>
        <v>-7.8E-2</v>
      </c>
      <c r="N376" s="650">
        <f t="shared" si="313"/>
        <v>-0.48000000000000004</v>
      </c>
      <c r="O376" s="651">
        <f t="shared" si="313"/>
        <v>-0.76300000000000001</v>
      </c>
      <c r="P376" s="524">
        <f>-P375*P382*P3/AN3</f>
        <v>-0.93909246575342464</v>
      </c>
      <c r="Q376" s="524">
        <f>-Q375*Q382*Q3/AO3</f>
        <v>-0.99615231304738383</v>
      </c>
      <c r="R376" s="524">
        <f>-R375*R382*R3/AO3</f>
        <v>-1.0218548157501728</v>
      </c>
      <c r="S376" s="524"/>
      <c r="T376" s="524"/>
      <c r="U376" s="524"/>
      <c r="V376" s="524"/>
      <c r="W376" s="524"/>
      <c r="X376" s="524"/>
      <c r="Y376" s="524"/>
      <c r="Z376" s="526"/>
      <c r="AA376" s="526"/>
      <c r="AB376" s="526"/>
      <c r="AC376" s="526"/>
      <c r="AD376" s="526">
        <f t="shared" ref="AD376:AM376" si="314">-AD318</f>
        <v>-9.8000000000000004E-2</v>
      </c>
      <c r="AE376" s="526">
        <f t="shared" si="314"/>
        <v>-0.21299999999999999</v>
      </c>
      <c r="AF376" s="527">
        <f t="shared" si="314"/>
        <v>-0.35299999999999998</v>
      </c>
      <c r="AG376" s="527">
        <f t="shared" si="314"/>
        <v>-0.32700000000000001</v>
      </c>
      <c r="AH376" s="527">
        <f t="shared" si="314"/>
        <v>-0.36699999999999999</v>
      </c>
      <c r="AI376" s="527">
        <f t="shared" si="314"/>
        <v>-0.29899999999999999</v>
      </c>
      <c r="AJ376" s="527">
        <f t="shared" si="314"/>
        <v>-0.245</v>
      </c>
      <c r="AK376" s="527">
        <f t="shared" si="314"/>
        <v>-0.23200000000000001</v>
      </c>
      <c r="AL376" s="527">
        <f t="shared" si="314"/>
        <v>-0.29699999999999999</v>
      </c>
      <c r="AM376" s="528">
        <f t="shared" si="314"/>
        <v>-0.55800000000000005</v>
      </c>
      <c r="AN376" s="526">
        <f>IF(OR(ISBLANK(O376),ISBLANK(P376)),"n/a",SUM(O376,P376))</f>
        <v>-1.7020924657534247</v>
      </c>
      <c r="AO376" s="526">
        <f>IF(OR(ISBLANK(Q376),ISBLANK(R376)),"n/a",SUM(Q376,R376))</f>
        <v>-2.0180071287975565</v>
      </c>
      <c r="AP376" s="526">
        <f>-AP375*AP382</f>
        <v>-2.121975101362255</v>
      </c>
      <c r="AQ376" s="526">
        <f>-AQ375*AQ382</f>
        <v>-2.2364813260216914</v>
      </c>
      <c r="AR376" s="526">
        <f>-AR375*AR382</f>
        <v>-2.3223609945162687</v>
      </c>
      <c r="AS376" s="261"/>
    </row>
    <row r="377" spans="1:45" s="262" customFormat="1" x14ac:dyDescent="0.35">
      <c r="A377" s="303" t="s">
        <v>884</v>
      </c>
      <c r="B377" s="315"/>
      <c r="C377" s="650">
        <f t="shared" ref="C377:O377" si="315">-C334</f>
        <v>0.443</v>
      </c>
      <c r="D377" s="650">
        <f t="shared" si="315"/>
        <v>7.3000000000000009E-2</v>
      </c>
      <c r="E377" s="650">
        <f t="shared" si="315"/>
        <v>3.6999999999999998E-2</v>
      </c>
      <c r="F377" s="650">
        <f t="shared" si="315"/>
        <v>8.199999999999999E-2</v>
      </c>
      <c r="G377" s="650">
        <f t="shared" si="315"/>
        <v>0.14499999999999999</v>
      </c>
      <c r="H377" s="650">
        <f t="shared" si="315"/>
        <v>1.6000000000000014E-2</v>
      </c>
      <c r="I377" s="650">
        <f t="shared" si="315"/>
        <v>0.53</v>
      </c>
      <c r="J377" s="650">
        <f t="shared" si="315"/>
        <v>0.7629999999999999</v>
      </c>
      <c r="K377" s="650">
        <f t="shared" si="315"/>
        <v>1.569</v>
      </c>
      <c r="L377" s="650">
        <f t="shared" si="315"/>
        <v>2.63</v>
      </c>
      <c r="M377" s="650">
        <f t="shared" si="315"/>
        <v>1.5720000000000001</v>
      </c>
      <c r="N377" s="650">
        <f t="shared" si="315"/>
        <v>1.762</v>
      </c>
      <c r="O377" s="651">
        <f t="shared" si="315"/>
        <v>0.36099999999999999</v>
      </c>
      <c r="P377" s="524">
        <f>P387*P388</f>
        <v>1.29</v>
      </c>
      <c r="Q377" s="524">
        <f>Q387*Q388</f>
        <v>1.29</v>
      </c>
      <c r="R377" s="524">
        <f>R387*R388</f>
        <v>1.29</v>
      </c>
      <c r="S377" s="524"/>
      <c r="T377" s="524"/>
      <c r="U377" s="524"/>
      <c r="V377" s="524"/>
      <c r="W377" s="524"/>
      <c r="X377" s="524"/>
      <c r="Y377" s="524"/>
      <c r="Z377" s="526"/>
      <c r="AA377" s="526"/>
      <c r="AB377" s="526"/>
      <c r="AC377" s="526"/>
      <c r="AD377" s="526">
        <f t="shared" ref="AD377:AM377" si="316">-AD334</f>
        <v>0.375</v>
      </c>
      <c r="AE377" s="526">
        <f t="shared" si="316"/>
        <v>0.33</v>
      </c>
      <c r="AF377" s="527">
        <f t="shared" si="316"/>
        <v>0.28799999999999998</v>
      </c>
      <c r="AG377" s="527">
        <f t="shared" si="316"/>
        <v>0.53600000000000003</v>
      </c>
      <c r="AH377" s="527">
        <f t="shared" si="316"/>
        <v>0.51600000000000001</v>
      </c>
      <c r="AI377" s="527">
        <f t="shared" si="316"/>
        <v>0.11899999999999999</v>
      </c>
      <c r="AJ377" s="527">
        <f t="shared" si="316"/>
        <v>0.161</v>
      </c>
      <c r="AK377" s="527">
        <f t="shared" si="316"/>
        <v>1.2929999999999999</v>
      </c>
      <c r="AL377" s="527">
        <f t="shared" si="316"/>
        <v>4.1989999999999998</v>
      </c>
      <c r="AM377" s="528">
        <f t="shared" si="316"/>
        <v>3.3340000000000001</v>
      </c>
      <c r="AN377" s="526">
        <f>IF(OR(ISBLANK(O377),ISBLANK(P377)),"n/a",SUM(O377,P377))</f>
        <v>1.651</v>
      </c>
      <c r="AO377" s="526">
        <f>IF(OR(ISBLANK(Q377),ISBLANK(R377)),"n/a",SUM(Q377,R377))</f>
        <v>2.58</v>
      </c>
      <c r="AP377" s="526">
        <f>AP387*AP388</f>
        <v>2.58</v>
      </c>
      <c r="AQ377" s="526">
        <f>AQ387*AQ388</f>
        <v>2.58</v>
      </c>
      <c r="AR377" s="526">
        <f>AR387*AR388</f>
        <v>2.58</v>
      </c>
      <c r="AS377" s="261"/>
    </row>
    <row r="378" spans="1:45" s="262" customFormat="1" x14ac:dyDescent="0.35">
      <c r="A378" s="303" t="s">
        <v>885</v>
      </c>
      <c r="B378" s="315"/>
      <c r="C378" s="650">
        <f t="shared" ref="C378:R378" si="317">ROUND(C379-C375-C376-C377,6)</f>
        <v>-1E-3</v>
      </c>
      <c r="D378" s="650">
        <f t="shared" si="317"/>
        <v>-0.311</v>
      </c>
      <c r="E378" s="650">
        <f t="shared" si="317"/>
        <v>-1E-3</v>
      </c>
      <c r="F378" s="650">
        <f t="shared" si="317"/>
        <v>1E-3</v>
      </c>
      <c r="G378" s="650">
        <f t="shared" si="317"/>
        <v>-2E-3</v>
      </c>
      <c r="H378" s="650">
        <f t="shared" si="317"/>
        <v>2E-3</v>
      </c>
      <c r="I378" s="650">
        <f t="shared" si="317"/>
        <v>0</v>
      </c>
      <c r="J378" s="650">
        <f t="shared" si="317"/>
        <v>0</v>
      </c>
      <c r="K378" s="650">
        <f t="shared" si="317"/>
        <v>1E-3</v>
      </c>
      <c r="L378" s="650">
        <f t="shared" si="317"/>
        <v>-2E-3</v>
      </c>
      <c r="M378" s="650">
        <f t="shared" si="317"/>
        <v>0</v>
      </c>
      <c r="N378" s="650">
        <f t="shared" si="317"/>
        <v>0</v>
      </c>
      <c r="O378" s="651">
        <f t="shared" si="317"/>
        <v>-1E-3</v>
      </c>
      <c r="P378" s="524">
        <f t="shared" si="317"/>
        <v>0</v>
      </c>
      <c r="Q378" s="524">
        <f t="shared" si="317"/>
        <v>0</v>
      </c>
      <c r="R378" s="524">
        <f t="shared" si="317"/>
        <v>0</v>
      </c>
      <c r="S378" s="524"/>
      <c r="T378" s="524"/>
      <c r="U378" s="524"/>
      <c r="V378" s="524"/>
      <c r="W378" s="524"/>
      <c r="X378" s="524"/>
      <c r="Y378" s="524"/>
      <c r="Z378" s="526"/>
      <c r="AA378" s="526"/>
      <c r="AB378" s="526"/>
      <c r="AC378" s="526"/>
      <c r="AD378" s="526">
        <f t="shared" ref="AD378:AM378" si="318">ROUND(AD379-AD375-AD376-AD377,6)</f>
        <v>0</v>
      </c>
      <c r="AE378" s="526">
        <f t="shared" si="318"/>
        <v>0</v>
      </c>
      <c r="AF378" s="527">
        <f t="shared" si="318"/>
        <v>0</v>
      </c>
      <c r="AG378" s="527">
        <f t="shared" si="318"/>
        <v>0</v>
      </c>
      <c r="AH378" s="527">
        <f t="shared" si="318"/>
        <v>-0.312</v>
      </c>
      <c r="AI378" s="527">
        <f t="shared" si="318"/>
        <v>0</v>
      </c>
      <c r="AJ378" s="527">
        <f t="shared" si="318"/>
        <v>0</v>
      </c>
      <c r="AK378" s="527">
        <f t="shared" si="318"/>
        <v>0</v>
      </c>
      <c r="AL378" s="527">
        <f t="shared" si="318"/>
        <v>-1E-3</v>
      </c>
      <c r="AM378" s="528">
        <f t="shared" si="318"/>
        <v>0</v>
      </c>
      <c r="AN378" s="526">
        <f>ROUND(AN379-AN375-IF(ISNUMBER(AN376),AN376,0)-IF(ISNUMBER(AN377),AN377,0),6)</f>
        <v>-1E-3</v>
      </c>
      <c r="AO378" s="526">
        <f>ROUND(AO379-AO375-IF(ISNUMBER(AO376),AO376,0)-IF(ISNUMBER(AO377),AO377,0),6)</f>
        <v>0</v>
      </c>
      <c r="AP378" s="526">
        <f>ROUND(AP379-AP375-AP376-AP377,6)</f>
        <v>0</v>
      </c>
      <c r="AQ378" s="526">
        <f>ROUND(AQ379-AQ375-AQ376-AQ377,6)</f>
        <v>0</v>
      </c>
      <c r="AR378" s="526">
        <f>ROUND(AR379-AR375-AR376-AR377,6)</f>
        <v>0</v>
      </c>
      <c r="AS378" s="261"/>
    </row>
    <row r="379" spans="1:45" s="262" customFormat="1" x14ac:dyDescent="0.35">
      <c r="A379" s="652" t="s">
        <v>886</v>
      </c>
      <c r="B379" s="653"/>
      <c r="C379" s="654">
        <f t="shared" ref="C379:R379" si="319">C433</f>
        <v>0.94399999999999995</v>
      </c>
      <c r="D379" s="654">
        <f t="shared" si="319"/>
        <v>0.504</v>
      </c>
      <c r="E379" s="654">
        <f t="shared" si="319"/>
        <v>0.38600000000000001</v>
      </c>
      <c r="F379" s="654">
        <f t="shared" si="319"/>
        <v>0.32400000000000001</v>
      </c>
      <c r="G379" s="654">
        <f t="shared" si="319"/>
        <v>0.34599999999999997</v>
      </c>
      <c r="H379" s="654">
        <f t="shared" si="319"/>
        <v>0.24</v>
      </c>
      <c r="I379" s="654">
        <f t="shared" si="319"/>
        <v>0.70099999999999996</v>
      </c>
      <c r="J379" s="654">
        <f t="shared" si="319"/>
        <v>1.3009999999999999</v>
      </c>
      <c r="K379" s="654">
        <f t="shared" si="319"/>
        <v>2.6960000000000002</v>
      </c>
      <c r="L379" s="654">
        <f t="shared" si="319"/>
        <v>5.202</v>
      </c>
      <c r="M379" s="654">
        <f t="shared" si="319"/>
        <v>6.6959999999999997</v>
      </c>
      <c r="N379" s="654">
        <f t="shared" si="319"/>
        <v>7.9779999999999998</v>
      </c>
      <c r="O379" s="655">
        <f t="shared" si="319"/>
        <v>7.5750000000000002</v>
      </c>
      <c r="P379" s="562">
        <f t="shared" si="319"/>
        <v>7.9259075342465755</v>
      </c>
      <c r="Q379" s="562">
        <f t="shared" si="319"/>
        <v>8.2197552211991916</v>
      </c>
      <c r="R379" s="562">
        <f t="shared" si="319"/>
        <v>8.4879004054490199</v>
      </c>
      <c r="S379" s="562"/>
      <c r="T379" s="562"/>
      <c r="U379" s="562"/>
      <c r="V379" s="562"/>
      <c r="W379" s="562"/>
      <c r="X379" s="562"/>
      <c r="Y379" s="562"/>
      <c r="Z379" s="564"/>
      <c r="AA379" s="564"/>
      <c r="AB379" s="564"/>
      <c r="AC379" s="564"/>
      <c r="AD379" s="564">
        <f t="shared" ref="AD379:AR379" si="320">AD433</f>
        <v>0.40600000000000003</v>
      </c>
      <c r="AE379" s="656">
        <f t="shared" si="320"/>
        <v>0.52300000000000002</v>
      </c>
      <c r="AF379" s="656">
        <f t="shared" si="320"/>
        <v>0.45800000000000002</v>
      </c>
      <c r="AG379" s="656">
        <f t="shared" si="320"/>
        <v>0.66700000000000004</v>
      </c>
      <c r="AH379" s="656">
        <f t="shared" si="320"/>
        <v>0.504</v>
      </c>
      <c r="AI379" s="656">
        <f t="shared" si="320"/>
        <v>0.32400000000000001</v>
      </c>
      <c r="AJ379" s="656">
        <f t="shared" si="320"/>
        <v>0.24</v>
      </c>
      <c r="AK379" s="656">
        <f t="shared" si="320"/>
        <v>1.3009999999999999</v>
      </c>
      <c r="AL379" s="656">
        <f t="shared" si="320"/>
        <v>5.202</v>
      </c>
      <c r="AM379" s="657">
        <f t="shared" si="320"/>
        <v>7.9779999999999998</v>
      </c>
      <c r="AN379" s="564">
        <f t="shared" si="320"/>
        <v>7.9259075342465755</v>
      </c>
      <c r="AO379" s="564">
        <f t="shared" si="320"/>
        <v>8.4879004054490199</v>
      </c>
      <c r="AP379" s="564">
        <f t="shared" si="320"/>
        <v>8.9459253040867655</v>
      </c>
      <c r="AQ379" s="564">
        <f t="shared" si="320"/>
        <v>9.2894439780650746</v>
      </c>
      <c r="AR379" s="564">
        <f t="shared" si="320"/>
        <v>9.5470829835488065</v>
      </c>
      <c r="AS379" s="261"/>
    </row>
    <row r="380" spans="1:45" s="262" customFormat="1" x14ac:dyDescent="0.35">
      <c r="A380" s="263"/>
      <c r="B380" s="315"/>
      <c r="C380" s="524"/>
      <c r="D380" s="524"/>
      <c r="E380" s="524"/>
      <c r="F380" s="524"/>
      <c r="G380" s="524"/>
      <c r="H380" s="524"/>
      <c r="I380" s="524"/>
      <c r="J380" s="524"/>
      <c r="K380" s="524"/>
      <c r="L380" s="524"/>
      <c r="M380" s="524"/>
      <c r="N380" s="524"/>
      <c r="O380" s="525"/>
      <c r="P380" s="524"/>
      <c r="Q380" s="524"/>
      <c r="R380" s="524"/>
      <c r="S380" s="524"/>
      <c r="T380" s="524"/>
      <c r="U380" s="524"/>
      <c r="V380" s="524"/>
      <c r="W380" s="524"/>
      <c r="X380" s="524"/>
      <c r="Y380" s="524"/>
      <c r="Z380" s="526"/>
      <c r="AA380" s="526"/>
      <c r="AB380" s="526"/>
      <c r="AC380" s="526"/>
      <c r="AD380" s="526"/>
      <c r="AE380" s="526"/>
      <c r="AF380" s="526"/>
      <c r="AG380" s="526"/>
      <c r="AH380" s="526"/>
      <c r="AI380" s="526"/>
      <c r="AJ380" s="526"/>
      <c r="AK380" s="526"/>
      <c r="AL380" s="526"/>
      <c r="AM380" s="529"/>
      <c r="AN380" s="526"/>
      <c r="AO380" s="526"/>
      <c r="AP380" s="526"/>
      <c r="AQ380" s="526"/>
      <c r="AR380" s="526"/>
      <c r="AS380" s="261"/>
    </row>
    <row r="381" spans="1:45" s="262" customFormat="1" x14ac:dyDescent="0.35">
      <c r="A381" s="658" t="s">
        <v>887</v>
      </c>
      <c r="B381" s="424"/>
      <c r="C381" s="659">
        <f>-C370/C369*(AH3/C3)</f>
        <v>0.25576047839012739</v>
      </c>
      <c r="D381" s="659">
        <f>-D370/D369*(AH3/D3)</f>
        <v>0.26819818272246276</v>
      </c>
      <c r="E381" s="659">
        <f>-E370/E369*(AI3/E3)</f>
        <v>0.26489572698862973</v>
      </c>
      <c r="F381" s="659">
        <f>-F370/F369*(AI3/F3)</f>
        <v>0.26790242079696802</v>
      </c>
      <c r="G381" s="659">
        <f>-G370/G369*(AJ3/G3)</f>
        <v>0.25345478467253718</v>
      </c>
      <c r="H381" s="659">
        <f>-H370/H369*(AJ3/H3)</f>
        <v>0.23112707987693887</v>
      </c>
      <c r="I381" s="659">
        <f>-I370/I369*(AK3/I3)</f>
        <v>0.2009501671660264</v>
      </c>
      <c r="J381" s="659">
        <f>-J370/J369*(AK3/J3)</f>
        <v>0.24431149715887754</v>
      </c>
      <c r="K381" s="659">
        <f>-K370/K369*(AL3/K3)</f>
        <v>0.19575176058268251</v>
      </c>
      <c r="L381" s="659">
        <f>-L370/L369*(AL3/L3)</f>
        <v>0.18267960339245451</v>
      </c>
      <c r="M381" s="659">
        <f>-M370/M369*(AM3/M3)</f>
        <v>0.19950040507696462</v>
      </c>
      <c r="N381" s="659">
        <f>-N370/N369*(AM3/N3)</f>
        <v>0.20333053940837401</v>
      </c>
      <c r="O381" s="660">
        <f>-O370/O369*(AN3/O3)</f>
        <v>0.20329800162030789</v>
      </c>
      <c r="P381" s="661">
        <v>0.2</v>
      </c>
      <c r="Q381" s="661">
        <v>0.2</v>
      </c>
      <c r="R381" s="661">
        <v>0.2</v>
      </c>
      <c r="S381" s="661"/>
      <c r="T381" s="661"/>
      <c r="U381" s="661"/>
      <c r="V381" s="661"/>
      <c r="W381" s="661"/>
      <c r="X381" s="661"/>
      <c r="Y381" s="662"/>
      <c r="Z381" s="384"/>
      <c r="AA381" s="384"/>
      <c r="AB381" s="384"/>
      <c r="AC381" s="384"/>
      <c r="AD381" s="384">
        <f t="shared" ref="AD381:AM381" si="321">-AD370/AD369</f>
        <v>0.22737917819885034</v>
      </c>
      <c r="AE381" s="384">
        <f t="shared" si="321"/>
        <v>0.24641788694693748</v>
      </c>
      <c r="AF381" s="391">
        <f t="shared" si="321"/>
        <v>0.2715301952474648</v>
      </c>
      <c r="AG381" s="391">
        <f t="shared" si="321"/>
        <v>0.25668143490067175</v>
      </c>
      <c r="AH381" s="391">
        <f t="shared" si="321"/>
        <v>0.25676732905648569</v>
      </c>
      <c r="AI381" s="391">
        <f t="shared" si="321"/>
        <v>0.26169564438071341</v>
      </c>
      <c r="AJ381" s="391">
        <f t="shared" si="321"/>
        <v>0.25217563291139239</v>
      </c>
      <c r="AK381" s="391">
        <f t="shared" si="321"/>
        <v>0.23988890817566391</v>
      </c>
      <c r="AL381" s="391">
        <f t="shared" si="321"/>
        <v>0.19601580230310162</v>
      </c>
      <c r="AM381" s="663">
        <f t="shared" si="321"/>
        <v>0.20190589636688508</v>
      </c>
      <c r="AN381" s="384">
        <f>AVERAGE(O381,P381)</f>
        <v>0.20164900081015397</v>
      </c>
      <c r="AO381" s="384">
        <f>AVERAGE(Q381,R381)</f>
        <v>0.2</v>
      </c>
      <c r="AP381" s="664">
        <v>0.2</v>
      </c>
      <c r="AQ381" s="664">
        <v>0.2</v>
      </c>
      <c r="AR381" s="664">
        <v>0.2</v>
      </c>
      <c r="AS381" s="261"/>
    </row>
    <row r="382" spans="1:45" s="262" customFormat="1" x14ac:dyDescent="0.35">
      <c r="A382" s="658" t="s">
        <v>888</v>
      </c>
      <c r="B382" s="424"/>
      <c r="C382" s="659">
        <f>-C376/C375*(AH3/C3)</f>
        <v>0.49071931425591553</v>
      </c>
      <c r="D382" s="659">
        <f>-D376/D375*(AH3/D3)</f>
        <v>0.43151278209570182</v>
      </c>
      <c r="E382" s="659">
        <f>-E376/E375*(AI3/E3)</f>
        <v>0.6061292270531401</v>
      </c>
      <c r="F382" s="659">
        <f>-F376/F375*(AI3/F3)</f>
        <v>0.7575215412360804</v>
      </c>
      <c r="G382" s="659">
        <f>-G376/G375*(AJ3/G3)</f>
        <v>0.74082461084272677</v>
      </c>
      <c r="H382" s="659">
        <f>-H376/H375*(AJ3/H3)</f>
        <v>0.72270303069012887</v>
      </c>
      <c r="I382" s="659">
        <f>-I376/I375*(AK3/I3)</f>
        <v>0.57187500000000002</v>
      </c>
      <c r="J382" s="659">
        <f>-J376/J375*(AK3/J3)</f>
        <v>0.46760514806163878</v>
      </c>
      <c r="K382" s="659">
        <f>-K376/K375*(AL3/K3)</f>
        <v>0.26683069879357019</v>
      </c>
      <c r="L382" s="659">
        <f>-L376/L375*(AL3/L3)</f>
        <v>9.1254487925635674E-2</v>
      </c>
      <c r="M382" s="659">
        <f>-M376/M375*(AM3/M3)</f>
        <v>2.9743994784614612E-2</v>
      </c>
      <c r="N382" s="659">
        <f>-N376/N375*(AM3/N3)</f>
        <v>0.14455731796669244</v>
      </c>
      <c r="O382" s="660">
        <f>-O376/O375*(AN3/O3)</f>
        <v>0.18971669373385508</v>
      </c>
      <c r="P382" s="661">
        <v>0.25</v>
      </c>
      <c r="Q382" s="661">
        <v>0.25</v>
      </c>
      <c r="R382" s="661">
        <v>0.25</v>
      </c>
      <c r="S382" s="661"/>
      <c r="T382" s="661"/>
      <c r="U382" s="661"/>
      <c r="V382" s="661"/>
      <c r="W382" s="661"/>
      <c r="X382" s="661"/>
      <c r="Y382" s="662"/>
      <c r="Z382" s="384"/>
      <c r="AA382" s="384"/>
      <c r="AB382" s="384"/>
      <c r="AC382" s="384"/>
      <c r="AD382" s="384">
        <f t="shared" ref="AD382:AM382" si="322">-AD376/AD375</f>
        <v>0.75968992248062017</v>
      </c>
      <c r="AE382" s="384">
        <f t="shared" si="322"/>
        <v>0.52463054187192115</v>
      </c>
      <c r="AF382" s="391">
        <f t="shared" si="322"/>
        <v>0.67495219885277236</v>
      </c>
      <c r="AG382" s="391">
        <f t="shared" si="322"/>
        <v>0.71397379912663761</v>
      </c>
      <c r="AH382" s="391">
        <f t="shared" si="322"/>
        <v>0.5502248875562219</v>
      </c>
      <c r="AI382" s="391">
        <f t="shared" si="322"/>
        <v>0.59325396825396826</v>
      </c>
      <c r="AJ382" s="391">
        <f t="shared" si="322"/>
        <v>0.75617283950617276</v>
      </c>
      <c r="AK382" s="391">
        <f t="shared" si="322"/>
        <v>0.96666666666666679</v>
      </c>
      <c r="AL382" s="391">
        <f t="shared" si="322"/>
        <v>0.2282859338970023</v>
      </c>
      <c r="AM382" s="663">
        <f t="shared" si="322"/>
        <v>0.10726643598615918</v>
      </c>
      <c r="AN382" s="384">
        <f>AVERAGE(O382,P382)</f>
        <v>0.21985834686692754</v>
      </c>
      <c r="AO382" s="384">
        <f>AVERAGE(Q382,R382)</f>
        <v>0.25</v>
      </c>
      <c r="AP382" s="664">
        <v>0.25</v>
      </c>
      <c r="AQ382" s="664">
        <v>0.25</v>
      </c>
      <c r="AR382" s="664">
        <v>0.25</v>
      </c>
      <c r="AS382" s="261"/>
    </row>
    <row r="383" spans="1:45" s="262" customFormat="1" x14ac:dyDescent="0.35">
      <c r="A383" s="393" t="s">
        <v>889</v>
      </c>
      <c r="B383" s="368"/>
      <c r="C383" s="665">
        <f>-C369/C370/(AH3/C3)</f>
        <v>3.909908232477723</v>
      </c>
      <c r="D383" s="665">
        <f>-D369/D370/(AH3/D3)</f>
        <v>3.7285860398048318</v>
      </c>
      <c r="E383" s="665">
        <f>-E369/E370/(AI3/E3)</f>
        <v>3.775070331892985</v>
      </c>
      <c r="F383" s="665">
        <f>-F369/F370/(AI3/F3)</f>
        <v>3.7327023661270236</v>
      </c>
      <c r="G383" s="665">
        <f>-G369/G370/(AJ3/G3)</f>
        <v>3.9454769074176173</v>
      </c>
      <c r="H383" s="665">
        <f>-H369/H370/(AJ3/H3)</f>
        <v>4.3266241261406462</v>
      </c>
      <c r="I383" s="665">
        <f>-I369/I370/(AK3/I3)</f>
        <v>4.9763581394475436</v>
      </c>
      <c r="J383" s="665">
        <f>-J369/J370/(AK3/J3)</f>
        <v>4.0931352459016397</v>
      </c>
      <c r="K383" s="665">
        <f>-K369/K370/(AL3/K3)</f>
        <v>5.1085108865604072</v>
      </c>
      <c r="L383" s="665">
        <f>-L369/L370/(AL3/L3)</f>
        <v>5.4740648733054158</v>
      </c>
      <c r="M383" s="665">
        <f>-M369/M370/(AM3/M3)</f>
        <v>5.0125211505922174</v>
      </c>
      <c r="N383" s="665">
        <f>-N369/N370/(AM3/N3)</f>
        <v>4.918100364606695</v>
      </c>
      <c r="O383" s="666">
        <f>-O369/O370/(AN3/O3)</f>
        <v>4.9188875051888754</v>
      </c>
      <c r="P383" s="667">
        <f>IFERROR(-P369/P370*P3/AN3,"n/a")</f>
        <v>5</v>
      </c>
      <c r="Q383" s="667">
        <f>IFERROR(-Q369/Q370*Q3/AO3,"n/a")</f>
        <v>5</v>
      </c>
      <c r="R383" s="667">
        <f>IFERROR(-R369/R370*R3/AO3,"n/a")</f>
        <v>5</v>
      </c>
      <c r="S383" s="667"/>
      <c r="T383" s="667"/>
      <c r="U383" s="667"/>
      <c r="V383" s="667"/>
      <c r="W383" s="667"/>
      <c r="X383" s="667"/>
      <c r="Y383" s="667"/>
      <c r="Z383" s="668"/>
      <c r="AA383" s="668"/>
      <c r="AB383" s="668"/>
      <c r="AC383" s="668"/>
      <c r="AD383" s="668">
        <f t="shared" ref="AD383:AM383" si="323">-AD369/AD370</f>
        <v>4.3979400749063666</v>
      </c>
      <c r="AE383" s="668">
        <f t="shared" si="323"/>
        <v>4.0581469648562303</v>
      </c>
      <c r="AF383" s="669">
        <f t="shared" si="323"/>
        <v>3.6828316610925307</v>
      </c>
      <c r="AG383" s="669">
        <f t="shared" si="323"/>
        <v>3.8958797327394206</v>
      </c>
      <c r="AH383" s="669">
        <f t="shared" si="323"/>
        <v>3.894576477757465</v>
      </c>
      <c r="AI383" s="669">
        <f t="shared" si="323"/>
        <v>3.8212328767123287</v>
      </c>
      <c r="AJ383" s="669">
        <f t="shared" si="323"/>
        <v>3.9654901960784317</v>
      </c>
      <c r="AK383" s="669">
        <f t="shared" si="323"/>
        <v>4.1685962373371925</v>
      </c>
      <c r="AL383" s="669">
        <f t="shared" si="323"/>
        <v>5.1016295025728988</v>
      </c>
      <c r="AM383" s="670">
        <f t="shared" si="323"/>
        <v>4.9528023598820052</v>
      </c>
      <c r="AN383" s="668">
        <f>AVERAGE(O383,P383)</f>
        <v>4.9594437525944377</v>
      </c>
      <c r="AO383" s="668">
        <f>AVERAGE(Q383,R383)</f>
        <v>5</v>
      </c>
      <c r="AP383" s="668">
        <f>IFERROR(-AP369/AP370,"n/a")</f>
        <v>5</v>
      </c>
      <c r="AQ383" s="668">
        <f>IFERROR(-AQ369/AQ370,"n/a")</f>
        <v>4.9999999999999991</v>
      </c>
      <c r="AR383" s="668">
        <f>IFERROR(-AR369/AR370,"n/a")</f>
        <v>5</v>
      </c>
      <c r="AS383" s="261"/>
    </row>
    <row r="384" spans="1:45" s="262" customFormat="1" x14ac:dyDescent="0.35">
      <c r="A384" s="393" t="s">
        <v>890</v>
      </c>
      <c r="B384" s="368"/>
      <c r="C384" s="665">
        <f>-C375/C376/(AH3/C3)</f>
        <v>2.0378248235782479</v>
      </c>
      <c r="D384" s="665">
        <f>-D375/D376/(AH3/D3)</f>
        <v>2.3174284551742845</v>
      </c>
      <c r="E384" s="665">
        <f>-E375/E376/(AI3/E3)</f>
        <v>1.6498132004981321</v>
      </c>
      <c r="F384" s="665">
        <f>-F375/F376/(AI3/F3)</f>
        <v>1.3200944733112898</v>
      </c>
      <c r="G384" s="665">
        <f>-G375/G376/(AJ3/G3)</f>
        <v>1.3498471640439262</v>
      </c>
      <c r="H384" s="665">
        <f>-H375/H376/(AJ3/H3)</f>
        <v>1.3836942112240387</v>
      </c>
      <c r="I384" s="665">
        <f>-I375/I376/(AK3/I3)</f>
        <v>1.7486338797814205</v>
      </c>
      <c r="J384" s="665">
        <f>-J375/J376/(AK3/J3)</f>
        <v>2.1385564383653488</v>
      </c>
      <c r="K384" s="665">
        <f>-K375/K376/(AL3/K3)</f>
        <v>3.7476947162426613</v>
      </c>
      <c r="L384" s="665">
        <f>-L375/L376/(AL3/L3)</f>
        <v>10.958365147091849</v>
      </c>
      <c r="M384" s="665">
        <f>-M375/M376/(AM3/M3)</f>
        <v>33.620231822971547</v>
      </c>
      <c r="N384" s="665">
        <f>-N375/N376/(AM3/N3)</f>
        <v>6.9176712328767112</v>
      </c>
      <c r="O384" s="666">
        <f>-O375/O376/(AN3/O3)</f>
        <v>5.2710174329880246</v>
      </c>
      <c r="P384" s="667">
        <f>IFERROR(-P375/P376*P3/AN3,"n/a")</f>
        <v>4</v>
      </c>
      <c r="Q384" s="667">
        <f>IFERROR(-Q375/Q376*Q3/AO3,"n/a")</f>
        <v>4</v>
      </c>
      <c r="R384" s="667">
        <f>IFERROR(-R375/R376*R3/AO3,"n/a")</f>
        <v>4</v>
      </c>
      <c r="S384" s="667"/>
      <c r="T384" s="667"/>
      <c r="U384" s="667"/>
      <c r="V384" s="667"/>
      <c r="W384" s="667"/>
      <c r="X384" s="667"/>
      <c r="Y384" s="667"/>
      <c r="Z384" s="668"/>
      <c r="AA384" s="668"/>
      <c r="AB384" s="668"/>
      <c r="AC384" s="668"/>
      <c r="AD384" s="668">
        <f t="shared" ref="AD384:AM384" si="324">-AD375/AD376</f>
        <v>1.3163265306122449</v>
      </c>
      <c r="AE384" s="668">
        <f t="shared" si="324"/>
        <v>1.9061032863849767</v>
      </c>
      <c r="AF384" s="669">
        <f t="shared" si="324"/>
        <v>1.481586402266289</v>
      </c>
      <c r="AG384" s="669">
        <f t="shared" si="324"/>
        <v>1.4006116207951069</v>
      </c>
      <c r="AH384" s="669">
        <f t="shared" si="324"/>
        <v>1.8174386920980927</v>
      </c>
      <c r="AI384" s="669">
        <f t="shared" si="324"/>
        <v>1.68561872909699</v>
      </c>
      <c r="AJ384" s="669">
        <f t="shared" si="324"/>
        <v>1.3224489795918368</v>
      </c>
      <c r="AK384" s="669">
        <f t="shared" si="324"/>
        <v>1.0344827586206895</v>
      </c>
      <c r="AL384" s="669">
        <f t="shared" si="324"/>
        <v>4.3804713804713806</v>
      </c>
      <c r="AM384" s="670">
        <f t="shared" si="324"/>
        <v>9.32258064516129</v>
      </c>
      <c r="AN384" s="668">
        <f>AVERAGE(O384,P384)</f>
        <v>4.6355087164940123</v>
      </c>
      <c r="AO384" s="668">
        <f>AVERAGE(Q384,R384)</f>
        <v>4</v>
      </c>
      <c r="AP384" s="668">
        <f>IFERROR(-AP375/AP376,"n/a")</f>
        <v>4</v>
      </c>
      <c r="AQ384" s="668">
        <f>IFERROR(-AQ375/AQ376,"n/a")</f>
        <v>4</v>
      </c>
      <c r="AR384" s="668">
        <f>IFERROR(-AR375/AR376,"n/a")</f>
        <v>4</v>
      </c>
      <c r="AS384" s="261"/>
    </row>
    <row r="385" spans="1:45" s="262" customFormat="1" x14ac:dyDescent="0.35">
      <c r="A385" s="263"/>
      <c r="B385" s="315"/>
      <c r="C385" s="524"/>
      <c r="D385" s="524"/>
      <c r="E385" s="524"/>
      <c r="F385" s="524"/>
      <c r="G385" s="524"/>
      <c r="H385" s="524"/>
      <c r="I385" s="524"/>
      <c r="J385" s="524"/>
      <c r="K385" s="524"/>
      <c r="L385" s="524"/>
      <c r="M385" s="524"/>
      <c r="N385" s="524"/>
      <c r="O385" s="525"/>
      <c r="P385" s="524"/>
      <c r="Q385" s="524"/>
      <c r="R385" s="524"/>
      <c r="S385" s="524"/>
      <c r="T385" s="524"/>
      <c r="U385" s="524"/>
      <c r="V385" s="524"/>
      <c r="W385" s="524"/>
      <c r="X385" s="524"/>
      <c r="Y385" s="524"/>
      <c r="Z385" s="526"/>
      <c r="AA385" s="526"/>
      <c r="AB385" s="526"/>
      <c r="AC385" s="526"/>
      <c r="AD385" s="526"/>
      <c r="AE385" s="526"/>
      <c r="AF385" s="526"/>
      <c r="AG385" s="526"/>
      <c r="AH385" s="526"/>
      <c r="AI385" s="526"/>
      <c r="AJ385" s="526"/>
      <c r="AK385" s="526"/>
      <c r="AL385" s="526"/>
      <c r="AM385" s="529"/>
      <c r="AN385" s="526"/>
      <c r="AO385" s="526"/>
      <c r="AP385" s="526"/>
      <c r="AQ385" s="526"/>
      <c r="AR385" s="526"/>
      <c r="AS385" s="261"/>
    </row>
    <row r="386" spans="1:45" s="262" customFormat="1" x14ac:dyDescent="0.35">
      <c r="A386" s="393" t="s">
        <v>891</v>
      </c>
      <c r="B386" s="368"/>
      <c r="C386" s="643">
        <f t="shared" ref="C386:R386" si="325">-C370-C376</f>
        <v>0.98899999999999999</v>
      </c>
      <c r="D386" s="643">
        <f t="shared" si="325"/>
        <v>1.0190000000000001</v>
      </c>
      <c r="E386" s="643">
        <f t="shared" si="325"/>
        <v>0.89900000000000002</v>
      </c>
      <c r="F386" s="643">
        <f t="shared" si="325"/>
        <v>0.86</v>
      </c>
      <c r="G386" s="643">
        <f t="shared" si="325"/>
        <v>0.76700000000000002</v>
      </c>
      <c r="H386" s="643">
        <f t="shared" si="325"/>
        <v>0.75299999999999989</v>
      </c>
      <c r="I386" s="643">
        <f t="shared" si="325"/>
        <v>0.65100000000000002</v>
      </c>
      <c r="J386" s="643">
        <f t="shared" si="325"/>
        <v>0.96299999999999997</v>
      </c>
      <c r="K386" s="643">
        <f t="shared" si="325"/>
        <v>1.349</v>
      </c>
      <c r="L386" s="643">
        <f t="shared" si="325"/>
        <v>1.2799999999999998</v>
      </c>
      <c r="M386" s="643">
        <f t="shared" si="325"/>
        <v>1.26</v>
      </c>
      <c r="N386" s="643">
        <f t="shared" si="325"/>
        <v>1.6710000000000003</v>
      </c>
      <c r="O386" s="644">
        <f t="shared" si="325"/>
        <v>1.9180000000000001</v>
      </c>
      <c r="P386" s="645">
        <f t="shared" si="325"/>
        <v>2.0465149315068492</v>
      </c>
      <c r="Q386" s="645">
        <f t="shared" si="325"/>
        <v>2.1794409831574222</v>
      </c>
      <c r="R386" s="645">
        <f t="shared" si="325"/>
        <v>2.2446649650795991</v>
      </c>
      <c r="S386" s="645"/>
      <c r="T386" s="645"/>
      <c r="U386" s="645"/>
      <c r="V386" s="645"/>
      <c r="W386" s="645"/>
      <c r="X386" s="645"/>
      <c r="Y386" s="645"/>
      <c r="Z386" s="646"/>
      <c r="AA386" s="646"/>
      <c r="AB386" s="646"/>
      <c r="AC386" s="646"/>
      <c r="AD386" s="646">
        <f t="shared" ref="AD386:AR386" si="326">-AD370-AD376</f>
        <v>1.1660000000000001</v>
      </c>
      <c r="AE386" s="646">
        <f t="shared" si="326"/>
        <v>1.778</v>
      </c>
      <c r="AF386" s="648">
        <f t="shared" si="326"/>
        <v>2.1470000000000002</v>
      </c>
      <c r="AG386" s="648">
        <f t="shared" si="326"/>
        <v>2.1230000000000002</v>
      </c>
      <c r="AH386" s="648">
        <f t="shared" si="326"/>
        <v>2.008</v>
      </c>
      <c r="AI386" s="648">
        <f t="shared" si="326"/>
        <v>1.7589999999999999</v>
      </c>
      <c r="AJ386" s="648">
        <f t="shared" si="326"/>
        <v>1.52</v>
      </c>
      <c r="AK386" s="648">
        <f t="shared" si="326"/>
        <v>1.6139999999999999</v>
      </c>
      <c r="AL386" s="648">
        <f t="shared" si="326"/>
        <v>2.629</v>
      </c>
      <c r="AM386" s="649">
        <f t="shared" si="326"/>
        <v>2.931</v>
      </c>
      <c r="AN386" s="646">
        <f t="shared" si="326"/>
        <v>3.9645149315068493</v>
      </c>
      <c r="AO386" s="646">
        <f t="shared" si="326"/>
        <v>4.4241059482370213</v>
      </c>
      <c r="AP386" s="646">
        <f t="shared" si="326"/>
        <v>4.6784708443236784</v>
      </c>
      <c r="AQ386" s="646">
        <f t="shared" si="326"/>
        <v>4.9656779203908297</v>
      </c>
      <c r="AR386" s="646">
        <f t="shared" si="326"/>
        <v>5.1897182700115794</v>
      </c>
      <c r="AS386" s="261"/>
    </row>
    <row r="387" spans="1:45" s="262" customFormat="1" x14ac:dyDescent="0.35">
      <c r="A387" s="393" t="s">
        <v>892</v>
      </c>
      <c r="B387" s="368"/>
      <c r="C387" s="643">
        <f t="shared" ref="C387:R387" si="327">-C228</f>
        <v>1.1000000000000001</v>
      </c>
      <c r="D387" s="643">
        <f t="shared" si="327"/>
        <v>0.36099999999999993</v>
      </c>
      <c r="E387" s="643">
        <f t="shared" si="327"/>
        <v>0.59000000000000008</v>
      </c>
      <c r="F387" s="643">
        <f t="shared" si="327"/>
        <v>0.49399999999999988</v>
      </c>
      <c r="G387" s="643">
        <f t="shared" si="327"/>
        <v>1.32</v>
      </c>
      <c r="H387" s="643">
        <f t="shared" si="327"/>
        <v>1.0090000000000001</v>
      </c>
      <c r="I387" s="643">
        <f t="shared" si="327"/>
        <v>2.0140000000000002</v>
      </c>
      <c r="J387" s="643">
        <f t="shared" si="327"/>
        <v>6.9429999999999996</v>
      </c>
      <c r="K387" s="643">
        <f t="shared" si="327"/>
        <v>3.629</v>
      </c>
      <c r="L387" s="643">
        <f t="shared" si="327"/>
        <v>2.835</v>
      </c>
      <c r="M387" s="643">
        <f t="shared" si="327"/>
        <v>2.8140000000000001</v>
      </c>
      <c r="N387" s="643">
        <f t="shared" si="327"/>
        <v>2.41</v>
      </c>
      <c r="O387" s="644">
        <f t="shared" si="327"/>
        <v>1.413</v>
      </c>
      <c r="P387" s="645">
        <f t="shared" si="327"/>
        <v>3</v>
      </c>
      <c r="Q387" s="645">
        <f t="shared" si="327"/>
        <v>3</v>
      </c>
      <c r="R387" s="645">
        <f t="shared" si="327"/>
        <v>3</v>
      </c>
      <c r="S387" s="645"/>
      <c r="T387" s="645"/>
      <c r="U387" s="645"/>
      <c r="V387" s="645"/>
      <c r="W387" s="645"/>
      <c r="X387" s="645"/>
      <c r="Y387" s="645"/>
      <c r="Z387" s="646"/>
      <c r="AA387" s="646"/>
      <c r="AB387" s="646"/>
      <c r="AC387" s="646"/>
      <c r="AD387" s="646">
        <f t="shared" ref="AD387:AR387" si="328">-AD228</f>
        <v>3.097</v>
      </c>
      <c r="AE387" s="648">
        <f t="shared" si="328"/>
        <v>2.1520000000000001</v>
      </c>
      <c r="AF387" s="648">
        <f t="shared" si="328"/>
        <v>2.5049999999999999</v>
      </c>
      <c r="AG387" s="648">
        <f t="shared" si="328"/>
        <v>1.726</v>
      </c>
      <c r="AH387" s="648">
        <f t="shared" si="328"/>
        <v>1.4609999999999999</v>
      </c>
      <c r="AI387" s="648">
        <f t="shared" si="328"/>
        <v>1.0840000000000001</v>
      </c>
      <c r="AJ387" s="648">
        <f t="shared" si="328"/>
        <v>2.3290000000000002</v>
      </c>
      <c r="AK387" s="648">
        <f t="shared" si="328"/>
        <v>8.956999999999999</v>
      </c>
      <c r="AL387" s="648">
        <f t="shared" si="328"/>
        <v>6.4640000000000004</v>
      </c>
      <c r="AM387" s="649">
        <f t="shared" si="328"/>
        <v>5.2240000000000002</v>
      </c>
      <c r="AN387" s="646">
        <f t="shared" si="328"/>
        <v>4.4130000000000003</v>
      </c>
      <c r="AO387" s="646">
        <f t="shared" si="328"/>
        <v>6</v>
      </c>
      <c r="AP387" s="646">
        <f t="shared" si="328"/>
        <v>6</v>
      </c>
      <c r="AQ387" s="646">
        <f t="shared" si="328"/>
        <v>6</v>
      </c>
      <c r="AR387" s="646">
        <f t="shared" si="328"/>
        <v>6</v>
      </c>
      <c r="AS387" s="261"/>
    </row>
    <row r="388" spans="1:45" s="262" customFormat="1" x14ac:dyDescent="0.35">
      <c r="A388" s="658" t="s">
        <v>893</v>
      </c>
      <c r="B388" s="424"/>
      <c r="C388" s="659">
        <f t="shared" ref="C388:O388" si="329">IFERROR(C377/C387,"n/a")</f>
        <v>0.40272727272727271</v>
      </c>
      <c r="D388" s="659">
        <f t="shared" si="329"/>
        <v>0.20221606648199453</v>
      </c>
      <c r="E388" s="659">
        <f t="shared" si="329"/>
        <v>6.2711864406779644E-2</v>
      </c>
      <c r="F388" s="659">
        <f t="shared" si="329"/>
        <v>0.16599190283400811</v>
      </c>
      <c r="G388" s="659">
        <f t="shared" si="329"/>
        <v>0.10984848484848483</v>
      </c>
      <c r="H388" s="659">
        <f t="shared" si="329"/>
        <v>1.5857284440039657E-2</v>
      </c>
      <c r="I388" s="659">
        <f t="shared" si="329"/>
        <v>0.26315789473684209</v>
      </c>
      <c r="J388" s="659">
        <f t="shared" si="329"/>
        <v>0.10989485813049113</v>
      </c>
      <c r="K388" s="659">
        <f t="shared" si="329"/>
        <v>0.43235050978230916</v>
      </c>
      <c r="L388" s="659">
        <f t="shared" si="329"/>
        <v>0.92768959435626097</v>
      </c>
      <c r="M388" s="659">
        <f t="shared" si="329"/>
        <v>0.55863539445628996</v>
      </c>
      <c r="N388" s="659">
        <f t="shared" si="329"/>
        <v>0.73112033195020742</v>
      </c>
      <c r="O388" s="660">
        <f t="shared" si="329"/>
        <v>0.25548478414720449</v>
      </c>
      <c r="P388" s="661">
        <v>0.43</v>
      </c>
      <c r="Q388" s="661">
        <v>0.43</v>
      </c>
      <c r="R388" s="661">
        <v>0.43</v>
      </c>
      <c r="S388" s="661"/>
      <c r="T388" s="661"/>
      <c r="U388" s="661"/>
      <c r="V388" s="661"/>
      <c r="W388" s="661"/>
      <c r="X388" s="661"/>
      <c r="Y388" s="662"/>
      <c r="Z388" s="384"/>
      <c r="AA388" s="384"/>
      <c r="AB388" s="384"/>
      <c r="AC388" s="384"/>
      <c r="AD388" s="384">
        <f t="shared" ref="AD388:AM388" si="330">IFERROR(AD377/AD387,"n/a")</f>
        <v>0.12108492089118501</v>
      </c>
      <c r="AE388" s="384">
        <f t="shared" si="330"/>
        <v>0.15334572490706319</v>
      </c>
      <c r="AF388" s="391">
        <f t="shared" si="330"/>
        <v>0.11497005988023952</v>
      </c>
      <c r="AG388" s="391">
        <f t="shared" si="330"/>
        <v>0.31054461181923526</v>
      </c>
      <c r="AH388" s="391">
        <f t="shared" si="330"/>
        <v>0.35318275154004114</v>
      </c>
      <c r="AI388" s="391">
        <f t="shared" si="330"/>
        <v>0.10977859778597784</v>
      </c>
      <c r="AJ388" s="391">
        <f t="shared" si="330"/>
        <v>6.9128381279519105E-2</v>
      </c>
      <c r="AK388" s="391">
        <f t="shared" si="330"/>
        <v>0.14435636932008486</v>
      </c>
      <c r="AL388" s="391">
        <f t="shared" si="330"/>
        <v>0.6495977722772277</v>
      </c>
      <c r="AM388" s="663">
        <f t="shared" si="330"/>
        <v>0.63820826952526799</v>
      </c>
      <c r="AN388" s="384">
        <f>AVERAGE(O388,P388)</f>
        <v>0.34274239207360224</v>
      </c>
      <c r="AO388" s="384">
        <f>AVERAGE(Q388,R388)</f>
        <v>0.43</v>
      </c>
      <c r="AP388" s="664">
        <v>0.43</v>
      </c>
      <c r="AQ388" s="664">
        <v>0.43</v>
      </c>
      <c r="AR388" s="664">
        <v>0.43</v>
      </c>
      <c r="AS388" s="261"/>
    </row>
    <row r="389" spans="1:45" s="262" customFormat="1" x14ac:dyDescent="0.35">
      <c r="A389" s="263"/>
      <c r="B389" s="315"/>
      <c r="C389" s="524"/>
      <c r="D389" s="524"/>
      <c r="E389" s="524"/>
      <c r="F389" s="524"/>
      <c r="G389" s="524"/>
      <c r="H389" s="524"/>
      <c r="I389" s="524"/>
      <c r="J389" s="524"/>
      <c r="K389" s="524"/>
      <c r="L389" s="524"/>
      <c r="M389" s="524"/>
      <c r="N389" s="524"/>
      <c r="O389" s="525"/>
      <c r="P389" s="524"/>
      <c r="Q389" s="524"/>
      <c r="R389" s="524"/>
      <c r="S389" s="524"/>
      <c r="T389" s="524"/>
      <c r="U389" s="524"/>
      <c r="V389" s="524"/>
      <c r="W389" s="524"/>
      <c r="X389" s="524"/>
      <c r="Y389" s="524"/>
      <c r="Z389" s="526"/>
      <c r="AA389" s="526"/>
      <c r="AB389" s="526"/>
      <c r="AC389" s="526"/>
      <c r="AD389" s="526"/>
      <c r="AE389" s="526"/>
      <c r="AF389" s="526"/>
      <c r="AG389" s="526"/>
      <c r="AH389" s="526"/>
      <c r="AI389" s="526"/>
      <c r="AJ389" s="526"/>
      <c r="AK389" s="526"/>
      <c r="AL389" s="526"/>
      <c r="AM389" s="529"/>
      <c r="AN389" s="526"/>
      <c r="AO389" s="526"/>
      <c r="AP389" s="526"/>
      <c r="AQ389" s="526"/>
      <c r="AR389" s="526"/>
      <c r="AS389" s="261"/>
    </row>
    <row r="390" spans="1:45" s="262" customFormat="1" x14ac:dyDescent="0.35">
      <c r="A390" s="305" t="s">
        <v>894</v>
      </c>
      <c r="B390" s="368"/>
      <c r="C390" s="645"/>
      <c r="D390" s="645"/>
      <c r="E390" s="645"/>
      <c r="F390" s="645"/>
      <c r="G390" s="645"/>
      <c r="H390" s="645"/>
      <c r="I390" s="671">
        <v>7.024</v>
      </c>
      <c r="J390" s="645">
        <f>I394</f>
        <v>6.1449999999999996</v>
      </c>
      <c r="K390" s="645">
        <f>AK394</f>
        <v>8.6980000000000004</v>
      </c>
      <c r="L390" s="645">
        <f>K394</f>
        <v>7.5720000000000001</v>
      </c>
      <c r="M390" s="645">
        <f>AL394</f>
        <v>7.0220000000000002</v>
      </c>
      <c r="N390" s="645">
        <f>M394</f>
        <v>6.55</v>
      </c>
      <c r="O390" s="672">
        <f>AM394</f>
        <v>6.1619999999999999</v>
      </c>
      <c r="P390" s="645">
        <f>O394</f>
        <v>5.8490000000000002</v>
      </c>
      <c r="Q390" s="645">
        <f>AN394</f>
        <v>6.1896465787658546</v>
      </c>
      <c r="R390" s="645">
        <f>Q394</f>
        <v>6.8141865516539362</v>
      </c>
      <c r="S390" s="645"/>
      <c r="T390" s="645"/>
      <c r="U390" s="645"/>
      <c r="V390" s="645"/>
      <c r="W390" s="645"/>
      <c r="X390" s="645"/>
      <c r="Y390" s="645"/>
      <c r="Z390" s="646"/>
      <c r="AA390" s="646"/>
      <c r="AB390" s="646"/>
      <c r="AC390" s="646"/>
      <c r="AD390" s="646"/>
      <c r="AE390" s="646"/>
      <c r="AF390" s="646"/>
      <c r="AG390" s="646"/>
      <c r="AH390" s="646"/>
      <c r="AI390" s="646"/>
      <c r="AJ390" s="646"/>
      <c r="AK390" s="646">
        <f>I390</f>
        <v>7.024</v>
      </c>
      <c r="AL390" s="646">
        <f t="shared" ref="AL390:AR390" si="331">AK394</f>
        <v>8.6980000000000004</v>
      </c>
      <c r="AM390" s="673">
        <f t="shared" si="331"/>
        <v>7.0220000000000002</v>
      </c>
      <c r="AN390" s="646">
        <f t="shared" si="331"/>
        <v>6.1619999999999999</v>
      </c>
      <c r="AO390" s="646">
        <f t="shared" si="331"/>
        <v>6.1896465787658546</v>
      </c>
      <c r="AP390" s="646">
        <f t="shared" si="331"/>
        <v>7.1342817501973164</v>
      </c>
      <c r="AQ390" s="646">
        <f t="shared" si="331"/>
        <v>7.9664057620909627</v>
      </c>
      <c r="AR390" s="646">
        <f t="shared" si="331"/>
        <v>8.6752719751528264</v>
      </c>
      <c r="AS390" s="261"/>
    </row>
    <row r="391" spans="1:45" s="262" customFormat="1" x14ac:dyDescent="0.35">
      <c r="A391" s="246" t="s">
        <v>895</v>
      </c>
      <c r="B391" s="315"/>
      <c r="C391" s="524"/>
      <c r="D391" s="524"/>
      <c r="E391" s="524"/>
      <c r="F391" s="524"/>
      <c r="G391" s="524"/>
      <c r="H391" s="524"/>
      <c r="I391" s="524">
        <f t="shared" ref="I391:O391" si="332">-I317</f>
        <v>-0.95699999999999996</v>
      </c>
      <c r="J391" s="524">
        <f t="shared" si="332"/>
        <v>-1.0129999999999999</v>
      </c>
      <c r="K391" s="524">
        <f t="shared" si="332"/>
        <v>-1.1259999999999999</v>
      </c>
      <c r="L391" s="524">
        <f t="shared" si="332"/>
        <v>-1.137</v>
      </c>
      <c r="M391" s="524">
        <f t="shared" si="332"/>
        <v>-1.206</v>
      </c>
      <c r="N391" s="524">
        <f t="shared" si="332"/>
        <v>-0.38800000000000012</v>
      </c>
      <c r="O391" s="525">
        <f t="shared" si="332"/>
        <v>-1.0589999999999999</v>
      </c>
      <c r="P391" s="524">
        <f>-P396*P390*P3/AN3</f>
        <v>-0.58009260273972607</v>
      </c>
      <c r="Q391" s="524">
        <f>-Q396*Q390*Q3/AO3</f>
        <v>-0.62234697841143027</v>
      </c>
      <c r="R391" s="524">
        <f>-R396*R390*R3/AO3</f>
        <v>-0.67769505595683965</v>
      </c>
      <c r="S391" s="524"/>
      <c r="T391" s="524"/>
      <c r="U391" s="524"/>
      <c r="V391" s="524"/>
      <c r="W391" s="524"/>
      <c r="X391" s="524"/>
      <c r="Y391" s="524"/>
      <c r="Z391" s="526"/>
      <c r="AA391" s="526"/>
      <c r="AB391" s="526"/>
      <c r="AC391" s="526"/>
      <c r="AD391" s="526"/>
      <c r="AE391" s="526"/>
      <c r="AF391" s="526"/>
      <c r="AG391" s="526"/>
      <c r="AH391" s="526"/>
      <c r="AI391" s="526"/>
      <c r="AJ391" s="526"/>
      <c r="AK391" s="526">
        <f>-AK317</f>
        <v>-1.97</v>
      </c>
      <c r="AL391" s="526">
        <f>-AL317</f>
        <v>-2.2629999999999999</v>
      </c>
      <c r="AM391" s="529">
        <f>-AM317</f>
        <v>-1.5940000000000001</v>
      </c>
      <c r="AN391" s="526">
        <f>IF(OR(ISBLANK(O391),ISBLANK(P391)),"n/a",SUM(O391,P391))</f>
        <v>-1.6390926027397259</v>
      </c>
      <c r="AO391" s="526">
        <f>IF(OR(ISBLANK(Q391),ISBLANK(R391)),"n/a",SUM(Q391,R391))</f>
        <v>-1.3000420343682699</v>
      </c>
      <c r="AP391" s="526">
        <f>-AP396*AP390</f>
        <v>-1.4268563500394633</v>
      </c>
      <c r="AQ391" s="526">
        <f>-AQ396*AQ390</f>
        <v>-1.5932811524181927</v>
      </c>
      <c r="AR391" s="526">
        <f>-AR396*AR390</f>
        <v>-1.7350543950305655</v>
      </c>
      <c r="AS391" s="261"/>
    </row>
    <row r="392" spans="1:45" s="262" customFormat="1" x14ac:dyDescent="0.35">
      <c r="A392" s="246" t="s">
        <v>896</v>
      </c>
      <c r="B392" s="315"/>
      <c r="C392" s="524"/>
      <c r="D392" s="524"/>
      <c r="E392" s="524"/>
      <c r="F392" s="524"/>
      <c r="G392" s="524"/>
      <c r="H392" s="524"/>
      <c r="I392" s="524"/>
      <c r="J392" s="524"/>
      <c r="K392" s="524"/>
      <c r="L392" s="524"/>
      <c r="M392" s="524"/>
      <c r="N392" s="524"/>
      <c r="O392" s="525"/>
      <c r="P392" s="524">
        <f>P400</f>
        <v>0.92073918150558076</v>
      </c>
      <c r="Q392" s="524">
        <f>Q400</f>
        <v>1.2468869512995124</v>
      </c>
      <c r="R392" s="524">
        <f>R400</f>
        <v>0.99779025450022041</v>
      </c>
      <c r="S392" s="524"/>
      <c r="T392" s="524"/>
      <c r="U392" s="524"/>
      <c r="V392" s="524"/>
      <c r="W392" s="524"/>
      <c r="X392" s="524"/>
      <c r="Y392" s="524"/>
      <c r="Z392" s="526"/>
      <c r="AA392" s="526"/>
      <c r="AB392" s="526"/>
      <c r="AC392" s="526"/>
      <c r="AD392" s="526"/>
      <c r="AE392" s="526"/>
      <c r="AF392" s="526"/>
      <c r="AG392" s="526"/>
      <c r="AH392" s="526"/>
      <c r="AI392" s="526"/>
      <c r="AJ392" s="526"/>
      <c r="AK392" s="526"/>
      <c r="AL392" s="526"/>
      <c r="AM392" s="529"/>
      <c r="AN392" s="526" t="str">
        <f>IF(OR(ISBLANK(O392),ISBLANK(P392)),"n/a",SUM(O392,P392))</f>
        <v>n/a</v>
      </c>
      <c r="AO392" s="526">
        <f>IF(OR(ISBLANK(Q392),ISBLANK(R392)),"n/a",SUM(Q392,R392))</f>
        <v>2.2446772057997331</v>
      </c>
      <c r="AP392" s="526">
        <f>AP400</f>
        <v>2.258980361933109</v>
      </c>
      <c r="AQ392" s="526">
        <f>AQ400</f>
        <v>2.3021473654800566</v>
      </c>
      <c r="AR392" s="526">
        <f>AR400</f>
        <v>2.3461777090979417</v>
      </c>
      <c r="AS392" s="261"/>
    </row>
    <row r="393" spans="1:45" s="262" customFormat="1" x14ac:dyDescent="0.35">
      <c r="A393" s="556" t="s">
        <v>897</v>
      </c>
      <c r="B393" s="566"/>
      <c r="C393" s="546"/>
      <c r="D393" s="546"/>
      <c r="E393" s="546"/>
      <c r="F393" s="546"/>
      <c r="G393" s="546"/>
      <c r="H393" s="546"/>
      <c r="I393" s="546">
        <f t="shared" ref="I393:R393" si="333">ROUND(I394-I390-I391-I392,6)</f>
        <v>7.8E-2</v>
      </c>
      <c r="J393" s="546">
        <f t="shared" si="333"/>
        <v>3.5659999999999998</v>
      </c>
      <c r="K393" s="546">
        <f t="shared" si="333"/>
        <v>0</v>
      </c>
      <c r="L393" s="546">
        <f t="shared" si="333"/>
        <v>0.58699999999999997</v>
      </c>
      <c r="M393" s="546">
        <f t="shared" si="333"/>
        <v>0.73399999999999999</v>
      </c>
      <c r="N393" s="546">
        <f t="shared" si="333"/>
        <v>0</v>
      </c>
      <c r="O393" s="547">
        <f t="shared" si="333"/>
        <v>0.746</v>
      </c>
      <c r="P393" s="546">
        <f t="shared" si="333"/>
        <v>0</v>
      </c>
      <c r="Q393" s="546">
        <f t="shared" si="333"/>
        <v>0</v>
      </c>
      <c r="R393" s="546">
        <f t="shared" si="333"/>
        <v>0</v>
      </c>
      <c r="S393" s="546"/>
      <c r="T393" s="546"/>
      <c r="U393" s="546"/>
      <c r="V393" s="546"/>
      <c r="W393" s="546"/>
      <c r="X393" s="546"/>
      <c r="Y393" s="546"/>
      <c r="Z393" s="548"/>
      <c r="AA393" s="548"/>
      <c r="AB393" s="548"/>
      <c r="AC393" s="548"/>
      <c r="AD393" s="548"/>
      <c r="AE393" s="548"/>
      <c r="AF393" s="548"/>
      <c r="AG393" s="548"/>
      <c r="AH393" s="548"/>
      <c r="AI393" s="548"/>
      <c r="AJ393" s="548"/>
      <c r="AK393" s="548">
        <f>ROUND(AK394-AK390-AK391-AK392,6)</f>
        <v>3.6440000000000001</v>
      </c>
      <c r="AL393" s="548">
        <f>ROUND(AL394-AL390-AL391-AL392,6)</f>
        <v>0.58699999999999997</v>
      </c>
      <c r="AM393" s="549">
        <f>ROUND(AM394-AM390-AM391-AM392,6)</f>
        <v>0.73399999999999999</v>
      </c>
      <c r="AN393" s="548">
        <f>ROUND(AN394-AN390-IF(ISNUMBER(AN391),AN391,0)-IF(ISNUMBER(AN392),AN392,0),6)</f>
        <v>1.666739</v>
      </c>
      <c r="AO393" s="548">
        <f>ROUND(AO394-AO390-IF(ISNUMBER(AO391),AO391,0)-IF(ISNUMBER(AO392),AO392,0),6)</f>
        <v>0</v>
      </c>
      <c r="AP393" s="548">
        <f>ROUND(AP394-AP390-AP391-AP392,6)</f>
        <v>0</v>
      </c>
      <c r="AQ393" s="548">
        <f>ROUND(AQ394-AQ390-AQ391-AQ392,6)</f>
        <v>0</v>
      </c>
      <c r="AR393" s="548">
        <f>ROUND(AR394-AR390-AR391-AR392,6)</f>
        <v>0</v>
      </c>
      <c r="AS393" s="261"/>
    </row>
    <row r="394" spans="1:45" s="262" customFormat="1" x14ac:dyDescent="0.35">
      <c r="A394" s="560" t="s">
        <v>898</v>
      </c>
      <c r="B394" s="653"/>
      <c r="C394" s="562"/>
      <c r="D394" s="562"/>
      <c r="E394" s="562"/>
      <c r="F394" s="562"/>
      <c r="G394" s="562"/>
      <c r="H394" s="562"/>
      <c r="I394" s="562">
        <f t="shared" ref="I394:R394" si="334">I432</f>
        <v>6.1449999999999996</v>
      </c>
      <c r="J394" s="562">
        <f t="shared" si="334"/>
        <v>8.6980000000000004</v>
      </c>
      <c r="K394" s="562">
        <f t="shared" si="334"/>
        <v>7.5720000000000001</v>
      </c>
      <c r="L394" s="562">
        <f t="shared" si="334"/>
        <v>7.0220000000000002</v>
      </c>
      <c r="M394" s="562">
        <f t="shared" si="334"/>
        <v>6.55</v>
      </c>
      <c r="N394" s="562">
        <f t="shared" si="334"/>
        <v>6.1619999999999999</v>
      </c>
      <c r="O394" s="563">
        <f t="shared" si="334"/>
        <v>5.8490000000000002</v>
      </c>
      <c r="P394" s="562">
        <f t="shared" si="334"/>
        <v>6.1896465787658546</v>
      </c>
      <c r="Q394" s="562">
        <f t="shared" si="334"/>
        <v>6.8141865516539362</v>
      </c>
      <c r="R394" s="562">
        <f t="shared" si="334"/>
        <v>7.1342817501973164</v>
      </c>
      <c r="S394" s="562"/>
      <c r="T394" s="562"/>
      <c r="U394" s="562"/>
      <c r="V394" s="562"/>
      <c r="W394" s="562"/>
      <c r="X394" s="562"/>
      <c r="Y394" s="562"/>
      <c r="Z394" s="564"/>
      <c r="AA394" s="564"/>
      <c r="AB394" s="564"/>
      <c r="AC394" s="564"/>
      <c r="AD394" s="564"/>
      <c r="AE394" s="564"/>
      <c r="AF394" s="564"/>
      <c r="AG394" s="564"/>
      <c r="AH394" s="564"/>
      <c r="AI394" s="564"/>
      <c r="AJ394" s="564"/>
      <c r="AK394" s="564">
        <f t="shared" ref="AK394:AR394" si="335">AK432</f>
        <v>8.6980000000000004</v>
      </c>
      <c r="AL394" s="564">
        <f t="shared" si="335"/>
        <v>7.0220000000000002</v>
      </c>
      <c r="AM394" s="565">
        <f t="shared" si="335"/>
        <v>6.1619999999999999</v>
      </c>
      <c r="AN394" s="564">
        <f t="shared" si="335"/>
        <v>6.1896465787658546</v>
      </c>
      <c r="AO394" s="564">
        <f t="shared" si="335"/>
        <v>7.1342817501973164</v>
      </c>
      <c r="AP394" s="564">
        <f t="shared" si="335"/>
        <v>7.9664057620909627</v>
      </c>
      <c r="AQ394" s="564">
        <f t="shared" si="335"/>
        <v>8.6752719751528264</v>
      </c>
      <c r="AR394" s="564">
        <f t="shared" si="335"/>
        <v>9.2863952892202022</v>
      </c>
      <c r="AS394" s="261"/>
    </row>
    <row r="395" spans="1:45" s="262" customFormat="1" x14ac:dyDescent="0.35">
      <c r="A395" s="263"/>
      <c r="B395" s="315"/>
      <c r="C395" s="524"/>
      <c r="D395" s="524"/>
      <c r="E395" s="524"/>
      <c r="F395" s="524"/>
      <c r="G395" s="524"/>
      <c r="H395" s="524"/>
      <c r="I395" s="524"/>
      <c r="J395" s="524"/>
      <c r="K395" s="524"/>
      <c r="L395" s="524"/>
      <c r="M395" s="524"/>
      <c r="N395" s="524"/>
      <c r="O395" s="525"/>
      <c r="P395" s="524"/>
      <c r="Q395" s="524"/>
      <c r="R395" s="524"/>
      <c r="S395" s="524"/>
      <c r="T395" s="524"/>
      <c r="U395" s="524"/>
      <c r="V395" s="524"/>
      <c r="W395" s="524"/>
      <c r="X395" s="524"/>
      <c r="Y395" s="524"/>
      <c r="Z395" s="526"/>
      <c r="AA395" s="526"/>
      <c r="AB395" s="526"/>
      <c r="AC395" s="526"/>
      <c r="AD395" s="526"/>
      <c r="AE395" s="526"/>
      <c r="AF395" s="526"/>
      <c r="AG395" s="526"/>
      <c r="AH395" s="526"/>
      <c r="AI395" s="526"/>
      <c r="AJ395" s="526"/>
      <c r="AK395" s="526"/>
      <c r="AL395" s="526"/>
      <c r="AM395" s="529"/>
      <c r="AN395" s="526"/>
      <c r="AO395" s="526"/>
      <c r="AP395" s="526"/>
      <c r="AQ395" s="526"/>
      <c r="AR395" s="526"/>
      <c r="AS395" s="261"/>
    </row>
    <row r="396" spans="1:45" s="262" customFormat="1" x14ac:dyDescent="0.35">
      <c r="A396" s="674" t="s">
        <v>899</v>
      </c>
      <c r="B396" s="424"/>
      <c r="C396" s="382"/>
      <c r="D396" s="382"/>
      <c r="E396" s="382"/>
      <c r="F396" s="382"/>
      <c r="G396" s="382"/>
      <c r="H396" s="382"/>
      <c r="I396" s="382">
        <f>IFERROR(-I391/I390*AK3/I3,"n/a")</f>
        <v>0.27101335792809744</v>
      </c>
      <c r="J396" s="382">
        <f>IFERROR(-J391/J390*AK3/J3,"n/a")</f>
        <v>0.33151047487906721</v>
      </c>
      <c r="K396" s="382">
        <f>IFERROR(-K391/K390*AL3/K3,"n/a")</f>
        <v>0.25679941415817725</v>
      </c>
      <c r="L396" s="382">
        <f>IFERROR(-L391/L390*AL3/L3,"n/a")</f>
        <v>0.30280577177329682</v>
      </c>
      <c r="M396" s="382">
        <f>IFERROR(-M391/M390*AM3/M3,"n/a")</f>
        <v>0.34069167708939607</v>
      </c>
      <c r="N396" s="382">
        <f>IFERROR(-N391/N390*AM3/N3,"n/a")</f>
        <v>0.11945510522542284</v>
      </c>
      <c r="O396" s="389">
        <f>IFERROR(-O391/O390*AN3/O3,"n/a")</f>
        <v>0.34091750984293634</v>
      </c>
      <c r="P396" s="661">
        <v>0.2</v>
      </c>
      <c r="Q396" s="661">
        <v>0.2</v>
      </c>
      <c r="R396" s="661">
        <v>0.2</v>
      </c>
      <c r="S396" s="661"/>
      <c r="T396" s="661"/>
      <c r="U396" s="661"/>
      <c r="V396" s="661"/>
      <c r="W396" s="661"/>
      <c r="X396" s="661"/>
      <c r="Y396" s="662"/>
      <c r="Z396" s="384"/>
      <c r="AA396" s="384"/>
      <c r="AB396" s="384"/>
      <c r="AC396" s="384"/>
      <c r="AD396" s="384"/>
      <c r="AE396" s="384"/>
      <c r="AF396" s="384"/>
      <c r="AG396" s="384"/>
      <c r="AH396" s="384"/>
      <c r="AI396" s="384"/>
      <c r="AJ396" s="384"/>
      <c r="AK396" s="384">
        <f>IFERROR(-AK391/AK390,"n/a")</f>
        <v>0.28046697038724372</v>
      </c>
      <c r="AL396" s="384">
        <f>IFERROR(-AL391/AL390,"n/a")</f>
        <v>0.26017475281673946</v>
      </c>
      <c r="AM396" s="390">
        <f>IFERROR(-AM391/AM390,"n/a")</f>
        <v>0.22700085445741955</v>
      </c>
      <c r="AN396" s="384">
        <f>IFERROR(-AN391/AN390,"n/a")</f>
        <v>0.2660000978155998</v>
      </c>
      <c r="AO396" s="384">
        <f>IFERROR(-AO391/AO390,"n/a")</f>
        <v>0.21003493783121355</v>
      </c>
      <c r="AP396" s="664">
        <v>0.2</v>
      </c>
      <c r="AQ396" s="664">
        <v>0.2</v>
      </c>
      <c r="AR396" s="664">
        <v>0.2</v>
      </c>
      <c r="AS396" s="261"/>
    </row>
    <row r="397" spans="1:45" s="262" customFormat="1" x14ac:dyDescent="0.35">
      <c r="A397" s="305" t="s">
        <v>900</v>
      </c>
      <c r="B397" s="368"/>
      <c r="C397" s="645"/>
      <c r="D397" s="645"/>
      <c r="E397" s="645"/>
      <c r="F397" s="645"/>
      <c r="G397" s="645"/>
      <c r="H397" s="645"/>
      <c r="I397" s="645">
        <f>IFERROR(-I390/I391*I3/AK3,"n/a")</f>
        <v>3.6898550228114959</v>
      </c>
      <c r="J397" s="645">
        <f>IFERROR(-J390/J391*J3/AK3,"n/a")</f>
        <v>3.0164959353540586</v>
      </c>
      <c r="K397" s="645">
        <f>IFERROR(-K390/K391*K3/AL3,"n/a")</f>
        <v>3.8940898805323743</v>
      </c>
      <c r="L397" s="645">
        <f>IFERROR(-L390/L391*L3/AL3,"n/a")</f>
        <v>3.3024469584703802</v>
      </c>
      <c r="M397" s="645">
        <f>IFERROR(-M390/M391*M3/AM3,"n/a")</f>
        <v>2.9352052522774259</v>
      </c>
      <c r="N397" s="645">
        <f>IFERROR(-N390/N391*N3/AM3,"n/a")</f>
        <v>8.3713458551052078</v>
      </c>
      <c r="O397" s="672">
        <f>IFERROR(-O390/O391*O3/AN3,"n/a")</f>
        <v>2.933260894873686</v>
      </c>
      <c r="P397" s="645">
        <f>-P390/P391*P3/AN3</f>
        <v>5</v>
      </c>
      <c r="Q397" s="645">
        <f>-Q390/Q391*Q3/AO3</f>
        <v>4.9999999999999991</v>
      </c>
      <c r="R397" s="645">
        <f>-R390/R391*R3/AO3</f>
        <v>4.9999999999999991</v>
      </c>
      <c r="S397" s="645"/>
      <c r="T397" s="645"/>
      <c r="U397" s="645"/>
      <c r="V397" s="645"/>
      <c r="W397" s="645"/>
      <c r="X397" s="645"/>
      <c r="Y397" s="645"/>
      <c r="Z397" s="646"/>
      <c r="AA397" s="646"/>
      <c r="AB397" s="646"/>
      <c r="AC397" s="646"/>
      <c r="AD397" s="646"/>
      <c r="AE397" s="646"/>
      <c r="AF397" s="646"/>
      <c r="AG397" s="646"/>
      <c r="AH397" s="646"/>
      <c r="AI397" s="646"/>
      <c r="AJ397" s="646"/>
      <c r="AK397" s="646">
        <f t="shared" ref="AK397:AR397" si="336">IFERROR(-AK390/AK391,"n/a")</f>
        <v>3.565482233502538</v>
      </c>
      <c r="AL397" s="646">
        <f t="shared" si="336"/>
        <v>3.8435704816615117</v>
      </c>
      <c r="AM397" s="673">
        <f t="shared" si="336"/>
        <v>4.4052697616060223</v>
      </c>
      <c r="AN397" s="646">
        <f t="shared" si="336"/>
        <v>3.7593971138057007</v>
      </c>
      <c r="AO397" s="646">
        <f t="shared" si="336"/>
        <v>4.7611126526178769</v>
      </c>
      <c r="AP397" s="646">
        <f t="shared" si="336"/>
        <v>5</v>
      </c>
      <c r="AQ397" s="646">
        <f t="shared" si="336"/>
        <v>5</v>
      </c>
      <c r="AR397" s="646">
        <f t="shared" si="336"/>
        <v>4.9999999999999991</v>
      </c>
      <c r="AS397" s="261"/>
    </row>
    <row r="398" spans="1:45" s="262" customFormat="1" x14ac:dyDescent="0.35">
      <c r="A398" s="263"/>
      <c r="B398" s="315"/>
      <c r="C398" s="524"/>
      <c r="D398" s="524"/>
      <c r="E398" s="524"/>
      <c r="F398" s="524"/>
      <c r="G398" s="524"/>
      <c r="H398" s="524"/>
      <c r="I398" s="524"/>
      <c r="J398" s="524"/>
      <c r="K398" s="524"/>
      <c r="L398" s="524"/>
      <c r="M398" s="524"/>
      <c r="N398" s="524"/>
      <c r="O398" s="525"/>
      <c r="P398" s="524"/>
      <c r="Q398" s="524"/>
      <c r="R398" s="524"/>
      <c r="S398" s="524"/>
      <c r="T398" s="524"/>
      <c r="U398" s="524"/>
      <c r="V398" s="524"/>
      <c r="W398" s="524"/>
      <c r="X398" s="524"/>
      <c r="Y398" s="524"/>
      <c r="Z398" s="526"/>
      <c r="AA398" s="526"/>
      <c r="AB398" s="526"/>
      <c r="AC398" s="526"/>
      <c r="AD398" s="526"/>
      <c r="AE398" s="526"/>
      <c r="AF398" s="526"/>
      <c r="AG398" s="526"/>
      <c r="AH398" s="526"/>
      <c r="AI398" s="526"/>
      <c r="AJ398" s="526"/>
      <c r="AK398" s="526"/>
      <c r="AL398" s="526"/>
      <c r="AM398" s="529"/>
      <c r="AN398" s="526"/>
      <c r="AO398" s="526"/>
      <c r="AP398" s="526"/>
      <c r="AQ398" s="526"/>
      <c r="AR398" s="526"/>
      <c r="AS398" s="261"/>
    </row>
    <row r="399" spans="1:45" s="262" customFormat="1" x14ac:dyDescent="0.35">
      <c r="A399" s="305" t="s">
        <v>901</v>
      </c>
      <c r="B399" s="368"/>
      <c r="C399" s="645"/>
      <c r="D399" s="645"/>
      <c r="E399" s="645"/>
      <c r="F399" s="645"/>
      <c r="G399" s="645"/>
      <c r="H399" s="645"/>
      <c r="I399" s="671">
        <v>8.077</v>
      </c>
      <c r="J399" s="645">
        <f>I404</f>
        <v>7.5919999999999996</v>
      </c>
      <c r="K399" s="645">
        <f>AK404</f>
        <v>9.8390000000000004</v>
      </c>
      <c r="L399" s="645">
        <f>K404</f>
        <v>8.6940000000000008</v>
      </c>
      <c r="M399" s="645">
        <f>AL404</f>
        <v>8.3019999999999996</v>
      </c>
      <c r="N399" s="645">
        <f>M404</f>
        <v>7.8289999999999997</v>
      </c>
      <c r="O399" s="672">
        <f>AM404</f>
        <v>6.6660000000000004</v>
      </c>
      <c r="P399" s="645">
        <f>O404</f>
        <v>6.4290000000000003</v>
      </c>
      <c r="Q399" s="645">
        <f>AN404</f>
        <v>6.3640031235544186</v>
      </c>
      <c r="R399" s="645">
        <f>Q404</f>
        <v>6.5997404876751116</v>
      </c>
      <c r="S399" s="645"/>
      <c r="T399" s="645"/>
      <c r="U399" s="645"/>
      <c r="V399" s="645"/>
      <c r="W399" s="645"/>
      <c r="X399" s="645"/>
      <c r="Y399" s="645"/>
      <c r="Z399" s="646"/>
      <c r="AA399" s="646"/>
      <c r="AB399" s="646"/>
      <c r="AC399" s="646"/>
      <c r="AD399" s="646"/>
      <c r="AE399" s="646"/>
      <c r="AF399" s="646"/>
      <c r="AG399" s="646"/>
      <c r="AH399" s="646"/>
      <c r="AI399" s="646"/>
      <c r="AJ399" s="646"/>
      <c r="AK399" s="646">
        <f>I399</f>
        <v>8.077</v>
      </c>
      <c r="AL399" s="646">
        <f t="shared" ref="AL399:AR399" si="337">AK404</f>
        <v>9.8390000000000004</v>
      </c>
      <c r="AM399" s="673">
        <f t="shared" si="337"/>
        <v>8.3019999999999996</v>
      </c>
      <c r="AN399" s="646">
        <f t="shared" si="337"/>
        <v>6.6660000000000004</v>
      </c>
      <c r="AO399" s="646">
        <f t="shared" si="337"/>
        <v>6.3640031235544186</v>
      </c>
      <c r="AP399" s="646">
        <f t="shared" si="337"/>
        <v>6.5897665198151429</v>
      </c>
      <c r="AQ399" s="646">
        <f t="shared" si="337"/>
        <v>6.7921739916760853</v>
      </c>
      <c r="AR399" s="646">
        <f t="shared" si="337"/>
        <v>6.9986296129742467</v>
      </c>
      <c r="AS399" s="261"/>
    </row>
    <row r="400" spans="1:45" s="262" customFormat="1" x14ac:dyDescent="0.35">
      <c r="A400" s="246" t="s">
        <v>902</v>
      </c>
      <c r="B400" s="315"/>
      <c r="C400" s="524"/>
      <c r="D400" s="524"/>
      <c r="E400" s="524"/>
      <c r="F400" s="524"/>
      <c r="G400" s="524"/>
      <c r="H400" s="524"/>
      <c r="I400" s="524"/>
      <c r="J400" s="524"/>
      <c r="K400" s="524"/>
      <c r="L400" s="524"/>
      <c r="M400" s="524"/>
      <c r="N400" s="524"/>
      <c r="O400" s="525"/>
      <c r="P400" s="524">
        <f>P416</f>
        <v>0.92073918150558076</v>
      </c>
      <c r="Q400" s="524">
        <f>Q416</f>
        <v>1.2468869512995124</v>
      </c>
      <c r="R400" s="524">
        <f>R416</f>
        <v>0.99779025450022041</v>
      </c>
      <c r="S400" s="524"/>
      <c r="T400" s="524"/>
      <c r="U400" s="524"/>
      <c r="V400" s="524"/>
      <c r="W400" s="524"/>
      <c r="X400" s="524"/>
      <c r="Y400" s="524"/>
      <c r="Z400" s="526"/>
      <c r="AA400" s="526"/>
      <c r="AB400" s="526"/>
      <c r="AC400" s="526"/>
      <c r="AD400" s="526"/>
      <c r="AE400" s="526"/>
      <c r="AF400" s="526"/>
      <c r="AG400" s="526"/>
      <c r="AH400" s="526"/>
      <c r="AI400" s="526"/>
      <c r="AJ400" s="526"/>
      <c r="AK400" s="526"/>
      <c r="AL400" s="526"/>
      <c r="AM400" s="529"/>
      <c r="AN400" s="526" t="str">
        <f>IF(OR(ISBLANK(O400),ISBLANK(P400)),"n/a",SUM(O400,P400))</f>
        <v>n/a</v>
      </c>
      <c r="AO400" s="526">
        <f>IF(OR(ISBLANK(Q400),ISBLANK(R400)),"n/a",SUM(Q400,R400))</f>
        <v>2.2446772057997331</v>
      </c>
      <c r="AP400" s="526">
        <f>AP416</f>
        <v>2.258980361933109</v>
      </c>
      <c r="AQ400" s="526">
        <f>AQ416</f>
        <v>2.3021473654800566</v>
      </c>
      <c r="AR400" s="526">
        <f>AR416</f>
        <v>2.3461777090979417</v>
      </c>
      <c r="AS400" s="261"/>
    </row>
    <row r="401" spans="1:45" s="262" customFormat="1" x14ac:dyDescent="0.35">
      <c r="A401" s="246" t="s">
        <v>903</v>
      </c>
      <c r="B401" s="315"/>
      <c r="C401" s="524"/>
      <c r="D401" s="524"/>
      <c r="E401" s="524"/>
      <c r="F401" s="524"/>
      <c r="G401" s="524"/>
      <c r="H401" s="524"/>
      <c r="I401" s="524">
        <f t="shared" ref="I401:O401" si="338">I346</f>
        <v>-0.48499999999999999</v>
      </c>
      <c r="J401" s="524">
        <f t="shared" si="338"/>
        <v>-1.3969999999999998</v>
      </c>
      <c r="K401" s="524">
        <f t="shared" si="338"/>
        <v>-1.1459999999999999</v>
      </c>
      <c r="L401" s="524">
        <f t="shared" si="338"/>
        <v>-0.97900000000000009</v>
      </c>
      <c r="M401" s="524">
        <f t="shared" si="338"/>
        <v>-1.206</v>
      </c>
      <c r="N401" s="524">
        <f t="shared" si="338"/>
        <v>-1.1630000000000003</v>
      </c>
      <c r="O401" s="525">
        <f t="shared" si="338"/>
        <v>-0.98299999999999998</v>
      </c>
      <c r="P401" s="524">
        <f>-P408</f>
        <v>-0.98573605795116159</v>
      </c>
      <c r="Q401" s="524">
        <f>-Q408</f>
        <v>-1.011149587178819</v>
      </c>
      <c r="R401" s="524">
        <f>-R408</f>
        <v>-1.0077642223601899</v>
      </c>
      <c r="S401" s="524"/>
      <c r="T401" s="524"/>
      <c r="U401" s="524"/>
      <c r="V401" s="524"/>
      <c r="W401" s="524"/>
      <c r="X401" s="524"/>
      <c r="Y401" s="524"/>
      <c r="Z401" s="526"/>
      <c r="AA401" s="526"/>
      <c r="AB401" s="526"/>
      <c r="AC401" s="526"/>
      <c r="AD401" s="526"/>
      <c r="AE401" s="526"/>
      <c r="AF401" s="526"/>
      <c r="AG401" s="526"/>
      <c r="AH401" s="526"/>
      <c r="AI401" s="526"/>
      <c r="AJ401" s="526"/>
      <c r="AK401" s="526">
        <f>AK346</f>
        <v>-1.8819999999999999</v>
      </c>
      <c r="AL401" s="526">
        <f>AL346</f>
        <v>-2.125</v>
      </c>
      <c r="AM401" s="529">
        <f>AM346</f>
        <v>-2.3690000000000002</v>
      </c>
      <c r="AN401" s="526">
        <f>IF(OR(ISBLANK(O401),ISBLANK(P401)),"n/a",SUM(O401,P401))</f>
        <v>-1.9687360579511615</v>
      </c>
      <c r="AO401" s="526">
        <f>IF(OR(ISBLANK(Q401),ISBLANK(R401)),"n/a",SUM(Q401,R401))</f>
        <v>-2.0189138095390087</v>
      </c>
      <c r="AP401" s="526">
        <f>-AP408</f>
        <v>-2.0565728900721667</v>
      </c>
      <c r="AQ401" s="526">
        <f>-AQ408</f>
        <v>-2.0956917441818956</v>
      </c>
      <c r="AR401" s="526">
        <f>-AR408</f>
        <v>-2.1355929753738194</v>
      </c>
      <c r="AS401" s="261"/>
    </row>
    <row r="402" spans="1:45" s="262" customFormat="1" x14ac:dyDescent="0.35">
      <c r="A402" s="246" t="s">
        <v>904</v>
      </c>
      <c r="B402" s="315"/>
      <c r="C402" s="524"/>
      <c r="D402" s="524"/>
      <c r="E402" s="524"/>
      <c r="F402" s="524"/>
      <c r="G402" s="524"/>
      <c r="H402" s="524"/>
      <c r="I402" s="524">
        <f t="shared" ref="I402:O402" si="339">I272+I347</f>
        <v>0</v>
      </c>
      <c r="J402" s="524">
        <f t="shared" si="339"/>
        <v>0</v>
      </c>
      <c r="K402" s="524">
        <f t="shared" si="339"/>
        <v>0</v>
      </c>
      <c r="L402" s="524">
        <f t="shared" si="339"/>
        <v>0.186</v>
      </c>
      <c r="M402" s="524">
        <f t="shared" si="339"/>
        <v>-0.192</v>
      </c>
      <c r="N402" s="524">
        <f t="shared" si="339"/>
        <v>0.192</v>
      </c>
      <c r="O402" s="525">
        <f t="shared" si="339"/>
        <v>0</v>
      </c>
      <c r="P402" s="675">
        <v>0</v>
      </c>
      <c r="Q402" s="675">
        <v>0</v>
      </c>
      <c r="R402" s="675">
        <v>0</v>
      </c>
      <c r="S402" s="675"/>
      <c r="T402" s="675"/>
      <c r="U402" s="675"/>
      <c r="V402" s="675"/>
      <c r="W402" s="675"/>
      <c r="X402" s="675"/>
      <c r="Y402" s="676"/>
      <c r="Z402" s="526"/>
      <c r="AA402" s="526"/>
      <c r="AB402" s="526"/>
      <c r="AC402" s="526"/>
      <c r="AD402" s="526"/>
      <c r="AE402" s="526"/>
      <c r="AF402" s="526"/>
      <c r="AG402" s="526"/>
      <c r="AH402" s="526"/>
      <c r="AI402" s="526"/>
      <c r="AJ402" s="526"/>
      <c r="AK402" s="526">
        <f>AK272+AK347</f>
        <v>0</v>
      </c>
      <c r="AL402" s="526">
        <f>AL272+AL347</f>
        <v>0.186</v>
      </c>
      <c r="AM402" s="529">
        <f>AM272+AM347</f>
        <v>0</v>
      </c>
      <c r="AN402" s="526">
        <f>IF(OR(ISBLANK(O402),ISBLANK(P402)),"n/a",SUM(O402,P402))</f>
        <v>0</v>
      </c>
      <c r="AO402" s="526">
        <f>IF(OR(ISBLANK(Q402),ISBLANK(R402)),"n/a",SUM(Q402,R402))</f>
        <v>0</v>
      </c>
      <c r="AP402" s="677">
        <v>0</v>
      </c>
      <c r="AQ402" s="677">
        <v>0</v>
      </c>
      <c r="AR402" s="677">
        <v>0</v>
      </c>
      <c r="AS402" s="261"/>
    </row>
    <row r="403" spans="1:45" s="262" customFormat="1" x14ac:dyDescent="0.35">
      <c r="A403" s="556" t="s">
        <v>905</v>
      </c>
      <c r="B403" s="566"/>
      <c r="C403" s="546"/>
      <c r="D403" s="546"/>
      <c r="E403" s="546"/>
      <c r="F403" s="546"/>
      <c r="G403" s="546"/>
      <c r="H403" s="546"/>
      <c r="I403" s="546">
        <f t="shared" ref="I403:R403" si="340">ROUND(I404-I399-I400-I401-I402,6)</f>
        <v>0</v>
      </c>
      <c r="J403" s="546">
        <f t="shared" si="340"/>
        <v>3.6440000000000001</v>
      </c>
      <c r="K403" s="546">
        <f t="shared" si="340"/>
        <v>1E-3</v>
      </c>
      <c r="L403" s="546">
        <f t="shared" si="340"/>
        <v>0.40100000000000002</v>
      </c>
      <c r="M403" s="546">
        <f t="shared" si="340"/>
        <v>0.92500000000000004</v>
      </c>
      <c r="N403" s="546">
        <f t="shared" si="340"/>
        <v>-0.192</v>
      </c>
      <c r="O403" s="547">
        <f t="shared" si="340"/>
        <v>0.746</v>
      </c>
      <c r="P403" s="546">
        <f t="shared" si="340"/>
        <v>0</v>
      </c>
      <c r="Q403" s="546">
        <f t="shared" si="340"/>
        <v>0</v>
      </c>
      <c r="R403" s="546">
        <f t="shared" si="340"/>
        <v>0</v>
      </c>
      <c r="S403" s="546"/>
      <c r="T403" s="546"/>
      <c r="U403" s="546"/>
      <c r="V403" s="546"/>
      <c r="W403" s="546"/>
      <c r="X403" s="546"/>
      <c r="Y403" s="546"/>
      <c r="Z403" s="548"/>
      <c r="AA403" s="548"/>
      <c r="AB403" s="548"/>
      <c r="AC403" s="548"/>
      <c r="AD403" s="548"/>
      <c r="AE403" s="548"/>
      <c r="AF403" s="548"/>
      <c r="AG403" s="548"/>
      <c r="AH403" s="548"/>
      <c r="AI403" s="548"/>
      <c r="AJ403" s="548"/>
      <c r="AK403" s="548">
        <f>ROUND(AK404-AK399-AK400-AK401-AK402,6)</f>
        <v>3.6440000000000001</v>
      </c>
      <c r="AL403" s="548">
        <f>ROUND(AL404-AL399-AL400-AL401-AL402,6)</f>
        <v>0.40200000000000002</v>
      </c>
      <c r="AM403" s="549">
        <f>ROUND(AM404-AM399-AM400-AM401-AM402,6)</f>
        <v>0.73299999999999998</v>
      </c>
      <c r="AN403" s="548">
        <f>ROUND(AN404-AN399-IF(ISNUMBER(AN400),AN400,0)-IF(ISNUMBER(AN401),AN401,0)-IF(ISNUMBER(AN402),AN402,0),6)</f>
        <v>1.666739</v>
      </c>
      <c r="AO403" s="548">
        <f>ROUND(AO404-AO399-IF(ISNUMBER(AO400),AO400,0)-IF(ISNUMBER(AO401),AO401,0)-IF(ISNUMBER(AO402),AO402,0),6)</f>
        <v>0</v>
      </c>
      <c r="AP403" s="548">
        <f>ROUND(AP404-AP399-AP400-AP401-AP402,6)</f>
        <v>0</v>
      </c>
      <c r="AQ403" s="548">
        <f>ROUND(AQ404-AQ399-AQ400-AQ401-AQ402,6)</f>
        <v>0</v>
      </c>
      <c r="AR403" s="548">
        <f>ROUND(AR404-AR399-AR400-AR401-AR402,6)</f>
        <v>0</v>
      </c>
      <c r="AS403" s="261"/>
    </row>
    <row r="404" spans="1:45" s="262" customFormat="1" x14ac:dyDescent="0.35">
      <c r="A404" s="560" t="s">
        <v>906</v>
      </c>
      <c r="B404" s="653"/>
      <c r="C404" s="562"/>
      <c r="D404" s="562"/>
      <c r="E404" s="562"/>
      <c r="F404" s="562"/>
      <c r="G404" s="562"/>
      <c r="H404" s="562"/>
      <c r="I404" s="562">
        <f t="shared" ref="I404:R404" si="341">I442+I449</f>
        <v>7.5919999999999996</v>
      </c>
      <c r="J404" s="562">
        <f t="shared" si="341"/>
        <v>9.8390000000000004</v>
      </c>
      <c r="K404" s="562">
        <f t="shared" si="341"/>
        <v>8.6940000000000008</v>
      </c>
      <c r="L404" s="562">
        <f t="shared" si="341"/>
        <v>8.3019999999999996</v>
      </c>
      <c r="M404" s="562">
        <f t="shared" si="341"/>
        <v>7.8289999999999997</v>
      </c>
      <c r="N404" s="562">
        <f t="shared" si="341"/>
        <v>6.6660000000000004</v>
      </c>
      <c r="O404" s="563">
        <f t="shared" si="341"/>
        <v>6.4290000000000003</v>
      </c>
      <c r="P404" s="562">
        <f t="shared" si="341"/>
        <v>6.3640031235544186</v>
      </c>
      <c r="Q404" s="562">
        <f t="shared" si="341"/>
        <v>6.5997404876751116</v>
      </c>
      <c r="R404" s="562">
        <f t="shared" si="341"/>
        <v>6.5897665198151429</v>
      </c>
      <c r="S404" s="562"/>
      <c r="T404" s="562"/>
      <c r="U404" s="562"/>
      <c r="V404" s="562"/>
      <c r="W404" s="562"/>
      <c r="X404" s="562"/>
      <c r="Y404" s="562"/>
      <c r="Z404" s="564"/>
      <c r="AA404" s="564"/>
      <c r="AB404" s="564"/>
      <c r="AC404" s="564"/>
      <c r="AD404" s="564"/>
      <c r="AE404" s="564"/>
      <c r="AF404" s="564"/>
      <c r="AG404" s="564"/>
      <c r="AH404" s="564"/>
      <c r="AI404" s="564"/>
      <c r="AJ404" s="564"/>
      <c r="AK404" s="564">
        <f t="shared" ref="AK404:AR404" si="342">AK442+AK449</f>
        <v>9.8390000000000004</v>
      </c>
      <c r="AL404" s="564">
        <f t="shared" si="342"/>
        <v>8.3019999999999996</v>
      </c>
      <c r="AM404" s="565">
        <f t="shared" si="342"/>
        <v>6.6660000000000004</v>
      </c>
      <c r="AN404" s="564">
        <f t="shared" si="342"/>
        <v>6.3640031235544186</v>
      </c>
      <c r="AO404" s="564">
        <f t="shared" si="342"/>
        <v>6.5897665198151429</v>
      </c>
      <c r="AP404" s="564">
        <f t="shared" si="342"/>
        <v>6.7921739916760853</v>
      </c>
      <c r="AQ404" s="564">
        <f t="shared" si="342"/>
        <v>6.9986296129742467</v>
      </c>
      <c r="AR404" s="564">
        <f t="shared" si="342"/>
        <v>7.2092143466983689</v>
      </c>
      <c r="AS404" s="261"/>
    </row>
    <row r="405" spans="1:45" s="262" customFormat="1" x14ac:dyDescent="0.35">
      <c r="A405" s="674" t="s">
        <v>907</v>
      </c>
      <c r="B405" s="424"/>
      <c r="C405" s="382"/>
      <c r="D405" s="382"/>
      <c r="E405" s="382"/>
      <c r="F405" s="382"/>
      <c r="G405" s="382"/>
      <c r="H405" s="382"/>
      <c r="I405" s="382">
        <f t="shared" ref="I405:R405" si="343">IFERROR(I442/I404,"n/a")</f>
        <v>0.30795574288724975</v>
      </c>
      <c r="J405" s="382">
        <f t="shared" si="343"/>
        <v>0.18975505640817156</v>
      </c>
      <c r="K405" s="382">
        <f t="shared" si="343"/>
        <v>0.28525419829767651</v>
      </c>
      <c r="L405" s="382">
        <f t="shared" si="343"/>
        <v>0.31293664177306674</v>
      </c>
      <c r="M405" s="382">
        <f t="shared" si="343"/>
        <v>0.34282794737514372</v>
      </c>
      <c r="N405" s="382">
        <f t="shared" si="343"/>
        <v>0.40744074407440745</v>
      </c>
      <c r="O405" s="389">
        <f t="shared" si="343"/>
        <v>0.42339399595582516</v>
      </c>
      <c r="P405" s="382">
        <f t="shared" si="343"/>
        <v>0.42771820615947631</v>
      </c>
      <c r="Q405" s="382">
        <f t="shared" si="343"/>
        <v>0.41244045960341663</v>
      </c>
      <c r="R405" s="382">
        <f t="shared" si="343"/>
        <v>0.41306471053489735</v>
      </c>
      <c r="S405" s="382"/>
      <c r="T405" s="382"/>
      <c r="U405" s="382"/>
      <c r="V405" s="382"/>
      <c r="W405" s="382"/>
      <c r="X405" s="382"/>
      <c r="Y405" s="382"/>
      <c r="Z405" s="384"/>
      <c r="AA405" s="384"/>
      <c r="AB405" s="384"/>
      <c r="AC405" s="384"/>
      <c r="AD405" s="384"/>
      <c r="AE405" s="384"/>
      <c r="AF405" s="384"/>
      <c r="AG405" s="384"/>
      <c r="AH405" s="384"/>
      <c r="AI405" s="384"/>
      <c r="AJ405" s="384"/>
      <c r="AK405" s="384">
        <f t="shared" ref="AK405:AR405" si="344">IFERROR(AK442/AK404,"n/a")</f>
        <v>0.18975505640817156</v>
      </c>
      <c r="AL405" s="384">
        <f t="shared" si="344"/>
        <v>0.31293664177306674</v>
      </c>
      <c r="AM405" s="390">
        <f t="shared" si="344"/>
        <v>0.40744074407440745</v>
      </c>
      <c r="AN405" s="384">
        <f t="shared" si="344"/>
        <v>0.42771820615947631</v>
      </c>
      <c r="AO405" s="384">
        <f t="shared" si="344"/>
        <v>0.41306471053489735</v>
      </c>
      <c r="AP405" s="384">
        <f t="shared" si="344"/>
        <v>0.4007553403867235</v>
      </c>
      <c r="AQ405" s="384">
        <f t="shared" si="344"/>
        <v>0.38893328416092826</v>
      </c>
      <c r="AR405" s="384">
        <f t="shared" si="344"/>
        <v>0.37757234964814224</v>
      </c>
      <c r="AS405" s="261"/>
    </row>
    <row r="406" spans="1:45" s="262" customFormat="1" x14ac:dyDescent="0.35">
      <c r="A406" s="263"/>
      <c r="B406" s="315"/>
      <c r="C406" s="524"/>
      <c r="D406" s="524"/>
      <c r="E406" s="524"/>
      <c r="F406" s="524"/>
      <c r="G406" s="524"/>
      <c r="H406" s="524"/>
      <c r="I406" s="524"/>
      <c r="J406" s="524"/>
      <c r="K406" s="524"/>
      <c r="L406" s="524"/>
      <c r="M406" s="524"/>
      <c r="N406" s="524"/>
      <c r="O406" s="525"/>
      <c r="P406" s="524"/>
      <c r="Q406" s="524"/>
      <c r="R406" s="524"/>
      <c r="S406" s="524"/>
      <c r="T406" s="524"/>
      <c r="U406" s="524"/>
      <c r="V406" s="524"/>
      <c r="W406" s="524"/>
      <c r="X406" s="524"/>
      <c r="Y406" s="524"/>
      <c r="Z406" s="526"/>
      <c r="AA406" s="526"/>
      <c r="AB406" s="526"/>
      <c r="AC406" s="526"/>
      <c r="AD406" s="526"/>
      <c r="AE406" s="526"/>
      <c r="AF406" s="526"/>
      <c r="AG406" s="526"/>
      <c r="AH406" s="526"/>
      <c r="AI406" s="526"/>
      <c r="AJ406" s="526"/>
      <c r="AK406" s="526"/>
      <c r="AL406" s="526"/>
      <c r="AM406" s="529"/>
      <c r="AN406" s="526"/>
      <c r="AO406" s="526"/>
      <c r="AP406" s="526"/>
      <c r="AQ406" s="526"/>
      <c r="AR406" s="526"/>
      <c r="AS406" s="261"/>
    </row>
    <row r="407" spans="1:45" s="262" customFormat="1" x14ac:dyDescent="0.35">
      <c r="A407" s="246" t="s">
        <v>908</v>
      </c>
      <c r="B407" s="315"/>
      <c r="C407" s="524"/>
      <c r="D407" s="524"/>
      <c r="E407" s="524"/>
      <c r="F407" s="524"/>
      <c r="G407" s="524"/>
      <c r="H407" s="524"/>
      <c r="I407" s="524">
        <f t="shared" ref="I407:O407" si="345">-I347</f>
        <v>0.109</v>
      </c>
      <c r="J407" s="524">
        <f t="shared" si="345"/>
        <v>0.20700000000000002</v>
      </c>
      <c r="K407" s="524">
        <f t="shared" si="345"/>
        <v>0.13800000000000001</v>
      </c>
      <c r="L407" s="524">
        <f t="shared" si="345"/>
        <v>0.15299999999999997</v>
      </c>
      <c r="M407" s="524">
        <f t="shared" si="345"/>
        <v>0.126</v>
      </c>
      <c r="N407" s="524">
        <f t="shared" si="345"/>
        <v>0.127</v>
      </c>
      <c r="O407" s="525">
        <f t="shared" si="345"/>
        <v>9.9000000000000005E-2</v>
      </c>
      <c r="P407" s="524">
        <f>P411*P399*P3/AN3-P402</f>
        <v>8.9266224657534241E-2</v>
      </c>
      <c r="Q407" s="524">
        <f>Q411*Q399*Q3/AO3-Q402</f>
        <v>8.958290735670045E-2</v>
      </c>
      <c r="R407" s="524">
        <f>R411*R399*R3/AO3-R402</f>
        <v>9.1891468648066563E-2</v>
      </c>
      <c r="S407" s="524"/>
      <c r="T407" s="524"/>
      <c r="U407" s="524"/>
      <c r="V407" s="524"/>
      <c r="W407" s="524"/>
      <c r="X407" s="524"/>
      <c r="Y407" s="524"/>
      <c r="Z407" s="526"/>
      <c r="AA407" s="526"/>
      <c r="AB407" s="526"/>
      <c r="AC407" s="526"/>
      <c r="AD407" s="526"/>
      <c r="AE407" s="526"/>
      <c r="AF407" s="526"/>
      <c r="AG407" s="526"/>
      <c r="AH407" s="526"/>
      <c r="AI407" s="526"/>
      <c r="AJ407" s="526"/>
      <c r="AK407" s="526">
        <f>-AK347</f>
        <v>0.316</v>
      </c>
      <c r="AL407" s="526">
        <f>-AL347</f>
        <v>0.29099999999999998</v>
      </c>
      <c r="AM407" s="529">
        <f>-AM347</f>
        <v>0.253</v>
      </c>
      <c r="AN407" s="526">
        <f>IF(OR(ISBLANK(O407),ISBLANK(P407)),"n/a",SUM(O407,P407))</f>
        <v>0.18826622465753423</v>
      </c>
      <c r="AO407" s="526">
        <f>IF(OR(ISBLANK(Q407),ISBLANK(R407)),"n/a",SUM(Q407,R407))</f>
        <v>0.18147437600476701</v>
      </c>
      <c r="AP407" s="526">
        <f>AP411*AP399-AP402</f>
        <v>0.18782305918248512</v>
      </c>
      <c r="AQ407" s="526">
        <f>AQ411*AQ399-AQ402</f>
        <v>0.19359212405784909</v>
      </c>
      <c r="AR407" s="526">
        <f>AR411*AR399-AR402</f>
        <v>0.19947657023072032</v>
      </c>
      <c r="AS407" s="261"/>
    </row>
    <row r="408" spans="1:45" s="262" customFormat="1" x14ac:dyDescent="0.35">
      <c r="A408" s="556" t="s">
        <v>909</v>
      </c>
      <c r="B408" s="566"/>
      <c r="C408" s="546"/>
      <c r="D408" s="546"/>
      <c r="E408" s="546"/>
      <c r="F408" s="546"/>
      <c r="G408" s="546"/>
      <c r="H408" s="546"/>
      <c r="I408" s="546">
        <f t="shared" ref="I408:O408" si="346">-I401</f>
        <v>0.48499999999999999</v>
      </c>
      <c r="J408" s="546">
        <f t="shared" si="346"/>
        <v>1.3969999999999998</v>
      </c>
      <c r="K408" s="546">
        <f t="shared" si="346"/>
        <v>1.1459999999999999</v>
      </c>
      <c r="L408" s="546">
        <f t="shared" si="346"/>
        <v>0.97900000000000009</v>
      </c>
      <c r="M408" s="546">
        <f t="shared" si="346"/>
        <v>1.206</v>
      </c>
      <c r="N408" s="546">
        <f t="shared" si="346"/>
        <v>1.1630000000000003</v>
      </c>
      <c r="O408" s="547">
        <f t="shared" si="346"/>
        <v>0.98299999999999998</v>
      </c>
      <c r="P408" s="546">
        <f>P409-P407</f>
        <v>0.98573605795116159</v>
      </c>
      <c r="Q408" s="546">
        <f>Q409-Q407</f>
        <v>1.011149587178819</v>
      </c>
      <c r="R408" s="546">
        <f>R409-R407</f>
        <v>1.0077642223601899</v>
      </c>
      <c r="S408" s="546"/>
      <c r="T408" s="546"/>
      <c r="U408" s="546"/>
      <c r="V408" s="546"/>
      <c r="W408" s="546"/>
      <c r="X408" s="546"/>
      <c r="Y408" s="546"/>
      <c r="Z408" s="548"/>
      <c r="AA408" s="548"/>
      <c r="AB408" s="548"/>
      <c r="AC408" s="548"/>
      <c r="AD408" s="548"/>
      <c r="AE408" s="548"/>
      <c r="AF408" s="548"/>
      <c r="AG408" s="548"/>
      <c r="AH408" s="548"/>
      <c r="AI408" s="548"/>
      <c r="AJ408" s="548"/>
      <c r="AK408" s="548">
        <f>-AK401</f>
        <v>1.8819999999999999</v>
      </c>
      <c r="AL408" s="548">
        <f>-AL401</f>
        <v>2.125</v>
      </c>
      <c r="AM408" s="549">
        <f>-AM401</f>
        <v>2.3690000000000002</v>
      </c>
      <c r="AN408" s="548">
        <f>IF(OR(ISBLANK(O408),ISBLANK(P408)),"n/a",SUM(O408,P408))</f>
        <v>1.9687360579511615</v>
      </c>
      <c r="AO408" s="548">
        <f>IF(OR(ISBLANK(Q408),ISBLANK(R408)),"n/a",SUM(Q408,R408))</f>
        <v>2.0189138095390087</v>
      </c>
      <c r="AP408" s="548">
        <f>AP409-AP407</f>
        <v>2.0565728900721667</v>
      </c>
      <c r="AQ408" s="548">
        <f>AQ409-AQ407</f>
        <v>2.0956917441818956</v>
      </c>
      <c r="AR408" s="548">
        <f>AR409-AR407</f>
        <v>2.1355929753738194</v>
      </c>
      <c r="AS408" s="261"/>
    </row>
    <row r="409" spans="1:45" s="262" customFormat="1" x14ac:dyDescent="0.35">
      <c r="A409" s="560" t="s">
        <v>910</v>
      </c>
      <c r="B409" s="653"/>
      <c r="C409" s="562"/>
      <c r="D409" s="562"/>
      <c r="E409" s="562"/>
      <c r="F409" s="562"/>
      <c r="G409" s="562"/>
      <c r="H409" s="562"/>
      <c r="I409" s="562">
        <f t="shared" ref="I409:O409" si="347">I407+I408</f>
        <v>0.59399999999999997</v>
      </c>
      <c r="J409" s="562">
        <f t="shared" si="347"/>
        <v>1.6039999999999999</v>
      </c>
      <c r="K409" s="562">
        <f t="shared" si="347"/>
        <v>1.2839999999999998</v>
      </c>
      <c r="L409" s="562">
        <f t="shared" si="347"/>
        <v>1.1320000000000001</v>
      </c>
      <c r="M409" s="562">
        <f t="shared" si="347"/>
        <v>1.3319999999999999</v>
      </c>
      <c r="N409" s="562">
        <f t="shared" si="347"/>
        <v>1.2900000000000003</v>
      </c>
      <c r="O409" s="563">
        <f t="shared" si="347"/>
        <v>1.0820000000000001</v>
      </c>
      <c r="P409" s="562">
        <f>P418*P3/AN3*12</f>
        <v>1.0750022826086958</v>
      </c>
      <c r="Q409" s="562">
        <f>Q418*Q3/AO3*12</f>
        <v>1.1007324945355195</v>
      </c>
      <c r="R409" s="562">
        <f>R418*R3/AO3*12</f>
        <v>1.0996556910082564</v>
      </c>
      <c r="S409" s="562"/>
      <c r="T409" s="562"/>
      <c r="U409" s="562"/>
      <c r="V409" s="562"/>
      <c r="W409" s="562"/>
      <c r="X409" s="562"/>
      <c r="Y409" s="562"/>
      <c r="Z409" s="564"/>
      <c r="AA409" s="564"/>
      <c r="AB409" s="564"/>
      <c r="AC409" s="564"/>
      <c r="AD409" s="564"/>
      <c r="AE409" s="564"/>
      <c r="AF409" s="564"/>
      <c r="AG409" s="564"/>
      <c r="AH409" s="564"/>
      <c r="AI409" s="564"/>
      <c r="AJ409" s="564"/>
      <c r="AK409" s="564">
        <f>AK407+AK408</f>
        <v>2.198</v>
      </c>
      <c r="AL409" s="564">
        <f>AL407+AL408</f>
        <v>2.4159999999999999</v>
      </c>
      <c r="AM409" s="565">
        <f>AM407+AM408</f>
        <v>2.6220000000000003</v>
      </c>
      <c r="AN409" s="564">
        <f>SUM(O409,P409)</f>
        <v>2.1570022826086959</v>
      </c>
      <c r="AO409" s="564">
        <f>SUM(Q409,R409)</f>
        <v>2.2003881855437761</v>
      </c>
      <c r="AP409" s="564">
        <f>AP418*12</f>
        <v>2.2443959492546517</v>
      </c>
      <c r="AQ409" s="564">
        <f>AQ418*12</f>
        <v>2.2892838682397447</v>
      </c>
      <c r="AR409" s="564">
        <f>AR418*12</f>
        <v>2.3350695456045396</v>
      </c>
      <c r="AS409" s="261"/>
    </row>
    <row r="410" spans="1:45" s="262" customFormat="1" x14ac:dyDescent="0.35">
      <c r="A410" s="263"/>
      <c r="B410" s="315"/>
      <c r="C410" s="524"/>
      <c r="D410" s="524"/>
      <c r="E410" s="524"/>
      <c r="F410" s="524"/>
      <c r="G410" s="524"/>
      <c r="H410" s="524"/>
      <c r="I410" s="524"/>
      <c r="J410" s="524"/>
      <c r="K410" s="524"/>
      <c r="L410" s="524"/>
      <c r="M410" s="524"/>
      <c r="N410" s="524"/>
      <c r="O410" s="525"/>
      <c r="P410" s="524"/>
      <c r="Q410" s="524"/>
      <c r="R410" s="524"/>
      <c r="S410" s="524"/>
      <c r="T410" s="524"/>
      <c r="U410" s="524"/>
      <c r="V410" s="524"/>
      <c r="W410" s="524"/>
      <c r="X410" s="524"/>
      <c r="Y410" s="524"/>
      <c r="Z410" s="526"/>
      <c r="AA410" s="526"/>
      <c r="AB410" s="526"/>
      <c r="AC410" s="526"/>
      <c r="AD410" s="526"/>
      <c r="AE410" s="526"/>
      <c r="AF410" s="526"/>
      <c r="AG410" s="526"/>
      <c r="AH410" s="526"/>
      <c r="AI410" s="526"/>
      <c r="AJ410" s="526"/>
      <c r="AK410" s="526"/>
      <c r="AL410" s="526"/>
      <c r="AM410" s="529"/>
      <c r="AN410" s="526"/>
      <c r="AO410" s="526"/>
      <c r="AP410" s="526"/>
      <c r="AQ410" s="526"/>
      <c r="AR410" s="526"/>
      <c r="AS410" s="261"/>
    </row>
    <row r="411" spans="1:45" s="262" customFormat="1" x14ac:dyDescent="0.35">
      <c r="A411" s="674" t="s">
        <v>911</v>
      </c>
      <c r="B411" s="424"/>
      <c r="C411" s="382"/>
      <c r="D411" s="382"/>
      <c r="E411" s="382"/>
      <c r="F411" s="382"/>
      <c r="G411" s="382"/>
      <c r="H411" s="382"/>
      <c r="I411" s="382">
        <f>IFERROR((I407+I402)/I399*AK3/I3,"n/a")</f>
        <v>2.6843533167178947E-2</v>
      </c>
      <c r="J411" s="382">
        <f>IFERROR((J407+J402)/J399*AK3/J3,"n/a")</f>
        <v>5.483070670109659E-2</v>
      </c>
      <c r="K411" s="382">
        <f>IFERROR((K407+K402)/K399*AL3/K3,"n/a")</f>
        <v>2.7822949486736456E-2</v>
      </c>
      <c r="L411" s="382">
        <f>IFERROR((L407+L402)/L399*AL3/L3,"n/a")</f>
        <v>7.8631100130019171E-2</v>
      </c>
      <c r="M411" s="382">
        <f>IFERROR((M407+M402)/M399*AM3/M3,"n/a")</f>
        <v>-1.5770165387072786E-2</v>
      </c>
      <c r="N411" s="382">
        <f>IFERROR((N407+N402)/N399*AM3/N3,"n/a")</f>
        <v>8.2167236277644606E-2</v>
      </c>
      <c r="O411" s="389">
        <f>IFERROR((O407+O402)/O399*AN3/O3,"n/a")</f>
        <v>2.9460826517434351E-2</v>
      </c>
      <c r="P411" s="661">
        <v>2.8000000000000001E-2</v>
      </c>
      <c r="Q411" s="661">
        <v>2.8000000000000001E-2</v>
      </c>
      <c r="R411" s="661">
        <v>2.8000000000000001E-2</v>
      </c>
      <c r="S411" s="661"/>
      <c r="T411" s="661"/>
      <c r="U411" s="661"/>
      <c r="V411" s="661"/>
      <c r="W411" s="661"/>
      <c r="X411" s="661"/>
      <c r="Y411" s="662"/>
      <c r="Z411" s="384"/>
      <c r="AA411" s="384"/>
      <c r="AB411" s="384"/>
      <c r="AC411" s="384"/>
      <c r="AD411" s="384"/>
      <c r="AE411" s="384"/>
      <c r="AF411" s="384"/>
      <c r="AG411" s="384"/>
      <c r="AH411" s="384"/>
      <c r="AI411" s="384"/>
      <c r="AJ411" s="384"/>
      <c r="AK411" s="384">
        <f>IFERROR((AK407+AK402)/AK399,"n/a")</f>
        <v>3.9123436919648383E-2</v>
      </c>
      <c r="AL411" s="384">
        <f>IFERROR((AL407+AL402)/AL399,"n/a")</f>
        <v>4.8480536639902427E-2</v>
      </c>
      <c r="AM411" s="390">
        <f>IFERROR((AM407+AM402)/AM399,"n/a")</f>
        <v>3.0474584437484947E-2</v>
      </c>
      <c r="AN411" s="384">
        <f>IFERROR((AN407+AN402)/AN399,"n/a")</f>
        <v>2.8242757974427577E-2</v>
      </c>
      <c r="AO411" s="384">
        <f>IFERROR((AO407+AO402)/AO399,"n/a")</f>
        <v>2.8515758474896864E-2</v>
      </c>
      <c r="AP411" s="664">
        <v>2.8502232760099968E-2</v>
      </c>
      <c r="AQ411" s="664">
        <v>2.8502232760099968E-2</v>
      </c>
      <c r="AR411" s="664">
        <v>2.8502232760099968E-2</v>
      </c>
      <c r="AS411" s="261"/>
    </row>
    <row r="412" spans="1:45" s="262" customFormat="1" x14ac:dyDescent="0.35">
      <c r="A412" s="263"/>
      <c r="B412" s="315"/>
      <c r="C412" s="524"/>
      <c r="D412" s="524"/>
      <c r="E412" s="524"/>
      <c r="F412" s="524"/>
      <c r="G412" s="524"/>
      <c r="H412" s="524"/>
      <c r="I412" s="524"/>
      <c r="J412" s="524"/>
      <c r="K412" s="524"/>
      <c r="L412" s="524"/>
      <c r="M412" s="524"/>
      <c r="N412" s="524"/>
      <c r="O412" s="525"/>
      <c r="P412" s="524"/>
      <c r="Q412" s="524"/>
      <c r="R412" s="524"/>
      <c r="S412" s="524"/>
      <c r="T412" s="524"/>
      <c r="U412" s="524"/>
      <c r="V412" s="524"/>
      <c r="W412" s="524"/>
      <c r="X412" s="524"/>
      <c r="Y412" s="524"/>
      <c r="Z412" s="526"/>
      <c r="AA412" s="526"/>
      <c r="AB412" s="526"/>
      <c r="AC412" s="526"/>
      <c r="AD412" s="526"/>
      <c r="AE412" s="526"/>
      <c r="AF412" s="526"/>
      <c r="AG412" s="526"/>
      <c r="AH412" s="526"/>
      <c r="AI412" s="526"/>
      <c r="AJ412" s="526"/>
      <c r="AK412" s="526"/>
      <c r="AL412" s="526"/>
      <c r="AM412" s="529"/>
      <c r="AN412" s="526"/>
      <c r="AO412" s="526"/>
      <c r="AP412" s="526"/>
      <c r="AQ412" s="526"/>
      <c r="AR412" s="526"/>
      <c r="AS412" s="261"/>
    </row>
    <row r="413" spans="1:45" s="262" customFormat="1" x14ac:dyDescent="0.35">
      <c r="A413" s="263" t="s">
        <v>912</v>
      </c>
      <c r="B413" s="315"/>
      <c r="C413" s="524"/>
      <c r="D413" s="524"/>
      <c r="E413" s="524"/>
      <c r="F413" s="524"/>
      <c r="G413" s="524"/>
      <c r="H413" s="524"/>
      <c r="I413" s="524">
        <f>IFERROR(-PMT(I411,I397,I401*I3/AK3),"n/a")</f>
        <v>-7.0288729109682105E-2</v>
      </c>
      <c r="J413" s="524">
        <f>IFERROR(-PMT(J411,J397,J401*J3/AK3),"n/a")</f>
        <v>-0.25610802345245831</v>
      </c>
      <c r="K413" s="524">
        <f>IFERROR(-PMT(K411,K397,K401*K3/AL3),"n/a")</f>
        <v>-0.15858979542999124</v>
      </c>
      <c r="L413" s="524">
        <f>IFERROR(-PMT(L411,L397,L401*L3/AL3),"n/a")</f>
        <v>-0.17259298202303106</v>
      </c>
      <c r="M413" s="524">
        <f>IFERROR(-PMT(M411,M397,M401*M3/AM3),"n/a")</f>
        <v>-0.20073156760145075</v>
      </c>
      <c r="N413" s="524">
        <f>IFERROR(-PMT(N411,N397,N401*N3/AM3),"n/a")</f>
        <v>-9.7970717759378587E-2</v>
      </c>
      <c r="O413" s="525">
        <f>IFERROR(-PMT(O411,O397,O401*O3/AN3),"n/a")</f>
        <v>-0.1788177623856046</v>
      </c>
      <c r="P413" s="524">
        <f>IFERROR(-PMT(P411,P397,P401*P3/AN3),"n/a")</f>
        <v>-0.10612667459083114</v>
      </c>
      <c r="Q413" s="524">
        <f>IFERROR(-PMT(Q411,Q397,Q401*Q3/AO3),"n/a")</f>
        <v>-0.11036474113840994</v>
      </c>
      <c r="R413" s="524">
        <f>IFERROR(-PMT(R411,R397,R401*R3/AO3),"n/a")</f>
        <v>-0.10879963566376631</v>
      </c>
      <c r="S413" s="524"/>
      <c r="T413" s="524"/>
      <c r="U413" s="524"/>
      <c r="V413" s="524"/>
      <c r="W413" s="524"/>
      <c r="X413" s="524"/>
      <c r="Y413" s="524"/>
      <c r="Z413" s="526"/>
      <c r="AA413" s="526"/>
      <c r="AB413" s="526"/>
      <c r="AC413" s="526"/>
      <c r="AD413" s="526"/>
      <c r="AE413" s="526"/>
      <c r="AF413" s="526"/>
      <c r="AG413" s="526"/>
      <c r="AH413" s="526"/>
      <c r="AI413" s="526"/>
      <c r="AJ413" s="526"/>
      <c r="AK413" s="526">
        <f t="shared" ref="AK413:AR413" si="348">IFERROR(-PMT(AK411,AK397,AK401),"n/a")</f>
        <v>-0.57575271894191438</v>
      </c>
      <c r="AL413" s="526">
        <f t="shared" si="348"/>
        <v>-0.61923923207841181</v>
      </c>
      <c r="AM413" s="529">
        <f t="shared" si="348"/>
        <v>-0.58281062812147943</v>
      </c>
      <c r="AN413" s="526">
        <f t="shared" si="348"/>
        <v>-0.55933112730818801</v>
      </c>
      <c r="AO413" s="526">
        <f t="shared" si="348"/>
        <v>-0.45948752480712224</v>
      </c>
      <c r="AP413" s="526">
        <f t="shared" si="348"/>
        <v>-0.44714344272164769</v>
      </c>
      <c r="AQ413" s="526">
        <f t="shared" si="348"/>
        <v>-0.45564872798840828</v>
      </c>
      <c r="AR413" s="526">
        <f t="shared" si="348"/>
        <v>-0.46432411896050424</v>
      </c>
      <c r="AS413" s="261"/>
    </row>
    <row r="414" spans="1:45" s="262" customFormat="1" x14ac:dyDescent="0.35">
      <c r="A414" s="263" t="s">
        <v>913</v>
      </c>
      <c r="B414" s="315"/>
      <c r="C414" s="524"/>
      <c r="D414" s="524"/>
      <c r="E414" s="524"/>
      <c r="F414" s="524"/>
      <c r="G414" s="524"/>
      <c r="H414" s="524"/>
      <c r="I414" s="524"/>
      <c r="J414" s="524">
        <f t="shared" ref="J414:R414" si="349">IFERROR(J409-I409-J413,"n/a")</f>
        <v>1.2661080234524582</v>
      </c>
      <c r="K414" s="524">
        <f t="shared" si="349"/>
        <v>-0.16141020457000882</v>
      </c>
      <c r="L414" s="524">
        <f t="shared" si="349"/>
        <v>2.0592982023031364E-2</v>
      </c>
      <c r="M414" s="524">
        <f t="shared" si="349"/>
        <v>0.40073156760145046</v>
      </c>
      <c r="N414" s="524">
        <f t="shared" si="349"/>
        <v>5.5970717759378993E-2</v>
      </c>
      <c r="O414" s="525">
        <f t="shared" si="349"/>
        <v>-2.918223761439559E-2</v>
      </c>
      <c r="P414" s="524">
        <f t="shared" si="349"/>
        <v>9.9128957199526857E-2</v>
      </c>
      <c r="Q414" s="524">
        <f t="shared" si="349"/>
        <v>0.13609495306523361</v>
      </c>
      <c r="R414" s="524">
        <f t="shared" si="349"/>
        <v>0.10772283213650329</v>
      </c>
      <c r="S414" s="524"/>
      <c r="T414" s="524"/>
      <c r="U414" s="524"/>
      <c r="V414" s="524"/>
      <c r="W414" s="524"/>
      <c r="X414" s="524"/>
      <c r="Y414" s="524"/>
      <c r="Z414" s="526"/>
      <c r="AA414" s="526"/>
      <c r="AB414" s="526"/>
      <c r="AC414" s="526"/>
      <c r="AD414" s="526"/>
      <c r="AE414" s="526"/>
      <c r="AF414" s="526"/>
      <c r="AG414" s="526"/>
      <c r="AH414" s="526"/>
      <c r="AI414" s="526"/>
      <c r="AJ414" s="526"/>
      <c r="AK414" s="526"/>
      <c r="AL414" s="526">
        <f t="shared" ref="AL414:AR414" si="350">IFERROR(AL409-AK409-AL413,"n/a")</f>
        <v>0.83723923207841178</v>
      </c>
      <c r="AM414" s="529">
        <f t="shared" si="350"/>
        <v>0.78881062812147984</v>
      </c>
      <c r="AN414" s="526">
        <f t="shared" si="350"/>
        <v>9.4333409916883548E-2</v>
      </c>
      <c r="AO414" s="526">
        <f t="shared" si="350"/>
        <v>0.50287342774220245</v>
      </c>
      <c r="AP414" s="526">
        <f t="shared" si="350"/>
        <v>0.49115120643252325</v>
      </c>
      <c r="AQ414" s="526">
        <f t="shared" si="350"/>
        <v>0.50053664697350131</v>
      </c>
      <c r="AR414" s="526">
        <f t="shared" si="350"/>
        <v>0.51010979632529918</v>
      </c>
      <c r="AS414" s="261"/>
    </row>
    <row r="415" spans="1:45" s="262" customFormat="1" x14ac:dyDescent="0.35">
      <c r="A415" s="263" t="s">
        <v>914</v>
      </c>
      <c r="B415" s="315"/>
      <c r="C415" s="524"/>
      <c r="D415" s="524"/>
      <c r="E415" s="524"/>
      <c r="F415" s="524"/>
      <c r="G415" s="524"/>
      <c r="H415" s="524"/>
      <c r="I415" s="524"/>
      <c r="J415" s="524">
        <f>IFERROR(J414*J397*AK3/J3,"n/a")</f>
        <v>7.6803887503606676</v>
      </c>
      <c r="K415" s="524">
        <f>IFERROR(K414*K397*AL3/K3,"n/a")</f>
        <v>-1.2468436583924842</v>
      </c>
      <c r="L415" s="524">
        <f>IFERROR(L414*L397*AL3/L3,"n/a")</f>
        <v>0.13714165336710069</v>
      </c>
      <c r="M415" s="524">
        <f>IFERROR(M414*M397*AM3/M3,"n/a")</f>
        <v>2.3332811506611817</v>
      </c>
      <c r="N415" s="524">
        <f>IFERROR(N414*N397*AM3/N3,"n/a")</f>
        <v>0.94486649825755731</v>
      </c>
      <c r="O415" s="525">
        <f>IFERROR(O414*O397*AN3/O3,"n/a")</f>
        <v>-0.16980259507073245</v>
      </c>
      <c r="P415" s="524">
        <f>IFERROR(P414*P397*AN3/P3,"n/a")</f>
        <v>0.99950467894550565</v>
      </c>
      <c r="Q415" s="524">
        <f>IFERROR(Q414*Q397*AO3/Q3,"n/a")</f>
        <v>1.353553065811834</v>
      </c>
      <c r="R415" s="524">
        <f>IFERROR(R414*R397*AO3/R3,"n/a")</f>
        <v>1.0831471582956098</v>
      </c>
      <c r="S415" s="524"/>
      <c r="T415" s="524"/>
      <c r="U415" s="524"/>
      <c r="V415" s="524"/>
      <c r="W415" s="524"/>
      <c r="X415" s="524"/>
      <c r="Y415" s="524"/>
      <c r="Z415" s="526"/>
      <c r="AA415" s="526"/>
      <c r="AB415" s="526"/>
      <c r="AC415" s="526"/>
      <c r="AD415" s="526"/>
      <c r="AE415" s="526"/>
      <c r="AF415" s="526"/>
      <c r="AG415" s="526"/>
      <c r="AH415" s="526"/>
      <c r="AI415" s="526"/>
      <c r="AJ415" s="526"/>
      <c r="AK415" s="526"/>
      <c r="AL415" s="526">
        <f t="shared" ref="AL415:AR415" si="351">IFERROR(AL414*AL397,"n/a")</f>
        <v>3.2179879985055355</v>
      </c>
      <c r="AM415" s="529">
        <f t="shared" si="351"/>
        <v>3.4749236076970083</v>
      </c>
      <c r="AN415" s="526">
        <f t="shared" si="351"/>
        <v>0.35463674897698205</v>
      </c>
      <c r="AO415" s="526">
        <f t="shared" si="351"/>
        <v>2.3942370394887216</v>
      </c>
      <c r="AP415" s="526">
        <f t="shared" si="351"/>
        <v>2.4557560321626162</v>
      </c>
      <c r="AQ415" s="526">
        <f t="shared" si="351"/>
        <v>2.5026832348675065</v>
      </c>
      <c r="AR415" s="526">
        <f t="shared" si="351"/>
        <v>2.5505489816264952</v>
      </c>
      <c r="AS415" s="261"/>
    </row>
    <row r="416" spans="1:45" s="262" customFormat="1" x14ac:dyDescent="0.35">
      <c r="A416" s="305" t="s">
        <v>915</v>
      </c>
      <c r="B416" s="368"/>
      <c r="C416" s="645"/>
      <c r="D416" s="645"/>
      <c r="E416" s="645"/>
      <c r="F416" s="645"/>
      <c r="G416" s="645"/>
      <c r="H416" s="645"/>
      <c r="I416" s="645"/>
      <c r="J416" s="645">
        <f t="shared" ref="J416:R416" si="352">IFERROR(PV(J411,J397,-J415/J397),"n/a")</f>
        <v>6.9062768316253997</v>
      </c>
      <c r="K416" s="645">
        <f t="shared" si="352"/>
        <v>-1.1663808124330826</v>
      </c>
      <c r="L416" s="645">
        <f t="shared" si="352"/>
        <v>0.11680967073074519</v>
      </c>
      <c r="M416" s="645">
        <f t="shared" si="352"/>
        <v>2.4076047245687708</v>
      </c>
      <c r="N416" s="645">
        <f t="shared" si="352"/>
        <v>0.66442245441165459</v>
      </c>
      <c r="O416" s="672">
        <f t="shared" si="352"/>
        <v>-0.1604210856474744</v>
      </c>
      <c r="P416" s="645">
        <f t="shared" si="352"/>
        <v>0.92073918150558076</v>
      </c>
      <c r="Q416" s="645">
        <f t="shared" si="352"/>
        <v>1.2468869512995124</v>
      </c>
      <c r="R416" s="645">
        <f t="shared" si="352"/>
        <v>0.99779025450022041</v>
      </c>
      <c r="S416" s="645"/>
      <c r="T416" s="645"/>
      <c r="U416" s="645"/>
      <c r="V416" s="645"/>
      <c r="W416" s="645"/>
      <c r="X416" s="645"/>
      <c r="Y416" s="645"/>
      <c r="Z416" s="646"/>
      <c r="AA416" s="646"/>
      <c r="AB416" s="646"/>
      <c r="AC416" s="646"/>
      <c r="AD416" s="646"/>
      <c r="AE416" s="646"/>
      <c r="AF416" s="646"/>
      <c r="AG416" s="646"/>
      <c r="AH416" s="646"/>
      <c r="AI416" s="646"/>
      <c r="AJ416" s="646"/>
      <c r="AK416" s="646"/>
      <c r="AL416" s="646">
        <f t="shared" ref="AL416:AR416" si="353">IFERROR(PV(AL411,AL397,-AL415/AL397),"n/a")</f>
        <v>2.8730953660593288</v>
      </c>
      <c r="AM416" s="673">
        <f t="shared" si="353"/>
        <v>3.2063457456892541</v>
      </c>
      <c r="AN416" s="646">
        <f t="shared" si="353"/>
        <v>0.33203513358291392</v>
      </c>
      <c r="AO416" s="646">
        <f t="shared" si="353"/>
        <v>2.2095444444223449</v>
      </c>
      <c r="AP416" s="646">
        <f t="shared" si="353"/>
        <v>2.258980361933109</v>
      </c>
      <c r="AQ416" s="646">
        <f t="shared" si="353"/>
        <v>2.3021473654800566</v>
      </c>
      <c r="AR416" s="646">
        <f t="shared" si="353"/>
        <v>2.3461777090979417</v>
      </c>
      <c r="AS416" s="261"/>
    </row>
    <row r="417" spans="1:45" s="262" customFormat="1" x14ac:dyDescent="0.35">
      <c r="A417" s="263"/>
      <c r="B417" s="315"/>
      <c r="C417" s="524"/>
      <c r="D417" s="524"/>
      <c r="E417" s="524"/>
      <c r="F417" s="524"/>
      <c r="G417" s="524"/>
      <c r="H417" s="524"/>
      <c r="I417" s="524"/>
      <c r="J417" s="524"/>
      <c r="K417" s="524"/>
      <c r="L417" s="524"/>
      <c r="M417" s="524"/>
      <c r="N417" s="524"/>
      <c r="O417" s="525"/>
      <c r="P417" s="524"/>
      <c r="Q417" s="524"/>
      <c r="R417" s="524"/>
      <c r="S417" s="524"/>
      <c r="T417" s="524"/>
      <c r="U417" s="524"/>
      <c r="V417" s="524"/>
      <c r="W417" s="524"/>
      <c r="X417" s="524"/>
      <c r="Y417" s="524"/>
      <c r="Z417" s="526"/>
      <c r="AA417" s="526"/>
      <c r="AB417" s="526"/>
      <c r="AC417" s="526"/>
      <c r="AD417" s="526"/>
      <c r="AE417" s="526"/>
      <c r="AF417" s="526"/>
      <c r="AG417" s="526"/>
      <c r="AH417" s="526"/>
      <c r="AI417" s="526"/>
      <c r="AJ417" s="526"/>
      <c r="AK417" s="526"/>
      <c r="AL417" s="526"/>
      <c r="AM417" s="529"/>
      <c r="AN417" s="526"/>
      <c r="AO417" s="526"/>
      <c r="AP417" s="526"/>
      <c r="AQ417" s="526"/>
      <c r="AR417" s="526"/>
      <c r="AS417" s="261"/>
    </row>
    <row r="418" spans="1:45" s="262" customFormat="1" x14ac:dyDescent="0.35">
      <c r="A418" s="305" t="s">
        <v>916</v>
      </c>
      <c r="B418" s="368"/>
      <c r="C418" s="645"/>
      <c r="D418" s="645"/>
      <c r="E418" s="645"/>
      <c r="F418" s="645"/>
      <c r="G418" s="645"/>
      <c r="H418" s="645"/>
      <c r="I418" s="645">
        <f>I409/(I3/AK3*12)</f>
        <v>9.8461956521739127E-2</v>
      </c>
      <c r="J418" s="645">
        <f>J409/(J3/AK3*12)</f>
        <v>0.26880219780219777</v>
      </c>
      <c r="K418" s="645">
        <f>K409/(K3/AL3*12)</f>
        <v>0.21225543478260867</v>
      </c>
      <c r="L418" s="645">
        <f>L409/(L3/AL3*12)</f>
        <v>0.19023020257826889</v>
      </c>
      <c r="M418" s="645">
        <f>M409/(M3/AM3*12)</f>
        <v>0.22019021739130432</v>
      </c>
      <c r="N418" s="645">
        <f>N409/(N3/AM3*12)</f>
        <v>0.21678176795580115</v>
      </c>
      <c r="O418" s="672">
        <f>O409/(O3/AN3*12)</f>
        <v>0.17886322463768117</v>
      </c>
      <c r="P418" s="645">
        <f>O418*(1+P419)</f>
        <v>0.18065185688405799</v>
      </c>
      <c r="Q418" s="645">
        <f>P418*(1+Q419)</f>
        <v>0.18245837545289859</v>
      </c>
      <c r="R418" s="645">
        <f>Q418*(1+R419)</f>
        <v>0.18428295920742757</v>
      </c>
      <c r="S418" s="645"/>
      <c r="T418" s="645"/>
      <c r="U418" s="645"/>
      <c r="V418" s="645"/>
      <c r="W418" s="645"/>
      <c r="X418" s="645"/>
      <c r="Y418" s="645"/>
      <c r="Z418" s="646"/>
      <c r="AA418" s="646"/>
      <c r="AB418" s="646"/>
      <c r="AC418" s="646"/>
      <c r="AD418" s="646"/>
      <c r="AE418" s="646"/>
      <c r="AF418" s="646"/>
      <c r="AG418" s="646"/>
      <c r="AH418" s="646"/>
      <c r="AI418" s="646"/>
      <c r="AJ418" s="646"/>
      <c r="AK418" s="646">
        <f>AK409/12</f>
        <v>0.18316666666666667</v>
      </c>
      <c r="AL418" s="646">
        <f>AL409/12</f>
        <v>0.20133333333333334</v>
      </c>
      <c r="AM418" s="673">
        <f>AM409/12</f>
        <v>0.21850000000000003</v>
      </c>
      <c r="AN418" s="646">
        <f>AN409/12</f>
        <v>0.17975019021739133</v>
      </c>
      <c r="AO418" s="646">
        <f>AO409/12</f>
        <v>0.18336568212864801</v>
      </c>
      <c r="AP418" s="646">
        <f>AO418*(1+AP420)</f>
        <v>0.18703299577122098</v>
      </c>
      <c r="AQ418" s="646">
        <f>AP418*(1+AQ420)</f>
        <v>0.19077365568664539</v>
      </c>
      <c r="AR418" s="646">
        <f>AQ418*(1+AR420)</f>
        <v>0.19458912880037829</v>
      </c>
      <c r="AS418" s="261"/>
    </row>
    <row r="419" spans="1:45" s="262" customFormat="1" x14ac:dyDescent="0.35">
      <c r="A419" s="678" t="s">
        <v>917</v>
      </c>
      <c r="B419" s="424"/>
      <c r="C419" s="382"/>
      <c r="D419" s="382"/>
      <c r="E419" s="382"/>
      <c r="F419" s="382"/>
      <c r="G419" s="382"/>
      <c r="H419" s="382"/>
      <c r="I419" s="382"/>
      <c r="J419" s="382">
        <f t="shared" ref="J419:O419" si="354">IFERROR(J418/I418-1,"n/a")</f>
        <v>1.7300107300107297</v>
      </c>
      <c r="K419" s="382">
        <f t="shared" si="354"/>
        <v>-0.21036570192480308</v>
      </c>
      <c r="L419" s="382">
        <f t="shared" si="354"/>
        <v>-0.10376757715013496</v>
      </c>
      <c r="M419" s="382">
        <f t="shared" si="354"/>
        <v>0.15749347057919771</v>
      </c>
      <c r="N419" s="382">
        <f t="shared" si="354"/>
        <v>-1.5479567965755447E-2</v>
      </c>
      <c r="O419" s="389">
        <f t="shared" si="354"/>
        <v>-0.17491573980451647</v>
      </c>
      <c r="P419" s="661">
        <v>0.01</v>
      </c>
      <c r="Q419" s="661">
        <v>0.01</v>
      </c>
      <c r="R419" s="661">
        <v>0.01</v>
      </c>
      <c r="S419" s="661"/>
      <c r="T419" s="661"/>
      <c r="U419" s="661"/>
      <c r="V419" s="661"/>
      <c r="W419" s="661"/>
      <c r="X419" s="661"/>
      <c r="Y419" s="662"/>
      <c r="Z419" s="384"/>
      <c r="AA419" s="384"/>
      <c r="AB419" s="384"/>
      <c r="AC419" s="384"/>
      <c r="AD419" s="384"/>
      <c r="AE419" s="384"/>
      <c r="AF419" s="384"/>
      <c r="AG419" s="384"/>
      <c r="AH419" s="384"/>
      <c r="AI419" s="384"/>
      <c r="AJ419" s="384"/>
      <c r="AK419" s="384"/>
      <c r="AL419" s="384"/>
      <c r="AM419" s="390"/>
      <c r="AN419" s="384"/>
      <c r="AO419" s="384"/>
      <c r="AP419" s="384"/>
      <c r="AQ419" s="384"/>
      <c r="AR419" s="384"/>
      <c r="AS419" s="261"/>
    </row>
    <row r="420" spans="1:45" s="262" customFormat="1" x14ac:dyDescent="0.35">
      <c r="A420" s="678" t="s">
        <v>918</v>
      </c>
      <c r="B420" s="424"/>
      <c r="C420" s="382"/>
      <c r="D420" s="382"/>
      <c r="E420" s="382"/>
      <c r="F420" s="382"/>
      <c r="G420" s="382"/>
      <c r="H420" s="382"/>
      <c r="I420" s="382"/>
      <c r="J420" s="382"/>
      <c r="K420" s="382">
        <f t="shared" ref="K420:R420" si="355">IFERROR(K418/I418-1,"n/a")</f>
        <v>1.1557101065297783</v>
      </c>
      <c r="L420" s="382">
        <f t="shared" si="355"/>
        <v>-0.2923041398707138</v>
      </c>
      <c r="M420" s="382">
        <f t="shared" si="355"/>
        <v>3.7383177570093462E-2</v>
      </c>
      <c r="N420" s="382">
        <f t="shared" si="355"/>
        <v>0.13957597173144887</v>
      </c>
      <c r="O420" s="389">
        <f t="shared" si="355"/>
        <v>-0.18768768768768751</v>
      </c>
      <c r="P420" s="382">
        <f t="shared" si="355"/>
        <v>-0.16666489720256161</v>
      </c>
      <c r="Q420" s="382">
        <f t="shared" si="355"/>
        <v>2.0100000000000229E-2</v>
      </c>
      <c r="R420" s="382">
        <f t="shared" si="355"/>
        <v>2.0100000000000007E-2</v>
      </c>
      <c r="S420" s="382"/>
      <c r="T420" s="382"/>
      <c r="U420" s="382"/>
      <c r="V420" s="382"/>
      <c r="W420" s="382"/>
      <c r="X420" s="382"/>
      <c r="Y420" s="382"/>
      <c r="Z420" s="384"/>
      <c r="AA420" s="384"/>
      <c r="AB420" s="384"/>
      <c r="AC420" s="384"/>
      <c r="AD420" s="384"/>
      <c r="AE420" s="384"/>
      <c r="AF420" s="384"/>
      <c r="AG420" s="384"/>
      <c r="AH420" s="384"/>
      <c r="AI420" s="384"/>
      <c r="AJ420" s="384"/>
      <c r="AK420" s="384"/>
      <c r="AL420" s="384">
        <f>IFERROR(AL418/AK418-1,"n/a")</f>
        <v>9.9181073703366707E-2</v>
      </c>
      <c r="AM420" s="390">
        <f>IFERROR(AM418/AL418-1,"n/a")</f>
        <v>8.5264900662251675E-2</v>
      </c>
      <c r="AN420" s="384">
        <f>IFERROR(AN418/AM418-1,"n/a")</f>
        <v>-0.1773446671972938</v>
      </c>
      <c r="AO420" s="384">
        <f>IFERROR(AO418/AN418-1,"n/a")</f>
        <v>2.0113981002657599E-2</v>
      </c>
      <c r="AP420" s="664">
        <v>0.02</v>
      </c>
      <c r="AQ420" s="664">
        <v>0.02</v>
      </c>
      <c r="AR420" s="664">
        <v>0.02</v>
      </c>
      <c r="AS420" s="261"/>
    </row>
    <row r="421" spans="1:45" s="262" customFormat="1" x14ac:dyDescent="0.35">
      <c r="A421" s="263"/>
      <c r="B421" s="315"/>
      <c r="C421" s="524"/>
      <c r="D421" s="524"/>
      <c r="E421" s="524"/>
      <c r="F421" s="524"/>
      <c r="G421" s="524"/>
      <c r="H421" s="524"/>
      <c r="I421" s="524"/>
      <c r="J421" s="524"/>
      <c r="K421" s="524"/>
      <c r="L421" s="524"/>
      <c r="M421" s="524"/>
      <c r="N421" s="524"/>
      <c r="O421" s="525"/>
      <c r="P421" s="524"/>
      <c r="Q421" s="524"/>
      <c r="R421" s="524"/>
      <c r="S421" s="524"/>
      <c r="T421" s="524"/>
      <c r="U421" s="524"/>
      <c r="V421" s="524"/>
      <c r="W421" s="524"/>
      <c r="X421" s="524"/>
      <c r="Y421" s="524"/>
      <c r="Z421" s="526"/>
      <c r="AA421" s="526"/>
      <c r="AB421" s="526"/>
      <c r="AC421" s="526"/>
      <c r="AD421" s="526"/>
      <c r="AE421" s="526"/>
      <c r="AF421" s="526"/>
      <c r="AG421" s="526"/>
      <c r="AH421" s="526"/>
      <c r="AI421" s="526"/>
      <c r="AJ421" s="526"/>
      <c r="AK421" s="526"/>
      <c r="AL421" s="526"/>
      <c r="AM421" s="529"/>
      <c r="AN421" s="526"/>
      <c r="AO421" s="526"/>
      <c r="AP421" s="526"/>
      <c r="AQ421" s="526"/>
      <c r="AR421" s="526"/>
      <c r="AS421" s="261"/>
    </row>
    <row r="422" spans="1:45" s="167" customFormat="1" x14ac:dyDescent="0.35">
      <c r="A422" s="242" t="s">
        <v>919</v>
      </c>
      <c r="B422" s="243"/>
      <c r="C422" s="243"/>
      <c r="D422" s="243"/>
      <c r="E422" s="243"/>
      <c r="F422" s="243"/>
      <c r="G422" s="243"/>
      <c r="H422" s="243"/>
      <c r="I422" s="243"/>
      <c r="J422" s="243"/>
      <c r="K422" s="243"/>
      <c r="L422" s="243"/>
      <c r="M422" s="243"/>
      <c r="N422" s="243"/>
      <c r="O422" s="245"/>
      <c r="P422" s="243"/>
      <c r="Q422" s="243"/>
      <c r="R422" s="243"/>
      <c r="S422" s="243"/>
      <c r="T422" s="243"/>
      <c r="U422" s="243"/>
      <c r="V422" s="243"/>
      <c r="W422" s="243"/>
      <c r="X422" s="243"/>
      <c r="Y422" s="243"/>
      <c r="Z422" s="243"/>
      <c r="AA422" s="243"/>
      <c r="AB422" s="243"/>
      <c r="AC422" s="243"/>
      <c r="AD422" s="243"/>
      <c r="AE422" s="243"/>
      <c r="AF422" s="243"/>
      <c r="AG422" s="243"/>
      <c r="AH422" s="243"/>
      <c r="AI422" s="243"/>
      <c r="AJ422" s="243"/>
      <c r="AK422" s="243"/>
      <c r="AL422" s="243"/>
      <c r="AM422" s="245"/>
      <c r="AN422" s="243"/>
      <c r="AO422" s="243"/>
      <c r="AP422" s="243"/>
      <c r="AQ422" s="243"/>
      <c r="AR422" s="243"/>
      <c r="AS422" s="166"/>
    </row>
    <row r="423" spans="1:45" s="167" customFormat="1" x14ac:dyDescent="0.35">
      <c r="A423" s="393" t="s">
        <v>315</v>
      </c>
      <c r="B423" s="315"/>
      <c r="C423" s="164"/>
      <c r="D423" s="164"/>
      <c r="E423" s="164"/>
      <c r="F423" s="164"/>
      <c r="G423" s="164"/>
      <c r="H423" s="164"/>
      <c r="I423" s="164"/>
      <c r="J423" s="164"/>
      <c r="K423" s="164"/>
      <c r="L423" s="164"/>
      <c r="M423" s="164"/>
      <c r="N423" s="164"/>
      <c r="O423" s="165"/>
      <c r="P423" s="164"/>
      <c r="Q423" s="164"/>
      <c r="R423" s="164"/>
      <c r="S423" s="164"/>
      <c r="T423" s="164"/>
      <c r="U423" s="164"/>
      <c r="V423" s="164"/>
      <c r="W423" s="164"/>
      <c r="X423" s="164"/>
      <c r="Y423" s="164"/>
      <c r="Z423" s="250"/>
      <c r="AA423" s="250"/>
      <c r="AB423" s="250"/>
      <c r="AC423" s="250"/>
      <c r="AD423" s="250"/>
      <c r="AE423" s="250"/>
      <c r="AF423" s="250"/>
      <c r="AG423" s="250"/>
      <c r="AH423" s="250"/>
      <c r="AI423" s="250"/>
      <c r="AJ423" s="250"/>
      <c r="AK423" s="250"/>
      <c r="AL423" s="250"/>
      <c r="AM423" s="264"/>
      <c r="AN423" s="250"/>
      <c r="AO423" s="250"/>
      <c r="AP423" s="250"/>
      <c r="AQ423" s="250"/>
      <c r="AR423" s="250"/>
      <c r="AS423" s="166"/>
    </row>
    <row r="424" spans="1:45" s="167" customFormat="1" x14ac:dyDescent="0.35">
      <c r="A424" s="303" t="s">
        <v>300</v>
      </c>
      <c r="B424" s="315"/>
      <c r="C424" s="248">
        <v>5.6219999999999999</v>
      </c>
      <c r="D424" s="166">
        <f>AH424</f>
        <v>6.9749999999999996</v>
      </c>
      <c r="E424" s="248">
        <v>12.704000000000001</v>
      </c>
      <c r="F424" s="166">
        <f>AI424</f>
        <v>8.6310000000000002</v>
      </c>
      <c r="G424" s="248">
        <v>35.000999999999998</v>
      </c>
      <c r="H424" s="166">
        <f>AJ424</f>
        <v>11.084</v>
      </c>
      <c r="I424" s="248">
        <v>16.381</v>
      </c>
      <c r="J424" s="166">
        <f>AK424</f>
        <v>11.744</v>
      </c>
      <c r="K424" s="248">
        <v>13.583</v>
      </c>
      <c r="L424" s="166">
        <f>AL424</f>
        <v>38.411000000000001</v>
      </c>
      <c r="M424" s="248">
        <v>44.366999999999997</v>
      </c>
      <c r="N424" s="166">
        <f>AM424</f>
        <v>5.1040000000000001</v>
      </c>
      <c r="O424" s="249">
        <v>7.157</v>
      </c>
      <c r="P424" s="164">
        <f>SUM(P171,O171)*P361</f>
        <v>4.8021503701298576</v>
      </c>
      <c r="Q424" s="164">
        <f>SUM(Q171,P171)*Q361</f>
        <v>7.3873119660948658</v>
      </c>
      <c r="R424" s="164">
        <f>SUM(R171,Q171)*R361</f>
        <v>5.1861385205863755</v>
      </c>
      <c r="S424" s="164"/>
      <c r="T424" s="164"/>
      <c r="U424" s="164"/>
      <c r="V424" s="164"/>
      <c r="W424" s="164"/>
      <c r="X424" s="164"/>
      <c r="Y424" s="164"/>
      <c r="Z424" s="250"/>
      <c r="AA424" s="250"/>
      <c r="AB424" s="250"/>
      <c r="AC424" s="250"/>
      <c r="AD424" s="251">
        <v>4.2789999999999999</v>
      </c>
      <c r="AE424" s="251">
        <v>4.4809999999999999</v>
      </c>
      <c r="AF424" s="251">
        <v>2.6520000000000001</v>
      </c>
      <c r="AG424" s="251">
        <v>4.6109999999999998</v>
      </c>
      <c r="AH424" s="251">
        <v>6.9749999999999996</v>
      </c>
      <c r="AI424" s="251">
        <v>8.6310000000000002</v>
      </c>
      <c r="AJ424" s="251">
        <v>11.084</v>
      </c>
      <c r="AK424" s="251">
        <v>11.744</v>
      </c>
      <c r="AL424" s="251">
        <v>38.411000000000001</v>
      </c>
      <c r="AM424" s="252">
        <v>5.1040000000000001</v>
      </c>
      <c r="AN424" s="304">
        <f>P424</f>
        <v>4.8021503701298576</v>
      </c>
      <c r="AO424" s="250">
        <f>R424</f>
        <v>5.1861385205863755</v>
      </c>
      <c r="AP424" s="250">
        <f>AP171*AP361</f>
        <v>5.9640592986743313</v>
      </c>
      <c r="AQ424" s="250">
        <f>AQ171*AQ361</f>
        <v>6.5604652285417648</v>
      </c>
      <c r="AR424" s="250">
        <f>AR171*AR361</f>
        <v>7.2165117513959434</v>
      </c>
      <c r="AS424" s="166"/>
    </row>
    <row r="425" spans="1:45" s="167" customFormat="1" x14ac:dyDescent="0.35">
      <c r="A425" s="303" t="s">
        <v>301</v>
      </c>
      <c r="B425" s="315"/>
      <c r="C425" s="248">
        <v>151.673</v>
      </c>
      <c r="D425" s="166">
        <f>AH425</f>
        <v>173.506</v>
      </c>
      <c r="E425" s="248">
        <v>189.62299999999999</v>
      </c>
      <c r="F425" s="166">
        <f>AI425</f>
        <v>205.95699999999999</v>
      </c>
      <c r="G425" s="248">
        <v>240.80500000000001</v>
      </c>
      <c r="H425" s="166">
        <f>AJ425</f>
        <v>285.30700000000002</v>
      </c>
      <c r="I425" s="248">
        <v>284.166</v>
      </c>
      <c r="J425" s="166">
        <f>AK425</f>
        <v>314.12299999999999</v>
      </c>
      <c r="K425" s="248">
        <v>284.14299999999997</v>
      </c>
      <c r="L425" s="166">
        <f>AL425</f>
        <v>329.666</v>
      </c>
      <c r="M425" s="248">
        <v>405.18900000000002</v>
      </c>
      <c r="N425" s="166">
        <f>AM425</f>
        <v>541.42399999999998</v>
      </c>
      <c r="O425" s="249">
        <v>545.50099999999998</v>
      </c>
      <c r="P425" s="164">
        <f>SUM(P171,O171)*P360</f>
        <v>509.40428330665907</v>
      </c>
      <c r="Q425" s="164">
        <f>SUM(Q171,P171)*Q360</f>
        <v>563.05519977877816</v>
      </c>
      <c r="R425" s="164">
        <f>SUM(R171,Q171)*R360</f>
        <v>550.13712037028938</v>
      </c>
      <c r="S425" s="164"/>
      <c r="T425" s="164"/>
      <c r="U425" s="164"/>
      <c r="V425" s="164"/>
      <c r="W425" s="164"/>
      <c r="X425" s="164"/>
      <c r="Y425" s="164"/>
      <c r="Z425" s="250"/>
      <c r="AA425" s="250"/>
      <c r="AB425" s="250"/>
      <c r="AC425" s="250"/>
      <c r="AD425" s="251">
        <v>86.662000000000006</v>
      </c>
      <c r="AE425" s="251">
        <v>100.19499999999999</v>
      </c>
      <c r="AF425" s="251">
        <v>121.952</v>
      </c>
      <c r="AG425" s="251">
        <v>132.78700000000001</v>
      </c>
      <c r="AH425" s="251">
        <v>173.506</v>
      </c>
      <c r="AI425" s="251">
        <v>205.95699999999999</v>
      </c>
      <c r="AJ425" s="251">
        <v>285.30700000000002</v>
      </c>
      <c r="AK425" s="251">
        <v>314.12299999999999</v>
      </c>
      <c r="AL425" s="251">
        <v>329.666</v>
      </c>
      <c r="AM425" s="252">
        <v>541.42399999999998</v>
      </c>
      <c r="AN425" s="304">
        <f>P425</f>
        <v>509.40428330665907</v>
      </c>
      <c r="AO425" s="250">
        <f>R425</f>
        <v>550.13712037028938</v>
      </c>
      <c r="AP425" s="250">
        <f>AP171*AP360</f>
        <v>632.65768842583282</v>
      </c>
      <c r="AQ425" s="250">
        <f>AQ171*AQ360</f>
        <v>695.9234572684162</v>
      </c>
      <c r="AR425" s="250">
        <f>AR171*AR360</f>
        <v>765.51580299525801</v>
      </c>
      <c r="AS425" s="166"/>
    </row>
    <row r="426" spans="1:45" s="167" customFormat="1" x14ac:dyDescent="0.35">
      <c r="A426" s="303" t="s">
        <v>303</v>
      </c>
      <c r="B426" s="315"/>
      <c r="C426" s="248">
        <v>46.62</v>
      </c>
      <c r="D426" s="166">
        <f>AH426</f>
        <v>61.643000000000001</v>
      </c>
      <c r="E426" s="248">
        <v>43.317999999999998</v>
      </c>
      <c r="F426" s="166">
        <f>AI426</f>
        <v>72.831000000000003</v>
      </c>
      <c r="G426" s="248">
        <v>52.774000000000001</v>
      </c>
      <c r="H426" s="166">
        <f>AJ426</f>
        <v>79.263000000000005</v>
      </c>
      <c r="I426" s="248">
        <v>49.433</v>
      </c>
      <c r="J426" s="166">
        <f>AK426</f>
        <v>80.138999999999996</v>
      </c>
      <c r="K426" s="248">
        <v>71.245000000000005</v>
      </c>
      <c r="L426" s="166">
        <f>AL426</f>
        <v>101.724</v>
      </c>
      <c r="M426" s="248">
        <v>74.283000000000001</v>
      </c>
      <c r="N426" s="166">
        <f>AM426</f>
        <v>97.316000000000003</v>
      </c>
      <c r="O426" s="249">
        <v>97.721999999999994</v>
      </c>
      <c r="P426" s="164" t="e">
        <f>P355</f>
        <v>#REF!</v>
      </c>
      <c r="Q426" s="164" t="e">
        <f>Q355</f>
        <v>#REF!</v>
      </c>
      <c r="R426" s="164" t="e">
        <f>R355</f>
        <v>#REF!</v>
      </c>
      <c r="S426" s="164"/>
      <c r="T426" s="164"/>
      <c r="U426" s="164"/>
      <c r="V426" s="164"/>
      <c r="W426" s="164"/>
      <c r="X426" s="164"/>
      <c r="Y426" s="164"/>
      <c r="Z426" s="250"/>
      <c r="AA426" s="250"/>
      <c r="AB426" s="250"/>
      <c r="AC426" s="250"/>
      <c r="AD426" s="251">
        <v>8.6760000000000002</v>
      </c>
      <c r="AE426" s="251">
        <v>37.72</v>
      </c>
      <c r="AF426" s="251">
        <v>74.641999999999996</v>
      </c>
      <c r="AG426" s="251">
        <v>62.360999999999997</v>
      </c>
      <c r="AH426" s="251">
        <v>61.643000000000001</v>
      </c>
      <c r="AI426" s="251">
        <v>72.831000000000003</v>
      </c>
      <c r="AJ426" s="251">
        <v>79.263000000000005</v>
      </c>
      <c r="AK426" s="251">
        <v>80.138999999999996</v>
      </c>
      <c r="AL426" s="251">
        <v>101.724</v>
      </c>
      <c r="AM426" s="252">
        <v>97.316000000000003</v>
      </c>
      <c r="AN426" s="304" t="e">
        <f>P426</f>
        <v>#REF!</v>
      </c>
      <c r="AO426" s="250" t="e">
        <f>R426</f>
        <v>#REF!</v>
      </c>
      <c r="AP426" s="250" t="e">
        <f>AP355</f>
        <v>#REF!</v>
      </c>
      <c r="AQ426" s="250" t="e">
        <f>AQ355</f>
        <v>#REF!</v>
      </c>
      <c r="AR426" s="250" t="e">
        <f>AR355</f>
        <v>#REF!</v>
      </c>
      <c r="AS426" s="166"/>
    </row>
    <row r="427" spans="1:45" s="167" customFormat="1" x14ac:dyDescent="0.35">
      <c r="A427" s="303" t="s">
        <v>920</v>
      </c>
      <c r="B427" s="315"/>
      <c r="C427" s="164"/>
      <c r="D427" s="166">
        <f>AH427</f>
        <v>0</v>
      </c>
      <c r="E427" s="164"/>
      <c r="F427" s="166">
        <f>AI427</f>
        <v>0</v>
      </c>
      <c r="G427" s="164"/>
      <c r="H427" s="166">
        <f>AJ427</f>
        <v>0</v>
      </c>
      <c r="I427" s="248">
        <v>2.1859999999999999</v>
      </c>
      <c r="J427" s="166">
        <f>AK427</f>
        <v>0.63600000000000001</v>
      </c>
      <c r="K427" s="248">
        <v>0.14799999999999999</v>
      </c>
      <c r="L427" s="166">
        <f>AL427</f>
        <v>0.432</v>
      </c>
      <c r="M427" s="248">
        <v>0.45900000000000002</v>
      </c>
      <c r="N427" s="166">
        <f>AM427</f>
        <v>0.29599999999999999</v>
      </c>
      <c r="O427" s="249">
        <v>1.415</v>
      </c>
      <c r="P427" s="164">
        <f>O427</f>
        <v>1.415</v>
      </c>
      <c r="Q427" s="164">
        <f>AN427</f>
        <v>1.415</v>
      </c>
      <c r="R427" s="164">
        <f>Q427</f>
        <v>1.415</v>
      </c>
      <c r="S427" s="164"/>
      <c r="T427" s="164"/>
      <c r="U427" s="164"/>
      <c r="V427" s="164"/>
      <c r="W427" s="164"/>
      <c r="X427" s="164"/>
      <c r="Y427" s="164"/>
      <c r="Z427" s="250"/>
      <c r="AA427" s="250"/>
      <c r="AB427" s="250"/>
      <c r="AC427" s="250"/>
      <c r="AD427" s="251">
        <v>0.159</v>
      </c>
      <c r="AE427" s="251">
        <v>0</v>
      </c>
      <c r="AF427" s="250"/>
      <c r="AG427" s="250"/>
      <c r="AH427" s="250"/>
      <c r="AI427" s="250"/>
      <c r="AJ427" s="250"/>
      <c r="AK427" s="251">
        <v>0.63600000000000001</v>
      </c>
      <c r="AL427" s="251">
        <v>0.432</v>
      </c>
      <c r="AM427" s="252">
        <v>0.29599999999999999</v>
      </c>
      <c r="AN427" s="304">
        <f>P427</f>
        <v>1.415</v>
      </c>
      <c r="AO427" s="250">
        <f>R427</f>
        <v>1.415</v>
      </c>
      <c r="AP427" s="250">
        <f>AO427</f>
        <v>1.415</v>
      </c>
      <c r="AQ427" s="250">
        <f>AP427</f>
        <v>1.415</v>
      </c>
      <c r="AR427" s="250">
        <f>AQ427</f>
        <v>1.415</v>
      </c>
      <c r="AS427" s="166"/>
    </row>
    <row r="428" spans="1:45" s="262" customFormat="1" x14ac:dyDescent="0.35">
      <c r="A428" s="253" t="s">
        <v>318</v>
      </c>
      <c r="B428" s="355"/>
      <c r="C428" s="256">
        <f t="shared" ref="C428:R428" si="356">SUM(C424:C427)</f>
        <v>203.91500000000002</v>
      </c>
      <c r="D428" s="256">
        <f t="shared" si="356"/>
        <v>242.124</v>
      </c>
      <c r="E428" s="256">
        <f t="shared" si="356"/>
        <v>245.64499999999998</v>
      </c>
      <c r="F428" s="256">
        <f t="shared" si="356"/>
        <v>287.41899999999998</v>
      </c>
      <c r="G428" s="256">
        <f t="shared" si="356"/>
        <v>328.58</v>
      </c>
      <c r="H428" s="256">
        <f t="shared" si="356"/>
        <v>375.654</v>
      </c>
      <c r="I428" s="256">
        <f t="shared" si="356"/>
        <v>352.166</v>
      </c>
      <c r="J428" s="256">
        <f t="shared" si="356"/>
        <v>406.642</v>
      </c>
      <c r="K428" s="256">
        <f t="shared" si="356"/>
        <v>369.11900000000003</v>
      </c>
      <c r="L428" s="256">
        <f t="shared" si="356"/>
        <v>470.233</v>
      </c>
      <c r="M428" s="256">
        <f t="shared" si="356"/>
        <v>524.298</v>
      </c>
      <c r="N428" s="256">
        <f t="shared" si="356"/>
        <v>644.1400000000001</v>
      </c>
      <c r="O428" s="257">
        <f t="shared" si="356"/>
        <v>651.79499999999996</v>
      </c>
      <c r="P428" s="255" t="e">
        <f t="shared" si="356"/>
        <v>#REF!</v>
      </c>
      <c r="Q428" s="255" t="e">
        <f t="shared" si="356"/>
        <v>#REF!</v>
      </c>
      <c r="R428" s="255" t="e">
        <f t="shared" si="356"/>
        <v>#REF!</v>
      </c>
      <c r="S428" s="255"/>
      <c r="T428" s="255"/>
      <c r="U428" s="255"/>
      <c r="V428" s="255"/>
      <c r="W428" s="255"/>
      <c r="X428" s="255"/>
      <c r="Y428" s="255"/>
      <c r="Z428" s="258"/>
      <c r="AA428" s="258"/>
      <c r="AB428" s="258"/>
      <c r="AC428" s="258"/>
      <c r="AD428" s="258">
        <f t="shared" ref="AD428:AR428" si="357">SUM(AD424:AD427)</f>
        <v>99.77600000000001</v>
      </c>
      <c r="AE428" s="258">
        <f t="shared" si="357"/>
        <v>142.39599999999999</v>
      </c>
      <c r="AF428" s="259">
        <f t="shared" si="357"/>
        <v>199.24599999999998</v>
      </c>
      <c r="AG428" s="259">
        <f t="shared" si="357"/>
        <v>199.75899999999999</v>
      </c>
      <c r="AH428" s="259">
        <f t="shared" si="357"/>
        <v>242.124</v>
      </c>
      <c r="AI428" s="259">
        <f t="shared" si="357"/>
        <v>287.41899999999998</v>
      </c>
      <c r="AJ428" s="259">
        <f t="shared" si="357"/>
        <v>375.654</v>
      </c>
      <c r="AK428" s="259">
        <f t="shared" si="357"/>
        <v>406.642</v>
      </c>
      <c r="AL428" s="259">
        <f t="shared" si="357"/>
        <v>470.233</v>
      </c>
      <c r="AM428" s="260">
        <f t="shared" si="357"/>
        <v>644.1400000000001</v>
      </c>
      <c r="AN428" s="259" t="e">
        <f t="shared" si="357"/>
        <v>#REF!</v>
      </c>
      <c r="AO428" s="258" t="e">
        <f t="shared" si="357"/>
        <v>#REF!</v>
      </c>
      <c r="AP428" s="258" t="e">
        <f t="shared" si="357"/>
        <v>#REF!</v>
      </c>
      <c r="AQ428" s="258" t="e">
        <f t="shared" si="357"/>
        <v>#REF!</v>
      </c>
      <c r="AR428" s="258" t="e">
        <f t="shared" si="357"/>
        <v>#REF!</v>
      </c>
      <c r="AS428" s="261"/>
    </row>
    <row r="429" spans="1:45" s="262" customFormat="1" x14ac:dyDescent="0.35">
      <c r="A429" s="305"/>
      <c r="B429" s="368"/>
      <c r="C429" s="307"/>
      <c r="D429" s="307"/>
      <c r="E429" s="307"/>
      <c r="F429" s="307"/>
      <c r="G429" s="307"/>
      <c r="H429" s="307"/>
      <c r="I429" s="307"/>
      <c r="J429" s="307"/>
      <c r="K429" s="307"/>
      <c r="L429" s="307"/>
      <c r="M429" s="307"/>
      <c r="N429" s="307"/>
      <c r="O429" s="308"/>
      <c r="P429" s="307"/>
      <c r="Q429" s="307"/>
      <c r="R429" s="307"/>
      <c r="S429" s="307"/>
      <c r="T429" s="307"/>
      <c r="U429" s="307"/>
      <c r="V429" s="307"/>
      <c r="W429" s="307"/>
      <c r="X429" s="307"/>
      <c r="Y429" s="307"/>
      <c r="Z429" s="309"/>
      <c r="AA429" s="309"/>
      <c r="AB429" s="309"/>
      <c r="AC429" s="309"/>
      <c r="AD429" s="309"/>
      <c r="AE429" s="309"/>
      <c r="AF429" s="309"/>
      <c r="AG429" s="309"/>
      <c r="AH429" s="309"/>
      <c r="AI429" s="309"/>
      <c r="AJ429" s="309"/>
      <c r="AK429" s="309"/>
      <c r="AL429" s="309"/>
      <c r="AM429" s="310"/>
      <c r="AN429" s="309"/>
      <c r="AO429" s="309"/>
      <c r="AP429" s="309"/>
      <c r="AQ429" s="309"/>
      <c r="AR429" s="309"/>
      <c r="AS429" s="261"/>
    </row>
    <row r="430" spans="1:45" s="262" customFormat="1" x14ac:dyDescent="0.35">
      <c r="A430" s="480" t="s">
        <v>921</v>
      </c>
      <c r="B430" s="368"/>
      <c r="C430" s="307"/>
      <c r="D430" s="307"/>
      <c r="E430" s="307"/>
      <c r="F430" s="307"/>
      <c r="G430" s="307"/>
      <c r="H430" s="307"/>
      <c r="I430" s="307"/>
      <c r="J430" s="307"/>
      <c r="K430" s="307"/>
      <c r="L430" s="307"/>
      <c r="M430" s="307"/>
      <c r="N430" s="307"/>
      <c r="O430" s="308"/>
      <c r="P430" s="307"/>
      <c r="Q430" s="307"/>
      <c r="R430" s="307"/>
      <c r="S430" s="307"/>
      <c r="T430" s="307"/>
      <c r="U430" s="307"/>
      <c r="V430" s="307"/>
      <c r="W430" s="307"/>
      <c r="X430" s="307"/>
      <c r="Y430" s="307"/>
      <c r="Z430" s="309"/>
      <c r="AA430" s="309"/>
      <c r="AB430" s="309"/>
      <c r="AC430" s="309"/>
      <c r="AD430" s="309"/>
      <c r="AE430" s="309"/>
      <c r="AF430" s="309"/>
      <c r="AG430" s="309"/>
      <c r="AH430" s="309"/>
      <c r="AI430" s="309"/>
      <c r="AJ430" s="309"/>
      <c r="AK430" s="309"/>
      <c r="AL430" s="309"/>
      <c r="AM430" s="310"/>
      <c r="AN430" s="309"/>
      <c r="AO430" s="309"/>
      <c r="AP430" s="309"/>
      <c r="AQ430" s="309"/>
      <c r="AR430" s="309"/>
      <c r="AS430" s="261"/>
    </row>
    <row r="431" spans="1:45" s="167" customFormat="1" x14ac:dyDescent="0.35">
      <c r="A431" s="303" t="s">
        <v>922</v>
      </c>
      <c r="B431" s="315"/>
      <c r="C431" s="248">
        <v>6.1429999999999998</v>
      </c>
      <c r="D431" s="166">
        <f>AH431</f>
        <v>5.5789999999999997</v>
      </c>
      <c r="E431" s="248">
        <v>5.3819999999999997</v>
      </c>
      <c r="F431" s="166">
        <f>AI431</f>
        <v>5.056</v>
      </c>
      <c r="G431" s="248">
        <v>5.4880000000000004</v>
      </c>
      <c r="H431" s="166">
        <f>AJ431</f>
        <v>5.7610000000000001</v>
      </c>
      <c r="I431" s="248">
        <v>6.585</v>
      </c>
      <c r="J431" s="166">
        <f>AK431</f>
        <v>11.897</v>
      </c>
      <c r="K431" s="248">
        <v>12.782999999999999</v>
      </c>
      <c r="L431" s="166">
        <f>AL431</f>
        <v>11.753</v>
      </c>
      <c r="M431" s="248">
        <v>11.811999999999999</v>
      </c>
      <c r="N431" s="166">
        <f>AM431</f>
        <v>11.27</v>
      </c>
      <c r="O431" s="249">
        <v>11.166</v>
      </c>
      <c r="P431" s="164">
        <f>O431+P371+P370-P335-P336</f>
        <v>11.768577534246576</v>
      </c>
      <c r="Q431" s="164">
        <f>AN431+Q371+Q370-Q335-Q336</f>
        <v>12.295288864136539</v>
      </c>
      <c r="R431" s="164">
        <f>Q431+R371+R370-R335-R336</f>
        <v>12.782478714807114</v>
      </c>
      <c r="S431" s="164"/>
      <c r="T431" s="164"/>
      <c r="U431" s="164"/>
      <c r="V431" s="164"/>
      <c r="W431" s="164"/>
      <c r="X431" s="164"/>
      <c r="Y431" s="164"/>
      <c r="Z431" s="250"/>
      <c r="AA431" s="250"/>
      <c r="AB431" s="250"/>
      <c r="AC431" s="250"/>
      <c r="AD431" s="251">
        <v>6.351</v>
      </c>
      <c r="AE431" s="251">
        <v>6.6070000000000002</v>
      </c>
      <c r="AF431" s="251">
        <v>6.9969999999999999</v>
      </c>
      <c r="AG431" s="251">
        <v>6.391</v>
      </c>
      <c r="AH431" s="251">
        <v>5.5789999999999997</v>
      </c>
      <c r="AI431" s="251">
        <v>5.056</v>
      </c>
      <c r="AJ431" s="251">
        <v>5.7610000000000001</v>
      </c>
      <c r="AK431" s="251">
        <v>11.897</v>
      </c>
      <c r="AL431" s="251">
        <v>11.753</v>
      </c>
      <c r="AM431" s="252">
        <v>11.27</v>
      </c>
      <c r="AN431" s="304">
        <f>P431</f>
        <v>11.768577534246576</v>
      </c>
      <c r="AO431" s="250">
        <f>R431</f>
        <v>12.782478714807114</v>
      </c>
      <c r="AP431" s="250">
        <f>AO431+AP371+AP370-AP335-AP336</f>
        <v>13.64598297184569</v>
      </c>
      <c r="AQ431" s="250">
        <f>AP431+AQ371+AQ370-AQ335-AQ336</f>
        <v>14.336786377476553</v>
      </c>
      <c r="AR431" s="250">
        <f>AQ431+AR371+AR370-AR335-AR336</f>
        <v>14.889429101981245</v>
      </c>
      <c r="AS431" s="166"/>
    </row>
    <row r="432" spans="1:45" s="167" customFormat="1" x14ac:dyDescent="0.35">
      <c r="A432" s="303" t="s">
        <v>923</v>
      </c>
      <c r="B432" s="315"/>
      <c r="C432" s="164"/>
      <c r="D432" s="166">
        <f>AH432</f>
        <v>0</v>
      </c>
      <c r="E432" s="164"/>
      <c r="F432" s="166">
        <f>AI432</f>
        <v>0</v>
      </c>
      <c r="G432" s="164"/>
      <c r="H432" s="166">
        <f>AJ432</f>
        <v>0</v>
      </c>
      <c r="I432" s="248">
        <v>6.1449999999999996</v>
      </c>
      <c r="J432" s="166">
        <f>AK432</f>
        <v>8.6980000000000004</v>
      </c>
      <c r="K432" s="248">
        <v>7.5720000000000001</v>
      </c>
      <c r="L432" s="166">
        <f>AL432</f>
        <v>7.0220000000000002</v>
      </c>
      <c r="M432" s="248">
        <v>6.55</v>
      </c>
      <c r="N432" s="166">
        <f>AM432</f>
        <v>6.1619999999999999</v>
      </c>
      <c r="O432" s="249">
        <v>5.8490000000000002</v>
      </c>
      <c r="P432" s="164">
        <f>O432+P391+P392</f>
        <v>6.1896465787658546</v>
      </c>
      <c r="Q432" s="164">
        <f>AN432+Q391+Q392</f>
        <v>6.8141865516539362</v>
      </c>
      <c r="R432" s="164">
        <f>Q432+R391+R392</f>
        <v>7.1342817501973164</v>
      </c>
      <c r="S432" s="164"/>
      <c r="T432" s="164"/>
      <c r="U432" s="164"/>
      <c r="V432" s="164"/>
      <c r="W432" s="164"/>
      <c r="X432" s="164"/>
      <c r="Y432" s="164"/>
      <c r="Z432" s="250"/>
      <c r="AA432" s="250"/>
      <c r="AB432" s="250"/>
      <c r="AC432" s="250"/>
      <c r="AD432" s="250"/>
      <c r="AE432" s="250"/>
      <c r="AF432" s="250"/>
      <c r="AG432" s="250"/>
      <c r="AH432" s="250"/>
      <c r="AI432" s="250"/>
      <c r="AJ432" s="250"/>
      <c r="AK432" s="251">
        <v>8.6980000000000004</v>
      </c>
      <c r="AL432" s="251">
        <v>7.0220000000000002</v>
      </c>
      <c r="AM432" s="252">
        <v>6.1619999999999999</v>
      </c>
      <c r="AN432" s="304">
        <f>P432</f>
        <v>6.1896465787658546</v>
      </c>
      <c r="AO432" s="250">
        <f>R432</f>
        <v>7.1342817501973164</v>
      </c>
      <c r="AP432" s="250">
        <f>AO432+AP391+AP392</f>
        <v>7.9664057620909627</v>
      </c>
      <c r="AQ432" s="250">
        <f>AP432+AQ391+AQ392</f>
        <v>8.6752719751528264</v>
      </c>
      <c r="AR432" s="250">
        <f>AQ432+AR391+AR392</f>
        <v>9.2863952892202022</v>
      </c>
      <c r="AS432" s="166"/>
    </row>
    <row r="433" spans="1:45" s="167" customFormat="1" x14ac:dyDescent="0.35">
      <c r="A433" s="303" t="s">
        <v>297</v>
      </c>
      <c r="B433" s="315"/>
      <c r="C433" s="248">
        <v>0.94399999999999995</v>
      </c>
      <c r="D433" s="166">
        <f>AH433</f>
        <v>0.504</v>
      </c>
      <c r="E433" s="248">
        <v>0.38600000000000001</v>
      </c>
      <c r="F433" s="166">
        <f>AI433</f>
        <v>0.32400000000000001</v>
      </c>
      <c r="G433" s="248">
        <v>0.34599999999999997</v>
      </c>
      <c r="H433" s="166">
        <f>AJ433</f>
        <v>0.24</v>
      </c>
      <c r="I433" s="248">
        <v>0.70099999999999996</v>
      </c>
      <c r="J433" s="166">
        <f>AK433</f>
        <v>1.3009999999999999</v>
      </c>
      <c r="K433" s="248">
        <v>2.6960000000000002</v>
      </c>
      <c r="L433" s="166">
        <f>AL433</f>
        <v>5.202</v>
      </c>
      <c r="M433" s="248">
        <v>6.6959999999999997</v>
      </c>
      <c r="N433" s="166">
        <f>AM433</f>
        <v>7.9779999999999998</v>
      </c>
      <c r="O433" s="249">
        <v>7.5750000000000002</v>
      </c>
      <c r="P433" s="164">
        <f>O433+P377+P376</f>
        <v>7.9259075342465755</v>
      </c>
      <c r="Q433" s="164">
        <f>AN433+Q377+Q376</f>
        <v>8.2197552211991916</v>
      </c>
      <c r="R433" s="164">
        <f>Q433+R377+R376</f>
        <v>8.4879004054490199</v>
      </c>
      <c r="S433" s="164"/>
      <c r="T433" s="164"/>
      <c r="U433" s="164"/>
      <c r="V433" s="164"/>
      <c r="W433" s="164"/>
      <c r="X433" s="164"/>
      <c r="Y433" s="164"/>
      <c r="Z433" s="250"/>
      <c r="AA433" s="250"/>
      <c r="AB433" s="250"/>
      <c r="AC433" s="250"/>
      <c r="AD433" s="251">
        <v>0.40600000000000003</v>
      </c>
      <c r="AE433" s="251">
        <v>0.52300000000000002</v>
      </c>
      <c r="AF433" s="251">
        <v>0.45800000000000002</v>
      </c>
      <c r="AG433" s="251">
        <v>0.66700000000000004</v>
      </c>
      <c r="AH433" s="251">
        <v>0.504</v>
      </c>
      <c r="AI433" s="251">
        <v>0.32400000000000001</v>
      </c>
      <c r="AJ433" s="251">
        <v>0.24</v>
      </c>
      <c r="AK433" s="251">
        <v>1.3009999999999999</v>
      </c>
      <c r="AL433" s="251">
        <v>5.202</v>
      </c>
      <c r="AM433" s="252">
        <v>7.9779999999999998</v>
      </c>
      <c r="AN433" s="304">
        <f>P433</f>
        <v>7.9259075342465755</v>
      </c>
      <c r="AO433" s="250">
        <f>R433</f>
        <v>8.4879004054490199</v>
      </c>
      <c r="AP433" s="250">
        <f>AO433+AP377+AP376</f>
        <v>8.9459253040867655</v>
      </c>
      <c r="AQ433" s="250">
        <f>AP433+AQ377+AQ376</f>
        <v>9.2894439780650746</v>
      </c>
      <c r="AR433" s="250">
        <f>AQ433+AR377+AR376</f>
        <v>9.5470829835488065</v>
      </c>
      <c r="AS433" s="166"/>
    </row>
    <row r="434" spans="1:45" s="167" customFormat="1" x14ac:dyDescent="0.35">
      <c r="A434" s="303" t="s">
        <v>924</v>
      </c>
      <c r="B434" s="315"/>
      <c r="C434" s="248">
        <v>0.41899999999999998</v>
      </c>
      <c r="D434" s="166">
        <f>AH434</f>
        <v>0.89500000000000002</v>
      </c>
      <c r="E434" s="248">
        <v>0.876</v>
      </c>
      <c r="F434" s="166">
        <f>AI434</f>
        <v>1.4359999999999999</v>
      </c>
      <c r="G434" s="248">
        <v>1.5629999999999999</v>
      </c>
      <c r="H434" s="166">
        <f>AJ434</f>
        <v>2.4849999999999999</v>
      </c>
      <c r="I434" s="248">
        <v>2.7589999999999999</v>
      </c>
      <c r="J434" s="166">
        <f>AK434</f>
        <v>2.4079999999999999</v>
      </c>
      <c r="K434" s="248">
        <v>2.516</v>
      </c>
      <c r="L434" s="166">
        <f>AL434</f>
        <v>3.149</v>
      </c>
      <c r="M434" s="248">
        <v>2.5110000000000001</v>
      </c>
      <c r="N434" s="166">
        <f>AM434</f>
        <v>2.508</v>
      </c>
      <c r="O434" s="249">
        <v>2.306</v>
      </c>
      <c r="P434" s="164">
        <f>O434-(P191+P192+P324)</f>
        <v>2.3914167738671237</v>
      </c>
      <c r="Q434" s="164">
        <f>AN434-(Q191+Q192+Q324)</f>
        <v>2.4837816389871241</v>
      </c>
      <c r="R434" s="164">
        <f>Q434-(R191+R192+R324)</f>
        <v>2.577616643877124</v>
      </c>
      <c r="S434" s="164"/>
      <c r="T434" s="164"/>
      <c r="U434" s="164"/>
      <c r="V434" s="164"/>
      <c r="W434" s="164"/>
      <c r="X434" s="164"/>
      <c r="Y434" s="164"/>
      <c r="Z434" s="250"/>
      <c r="AA434" s="250"/>
      <c r="AB434" s="250"/>
      <c r="AC434" s="250"/>
      <c r="AD434" s="251">
        <v>0.68200000000000005</v>
      </c>
      <c r="AE434" s="251">
        <v>0.53500000000000003</v>
      </c>
      <c r="AF434" s="251">
        <v>0.67800000000000005</v>
      </c>
      <c r="AG434" s="251">
        <v>0.42599999999999999</v>
      </c>
      <c r="AH434" s="251">
        <v>0.89500000000000002</v>
      </c>
      <c r="AI434" s="251">
        <v>1.4359999999999999</v>
      </c>
      <c r="AJ434" s="251">
        <v>2.4849999999999999</v>
      </c>
      <c r="AK434" s="251">
        <v>2.4079999999999999</v>
      </c>
      <c r="AL434" s="251">
        <v>3.149</v>
      </c>
      <c r="AM434" s="252">
        <v>2.508</v>
      </c>
      <c r="AN434" s="304">
        <f>P434</f>
        <v>2.3914167738671237</v>
      </c>
      <c r="AO434" s="250">
        <f>R434</f>
        <v>2.577616643877124</v>
      </c>
      <c r="AP434" s="250">
        <f>AO434-(AP191+AP192+AP324)</f>
        <v>2.7791506208291237</v>
      </c>
      <c r="AQ434" s="250">
        <f>AP434-(AQ191+AQ192+AQ324)</f>
        <v>3.0008379954763233</v>
      </c>
      <c r="AR434" s="250">
        <f>AQ434-(AR191+AR192+AR324)</f>
        <v>3.2446941075882441</v>
      </c>
      <c r="AS434" s="166"/>
    </row>
    <row r="435" spans="1:45" s="262" customFormat="1" x14ac:dyDescent="0.35">
      <c r="A435" s="253" t="s">
        <v>925</v>
      </c>
      <c r="B435" s="355"/>
      <c r="C435" s="256">
        <f t="shared" ref="C435:R435" si="358">SUM(C431:C434)</f>
        <v>7.5059999999999993</v>
      </c>
      <c r="D435" s="256">
        <f t="shared" si="358"/>
        <v>6.9779999999999998</v>
      </c>
      <c r="E435" s="256">
        <f t="shared" si="358"/>
        <v>6.6440000000000001</v>
      </c>
      <c r="F435" s="256">
        <f t="shared" si="358"/>
        <v>6.8159999999999998</v>
      </c>
      <c r="G435" s="256">
        <f t="shared" si="358"/>
        <v>7.3970000000000002</v>
      </c>
      <c r="H435" s="256">
        <f t="shared" si="358"/>
        <v>8.4860000000000007</v>
      </c>
      <c r="I435" s="256">
        <f t="shared" si="358"/>
        <v>16.190000000000001</v>
      </c>
      <c r="J435" s="256">
        <f t="shared" si="358"/>
        <v>24.303999999999998</v>
      </c>
      <c r="K435" s="256">
        <f t="shared" si="358"/>
        <v>25.567</v>
      </c>
      <c r="L435" s="256">
        <f t="shared" si="358"/>
        <v>27.125999999999998</v>
      </c>
      <c r="M435" s="256">
        <f t="shared" si="358"/>
        <v>27.568999999999999</v>
      </c>
      <c r="N435" s="256">
        <f t="shared" si="358"/>
        <v>27.917999999999996</v>
      </c>
      <c r="O435" s="257">
        <f t="shared" si="358"/>
        <v>26.896000000000001</v>
      </c>
      <c r="P435" s="255">
        <f t="shared" si="358"/>
        <v>28.275548421126132</v>
      </c>
      <c r="Q435" s="255">
        <f t="shared" si="358"/>
        <v>29.813012275976796</v>
      </c>
      <c r="R435" s="255">
        <f t="shared" si="358"/>
        <v>30.982277514330573</v>
      </c>
      <c r="S435" s="255"/>
      <c r="T435" s="255"/>
      <c r="U435" s="255"/>
      <c r="V435" s="255"/>
      <c r="W435" s="255"/>
      <c r="X435" s="255"/>
      <c r="Y435" s="255"/>
      <c r="Z435" s="258"/>
      <c r="AA435" s="258"/>
      <c r="AB435" s="258"/>
      <c r="AC435" s="258"/>
      <c r="AD435" s="258">
        <f t="shared" ref="AD435:AR435" si="359">SUM(AD431:AD434)</f>
        <v>7.4390000000000001</v>
      </c>
      <c r="AE435" s="258">
        <f t="shared" si="359"/>
        <v>7.665</v>
      </c>
      <c r="AF435" s="259">
        <f t="shared" si="359"/>
        <v>8.1330000000000009</v>
      </c>
      <c r="AG435" s="259">
        <f t="shared" si="359"/>
        <v>7.484</v>
      </c>
      <c r="AH435" s="259">
        <f t="shared" si="359"/>
        <v>6.9779999999999998</v>
      </c>
      <c r="AI435" s="259">
        <f t="shared" si="359"/>
        <v>6.8159999999999998</v>
      </c>
      <c r="AJ435" s="259">
        <f t="shared" si="359"/>
        <v>8.4860000000000007</v>
      </c>
      <c r="AK435" s="259">
        <f t="shared" si="359"/>
        <v>24.303999999999998</v>
      </c>
      <c r="AL435" s="259">
        <f t="shared" si="359"/>
        <v>27.125999999999998</v>
      </c>
      <c r="AM435" s="260">
        <f t="shared" si="359"/>
        <v>27.917999999999996</v>
      </c>
      <c r="AN435" s="259">
        <f t="shared" si="359"/>
        <v>28.275548421126132</v>
      </c>
      <c r="AO435" s="258">
        <f t="shared" si="359"/>
        <v>30.982277514330573</v>
      </c>
      <c r="AP435" s="258">
        <f t="shared" si="359"/>
        <v>33.337464658852539</v>
      </c>
      <c r="AQ435" s="258">
        <f t="shared" si="359"/>
        <v>35.302340326170778</v>
      </c>
      <c r="AR435" s="258">
        <f t="shared" si="359"/>
        <v>36.967601482338495</v>
      </c>
      <c r="AS435" s="261"/>
    </row>
    <row r="436" spans="1:45" s="262" customFormat="1" x14ac:dyDescent="0.35">
      <c r="A436" s="393" t="s">
        <v>926</v>
      </c>
      <c r="B436" s="368"/>
      <c r="C436" s="261">
        <f t="shared" ref="C436:R436" si="360">C428+C435</f>
        <v>211.42100000000002</v>
      </c>
      <c r="D436" s="261">
        <f t="shared" si="360"/>
        <v>249.102</v>
      </c>
      <c r="E436" s="261">
        <f t="shared" si="360"/>
        <v>252.28899999999999</v>
      </c>
      <c r="F436" s="261">
        <f t="shared" si="360"/>
        <v>294.23499999999996</v>
      </c>
      <c r="G436" s="261">
        <f t="shared" si="360"/>
        <v>335.97699999999998</v>
      </c>
      <c r="H436" s="261">
        <f t="shared" si="360"/>
        <v>384.14</v>
      </c>
      <c r="I436" s="261">
        <f t="shared" si="360"/>
        <v>368.35599999999999</v>
      </c>
      <c r="J436" s="261">
        <f t="shared" si="360"/>
        <v>430.94599999999997</v>
      </c>
      <c r="K436" s="261">
        <f t="shared" si="360"/>
        <v>394.68600000000004</v>
      </c>
      <c r="L436" s="261">
        <f t="shared" si="360"/>
        <v>497.35899999999998</v>
      </c>
      <c r="M436" s="261">
        <f t="shared" si="360"/>
        <v>551.86699999999996</v>
      </c>
      <c r="N436" s="261">
        <f t="shared" si="360"/>
        <v>672.05800000000011</v>
      </c>
      <c r="O436" s="421">
        <f t="shared" si="360"/>
        <v>678.69099999999992</v>
      </c>
      <c r="P436" s="307" t="e">
        <f t="shared" si="360"/>
        <v>#REF!</v>
      </c>
      <c r="Q436" s="307" t="e">
        <f t="shared" si="360"/>
        <v>#REF!</v>
      </c>
      <c r="R436" s="307" t="e">
        <f t="shared" si="360"/>
        <v>#REF!</v>
      </c>
      <c r="S436" s="307"/>
      <c r="T436" s="307"/>
      <c r="U436" s="307"/>
      <c r="V436" s="307"/>
      <c r="W436" s="307"/>
      <c r="X436" s="307"/>
      <c r="Y436" s="307"/>
      <c r="Z436" s="309"/>
      <c r="AA436" s="309"/>
      <c r="AB436" s="309"/>
      <c r="AC436" s="309"/>
      <c r="AD436" s="309">
        <f t="shared" ref="AD436:AR436" si="361">AD428+AD435</f>
        <v>107.215</v>
      </c>
      <c r="AE436" s="309">
        <f t="shared" si="361"/>
        <v>150.06099999999998</v>
      </c>
      <c r="AF436" s="420">
        <f t="shared" si="361"/>
        <v>207.37899999999999</v>
      </c>
      <c r="AG436" s="420">
        <f t="shared" si="361"/>
        <v>207.24299999999999</v>
      </c>
      <c r="AH436" s="420">
        <f t="shared" si="361"/>
        <v>249.102</v>
      </c>
      <c r="AI436" s="420">
        <f t="shared" si="361"/>
        <v>294.23499999999996</v>
      </c>
      <c r="AJ436" s="420">
        <f t="shared" si="361"/>
        <v>384.14</v>
      </c>
      <c r="AK436" s="420">
        <f t="shared" si="361"/>
        <v>430.94599999999997</v>
      </c>
      <c r="AL436" s="420">
        <f t="shared" si="361"/>
        <v>497.35899999999998</v>
      </c>
      <c r="AM436" s="422">
        <f t="shared" si="361"/>
        <v>672.05800000000011</v>
      </c>
      <c r="AN436" s="420" t="e">
        <f t="shared" si="361"/>
        <v>#REF!</v>
      </c>
      <c r="AO436" s="309" t="e">
        <f t="shared" si="361"/>
        <v>#REF!</v>
      </c>
      <c r="AP436" s="309" t="e">
        <f t="shared" si="361"/>
        <v>#REF!</v>
      </c>
      <c r="AQ436" s="309" t="e">
        <f t="shared" si="361"/>
        <v>#REF!</v>
      </c>
      <c r="AR436" s="309" t="e">
        <f t="shared" si="361"/>
        <v>#REF!</v>
      </c>
      <c r="AS436" s="261"/>
    </row>
    <row r="437" spans="1:45" s="262" customFormat="1" x14ac:dyDescent="0.35">
      <c r="A437" s="305"/>
      <c r="B437" s="368"/>
      <c r="C437" s="307"/>
      <c r="D437" s="307"/>
      <c r="E437" s="307"/>
      <c r="F437" s="307"/>
      <c r="G437" s="307"/>
      <c r="H437" s="307"/>
      <c r="I437" s="307"/>
      <c r="J437" s="307"/>
      <c r="K437" s="307"/>
      <c r="L437" s="307"/>
      <c r="M437" s="307"/>
      <c r="N437" s="307"/>
      <c r="O437" s="308"/>
      <c r="P437" s="307"/>
      <c r="Q437" s="307"/>
      <c r="R437" s="307"/>
      <c r="S437" s="307"/>
      <c r="T437" s="307"/>
      <c r="U437" s="307"/>
      <c r="V437" s="307"/>
      <c r="W437" s="307"/>
      <c r="X437" s="307"/>
      <c r="Y437" s="307"/>
      <c r="Z437" s="309"/>
      <c r="AA437" s="309"/>
      <c r="AB437" s="309"/>
      <c r="AC437" s="309"/>
      <c r="AD437" s="309"/>
      <c r="AE437" s="309"/>
      <c r="AF437" s="309"/>
      <c r="AG437" s="309"/>
      <c r="AH437" s="309"/>
      <c r="AI437" s="309"/>
      <c r="AJ437" s="309"/>
      <c r="AK437" s="309"/>
      <c r="AL437" s="309"/>
      <c r="AM437" s="310"/>
      <c r="AN437" s="309"/>
      <c r="AO437" s="309"/>
      <c r="AP437" s="309"/>
      <c r="AQ437" s="309"/>
      <c r="AR437" s="309"/>
      <c r="AS437" s="261"/>
    </row>
    <row r="438" spans="1:45" s="167" customFormat="1" x14ac:dyDescent="0.35">
      <c r="A438" s="393" t="s">
        <v>319</v>
      </c>
      <c r="B438" s="315"/>
      <c r="C438" s="164"/>
      <c r="D438" s="164"/>
      <c r="E438" s="164"/>
      <c r="F438" s="164"/>
      <c r="G438" s="164"/>
      <c r="H438" s="164"/>
      <c r="I438" s="164"/>
      <c r="J438" s="164"/>
      <c r="K438" s="164"/>
      <c r="L438" s="164"/>
      <c r="M438" s="164"/>
      <c r="N438" s="164"/>
      <c r="O438" s="165"/>
      <c r="P438" s="164"/>
      <c r="Q438" s="164"/>
      <c r="R438" s="164"/>
      <c r="S438" s="164"/>
      <c r="T438" s="164"/>
      <c r="U438" s="164"/>
      <c r="V438" s="164"/>
      <c r="W438" s="164"/>
      <c r="X438" s="164"/>
      <c r="Y438" s="164"/>
      <c r="Z438" s="250"/>
      <c r="AA438" s="250"/>
      <c r="AB438" s="250"/>
      <c r="AC438" s="250"/>
      <c r="AD438" s="250"/>
      <c r="AE438" s="250"/>
      <c r="AF438" s="250"/>
      <c r="AG438" s="250"/>
      <c r="AH438" s="250"/>
      <c r="AI438" s="250"/>
      <c r="AJ438" s="250"/>
      <c r="AK438" s="250"/>
      <c r="AL438" s="250"/>
      <c r="AM438" s="264"/>
      <c r="AN438" s="250"/>
      <c r="AO438" s="250"/>
      <c r="AP438" s="250"/>
      <c r="AQ438" s="250"/>
      <c r="AR438" s="250"/>
      <c r="AS438" s="166"/>
    </row>
    <row r="439" spans="1:45" s="167" customFormat="1" x14ac:dyDescent="0.35">
      <c r="A439" s="303" t="s">
        <v>304</v>
      </c>
      <c r="B439" s="315"/>
      <c r="C439" s="248">
        <v>137.583</v>
      </c>
      <c r="D439" s="166">
        <f t="shared" ref="D439:D444" si="362">AH439</f>
        <v>155.17400000000001</v>
      </c>
      <c r="E439" s="248">
        <v>176.51300000000001</v>
      </c>
      <c r="F439" s="166">
        <f t="shared" ref="F439:F444" si="363">AI439</f>
        <v>185.26400000000001</v>
      </c>
      <c r="G439" s="248">
        <v>247.506</v>
      </c>
      <c r="H439" s="166">
        <f t="shared" ref="H439:H444" si="364">AJ439</f>
        <v>259.63299999999998</v>
      </c>
      <c r="I439" s="248">
        <v>262.54700000000003</v>
      </c>
      <c r="J439" s="166">
        <f t="shared" ref="J439:J444" si="365">AK439</f>
        <v>263.86599999999999</v>
      </c>
      <c r="K439" s="248">
        <v>230.34800000000001</v>
      </c>
      <c r="L439" s="166">
        <f t="shared" ref="L439:L444" si="366">AL439</f>
        <v>293.52800000000002</v>
      </c>
      <c r="M439" s="248">
        <v>362.91899999999998</v>
      </c>
      <c r="N439" s="166">
        <f t="shared" ref="N439:N444" si="367">AM439</f>
        <v>419.108</v>
      </c>
      <c r="O439" s="249">
        <v>437.86599999999999</v>
      </c>
      <c r="P439" s="164">
        <f>SUM(P171,O171)*P362</f>
        <v>394.32202925634488</v>
      </c>
      <c r="Q439" s="164">
        <f>SUM(Q171,P171)*Q362</f>
        <v>451.95650989885348</v>
      </c>
      <c r="R439" s="164">
        <f>SUM(R171,Q171)*R362</f>
        <v>425.85269261087666</v>
      </c>
      <c r="S439" s="164"/>
      <c r="T439" s="164"/>
      <c r="U439" s="164"/>
      <c r="V439" s="164"/>
      <c r="W439" s="164"/>
      <c r="X439" s="164"/>
      <c r="Y439" s="164"/>
      <c r="Z439" s="250"/>
      <c r="AA439" s="250"/>
      <c r="AB439" s="250"/>
      <c r="AC439" s="250"/>
      <c r="AD439" s="251">
        <v>53.137999999999998</v>
      </c>
      <c r="AE439" s="251">
        <v>74.503</v>
      </c>
      <c r="AF439" s="251">
        <v>108.053</v>
      </c>
      <c r="AG439" s="251">
        <v>115.527</v>
      </c>
      <c r="AH439" s="251">
        <v>155.17400000000001</v>
      </c>
      <c r="AI439" s="251">
        <v>185.26400000000001</v>
      </c>
      <c r="AJ439" s="251">
        <v>259.63299999999998</v>
      </c>
      <c r="AK439" s="251">
        <v>263.86599999999999</v>
      </c>
      <c r="AL439" s="251">
        <v>293.52800000000002</v>
      </c>
      <c r="AM439" s="252">
        <v>419.108</v>
      </c>
      <c r="AN439" s="304">
        <f t="shared" ref="AN439:AN444" si="368">P439</f>
        <v>394.32202925634488</v>
      </c>
      <c r="AO439" s="250">
        <f t="shared" ref="AO439:AO444" si="369">R439</f>
        <v>425.85269261087666</v>
      </c>
      <c r="AP439" s="250">
        <f>AP171*AP362</f>
        <v>489.73059650250815</v>
      </c>
      <c r="AQ439" s="250">
        <f>AQ171*AQ362</f>
        <v>538.70365615275898</v>
      </c>
      <c r="AR439" s="250">
        <f>AR171*AR362</f>
        <v>592.57402176803498</v>
      </c>
      <c r="AS439" s="166"/>
    </row>
    <row r="440" spans="1:45" s="167" customFormat="1" x14ac:dyDescent="0.35">
      <c r="A440" s="303" t="s">
        <v>305</v>
      </c>
      <c r="B440" s="315"/>
      <c r="C440" s="164"/>
      <c r="D440" s="166">
        <f t="shared" si="362"/>
        <v>0</v>
      </c>
      <c r="E440" s="164"/>
      <c r="F440" s="166">
        <f t="shared" si="363"/>
        <v>0</v>
      </c>
      <c r="G440" s="164"/>
      <c r="H440" s="166">
        <f t="shared" si="364"/>
        <v>0</v>
      </c>
      <c r="I440" s="164"/>
      <c r="J440" s="166">
        <f t="shared" si="365"/>
        <v>13.929</v>
      </c>
      <c r="K440" s="248">
        <v>11.509</v>
      </c>
      <c r="L440" s="166">
        <f t="shared" si="366"/>
        <v>12.759</v>
      </c>
      <c r="M440" s="248">
        <v>14.907</v>
      </c>
      <c r="N440" s="166">
        <f t="shared" si="367"/>
        <v>31.564</v>
      </c>
      <c r="O440" s="249">
        <v>27.274999999999999</v>
      </c>
      <c r="P440" s="164">
        <f>O440</f>
        <v>27.274999999999999</v>
      </c>
      <c r="Q440" s="164">
        <f>AN440</f>
        <v>27.274999999999999</v>
      </c>
      <c r="R440" s="164">
        <f>Q440</f>
        <v>27.274999999999999</v>
      </c>
      <c r="S440" s="164"/>
      <c r="T440" s="164"/>
      <c r="U440" s="164"/>
      <c r="V440" s="164"/>
      <c r="W440" s="164"/>
      <c r="X440" s="164"/>
      <c r="Y440" s="164"/>
      <c r="Z440" s="250"/>
      <c r="AA440" s="250"/>
      <c r="AB440" s="250"/>
      <c r="AC440" s="250"/>
      <c r="AD440" s="250"/>
      <c r="AE440" s="250"/>
      <c r="AF440" s="250"/>
      <c r="AG440" s="250"/>
      <c r="AH440" s="250"/>
      <c r="AI440" s="250"/>
      <c r="AJ440" s="250"/>
      <c r="AK440" s="251">
        <v>13.929</v>
      </c>
      <c r="AL440" s="251">
        <v>12.759</v>
      </c>
      <c r="AM440" s="252">
        <v>31.564</v>
      </c>
      <c r="AN440" s="304">
        <f t="shared" si="368"/>
        <v>27.274999999999999</v>
      </c>
      <c r="AO440" s="250">
        <f t="shared" si="369"/>
        <v>27.274999999999999</v>
      </c>
      <c r="AP440" s="250">
        <f t="shared" ref="AP440:AR443" si="370">AO440</f>
        <v>27.274999999999999</v>
      </c>
      <c r="AQ440" s="250">
        <f t="shared" si="370"/>
        <v>27.274999999999999</v>
      </c>
      <c r="AR440" s="250">
        <f t="shared" si="370"/>
        <v>27.274999999999999</v>
      </c>
      <c r="AS440" s="166"/>
    </row>
    <row r="441" spans="1:45" s="167" customFormat="1" x14ac:dyDescent="0.35">
      <c r="A441" s="303" t="s">
        <v>306</v>
      </c>
      <c r="B441" s="315"/>
      <c r="C441" s="248">
        <v>4.0860000000000003</v>
      </c>
      <c r="D441" s="166">
        <f t="shared" si="362"/>
        <v>5.51</v>
      </c>
      <c r="E441" s="248">
        <v>5.0869999999999997</v>
      </c>
      <c r="F441" s="166">
        <f t="shared" si="363"/>
        <v>8.1549999999999994</v>
      </c>
      <c r="G441" s="248">
        <v>6.524</v>
      </c>
      <c r="H441" s="166">
        <f t="shared" si="364"/>
        <v>9.1150000000000002</v>
      </c>
      <c r="I441" s="248">
        <v>0</v>
      </c>
      <c r="J441" s="166">
        <f t="shared" si="365"/>
        <v>0</v>
      </c>
      <c r="K441" s="164"/>
      <c r="L441" s="166">
        <f t="shared" si="366"/>
        <v>0</v>
      </c>
      <c r="M441" s="164"/>
      <c r="N441" s="166">
        <f t="shared" si="367"/>
        <v>0</v>
      </c>
      <c r="O441" s="165"/>
      <c r="P441" s="164">
        <f>O441</f>
        <v>0</v>
      </c>
      <c r="Q441" s="164">
        <f>AN441</f>
        <v>0</v>
      </c>
      <c r="R441" s="164">
        <f>Q441</f>
        <v>0</v>
      </c>
      <c r="S441" s="164"/>
      <c r="T441" s="164"/>
      <c r="U441" s="164"/>
      <c r="V441" s="164"/>
      <c r="W441" s="164"/>
      <c r="X441" s="164"/>
      <c r="Y441" s="164"/>
      <c r="Z441" s="250"/>
      <c r="AA441" s="250"/>
      <c r="AB441" s="250"/>
      <c r="AC441" s="250"/>
      <c r="AD441" s="251">
        <v>5.6340000000000003</v>
      </c>
      <c r="AE441" s="251">
        <v>3.2589999999999999</v>
      </c>
      <c r="AF441" s="251">
        <v>3.51</v>
      </c>
      <c r="AG441" s="251">
        <v>4.3520000000000003</v>
      </c>
      <c r="AH441" s="251">
        <v>5.51</v>
      </c>
      <c r="AI441" s="251">
        <v>8.1549999999999994</v>
      </c>
      <c r="AJ441" s="251">
        <v>9.1150000000000002</v>
      </c>
      <c r="AK441" s="251">
        <v>0</v>
      </c>
      <c r="AL441" s="250"/>
      <c r="AM441" s="264"/>
      <c r="AN441" s="304">
        <f t="shared" si="368"/>
        <v>0</v>
      </c>
      <c r="AO441" s="250">
        <f t="shared" si="369"/>
        <v>0</v>
      </c>
      <c r="AP441" s="250">
        <f t="shared" si="370"/>
        <v>0</v>
      </c>
      <c r="AQ441" s="250">
        <f t="shared" si="370"/>
        <v>0</v>
      </c>
      <c r="AR441" s="250">
        <f t="shared" si="370"/>
        <v>0</v>
      </c>
      <c r="AS441" s="166"/>
    </row>
    <row r="442" spans="1:45" s="167" customFormat="1" x14ac:dyDescent="0.35">
      <c r="A442" s="303" t="s">
        <v>307</v>
      </c>
      <c r="B442" s="315"/>
      <c r="C442" s="164"/>
      <c r="D442" s="166">
        <f t="shared" si="362"/>
        <v>0</v>
      </c>
      <c r="E442" s="164"/>
      <c r="F442" s="166">
        <f t="shared" si="363"/>
        <v>0</v>
      </c>
      <c r="G442" s="164"/>
      <c r="H442" s="166">
        <f t="shared" si="364"/>
        <v>0</v>
      </c>
      <c r="I442" s="248">
        <v>2.3380000000000001</v>
      </c>
      <c r="J442" s="166">
        <f t="shared" si="365"/>
        <v>1.867</v>
      </c>
      <c r="K442" s="248">
        <v>2.48</v>
      </c>
      <c r="L442" s="166">
        <f t="shared" si="366"/>
        <v>2.5979999999999999</v>
      </c>
      <c r="M442" s="248">
        <v>2.6840000000000002</v>
      </c>
      <c r="N442" s="166">
        <f t="shared" si="367"/>
        <v>2.7160000000000002</v>
      </c>
      <c r="O442" s="249">
        <v>2.722</v>
      </c>
      <c r="P442" s="164">
        <f>O442</f>
        <v>2.722</v>
      </c>
      <c r="Q442" s="164">
        <f>AN442</f>
        <v>2.722</v>
      </c>
      <c r="R442" s="164">
        <f>Q442</f>
        <v>2.722</v>
      </c>
      <c r="S442" s="164"/>
      <c r="T442" s="164"/>
      <c r="U442" s="164"/>
      <c r="V442" s="164"/>
      <c r="W442" s="164"/>
      <c r="X442" s="164"/>
      <c r="Y442" s="164"/>
      <c r="Z442" s="250"/>
      <c r="AA442" s="250"/>
      <c r="AB442" s="250"/>
      <c r="AC442" s="250"/>
      <c r="AD442" s="250"/>
      <c r="AE442" s="250"/>
      <c r="AF442" s="250"/>
      <c r="AG442" s="250"/>
      <c r="AH442" s="250"/>
      <c r="AI442" s="250"/>
      <c r="AJ442" s="250"/>
      <c r="AK442" s="251">
        <v>1.867</v>
      </c>
      <c r="AL442" s="251">
        <v>2.5979999999999999</v>
      </c>
      <c r="AM442" s="252">
        <v>2.7160000000000002</v>
      </c>
      <c r="AN442" s="304">
        <f t="shared" si="368"/>
        <v>2.722</v>
      </c>
      <c r="AO442" s="250">
        <f t="shared" si="369"/>
        <v>2.722</v>
      </c>
      <c r="AP442" s="250">
        <f t="shared" si="370"/>
        <v>2.722</v>
      </c>
      <c r="AQ442" s="250">
        <f t="shared" si="370"/>
        <v>2.722</v>
      </c>
      <c r="AR442" s="250">
        <f t="shared" si="370"/>
        <v>2.722</v>
      </c>
      <c r="AS442" s="166"/>
    </row>
    <row r="443" spans="1:45" s="167" customFormat="1" x14ac:dyDescent="0.35">
      <c r="A443" s="303" t="s">
        <v>309</v>
      </c>
      <c r="B443" s="315"/>
      <c r="C443" s="164"/>
      <c r="D443" s="166">
        <f t="shared" si="362"/>
        <v>0</v>
      </c>
      <c r="E443" s="164"/>
      <c r="F443" s="166">
        <f t="shared" si="363"/>
        <v>0</v>
      </c>
      <c r="G443" s="164"/>
      <c r="H443" s="166">
        <f t="shared" si="364"/>
        <v>0</v>
      </c>
      <c r="I443" s="164"/>
      <c r="J443" s="166">
        <f t="shared" si="365"/>
        <v>0</v>
      </c>
      <c r="K443" s="164"/>
      <c r="L443" s="166">
        <f t="shared" si="366"/>
        <v>0</v>
      </c>
      <c r="M443" s="164"/>
      <c r="N443" s="166">
        <f t="shared" si="367"/>
        <v>0</v>
      </c>
      <c r="O443" s="165"/>
      <c r="P443" s="164">
        <f>O443</f>
        <v>0</v>
      </c>
      <c r="Q443" s="164">
        <f>AN443</f>
        <v>0</v>
      </c>
      <c r="R443" s="164">
        <f>Q443</f>
        <v>0</v>
      </c>
      <c r="S443" s="164"/>
      <c r="T443" s="164"/>
      <c r="U443" s="164"/>
      <c r="V443" s="164"/>
      <c r="W443" s="164"/>
      <c r="X443" s="164"/>
      <c r="Y443" s="164"/>
      <c r="Z443" s="250"/>
      <c r="AA443" s="250"/>
      <c r="AB443" s="250"/>
      <c r="AC443" s="250"/>
      <c r="AD443" s="251">
        <v>0.06</v>
      </c>
      <c r="AE443" s="250"/>
      <c r="AF443" s="250"/>
      <c r="AG443" s="250"/>
      <c r="AH443" s="250"/>
      <c r="AI443" s="250"/>
      <c r="AJ443" s="250"/>
      <c r="AK443" s="250"/>
      <c r="AL443" s="250"/>
      <c r="AM443" s="264"/>
      <c r="AN443" s="304">
        <f t="shared" si="368"/>
        <v>0</v>
      </c>
      <c r="AO443" s="250">
        <f t="shared" si="369"/>
        <v>0</v>
      </c>
      <c r="AP443" s="250">
        <f t="shared" si="370"/>
        <v>0</v>
      </c>
      <c r="AQ443" s="250">
        <f t="shared" si="370"/>
        <v>0</v>
      </c>
      <c r="AR443" s="250">
        <f t="shared" si="370"/>
        <v>0</v>
      </c>
      <c r="AS443" s="166"/>
    </row>
    <row r="444" spans="1:45" s="167" customFormat="1" x14ac:dyDescent="0.35">
      <c r="A444" s="303" t="s">
        <v>927</v>
      </c>
      <c r="B444" s="315"/>
      <c r="C444" s="164"/>
      <c r="D444" s="166">
        <f t="shared" si="362"/>
        <v>0</v>
      </c>
      <c r="E444" s="164"/>
      <c r="F444" s="166">
        <f t="shared" si="363"/>
        <v>0</v>
      </c>
      <c r="G444" s="164"/>
      <c r="H444" s="166">
        <f t="shared" si="364"/>
        <v>0</v>
      </c>
      <c r="I444" s="164"/>
      <c r="J444" s="166">
        <f t="shared" si="365"/>
        <v>0</v>
      </c>
      <c r="K444" s="164"/>
      <c r="L444" s="166">
        <f t="shared" si="366"/>
        <v>0</v>
      </c>
      <c r="M444" s="164"/>
      <c r="N444" s="166">
        <f t="shared" si="367"/>
        <v>0</v>
      </c>
      <c r="O444" s="165"/>
      <c r="P444" s="164">
        <f>P253</f>
        <v>0</v>
      </c>
      <c r="Q444" s="164">
        <f>Q253</f>
        <v>0</v>
      </c>
      <c r="R444" s="164">
        <f>R253</f>
        <v>0</v>
      </c>
      <c r="S444" s="164"/>
      <c r="T444" s="164"/>
      <c r="U444" s="164"/>
      <c r="V444" s="164"/>
      <c r="W444" s="164"/>
      <c r="X444" s="164"/>
      <c r="Y444" s="164"/>
      <c r="Z444" s="250"/>
      <c r="AA444" s="250"/>
      <c r="AB444" s="250"/>
      <c r="AC444" s="250"/>
      <c r="AD444" s="250"/>
      <c r="AE444" s="250"/>
      <c r="AF444" s="250"/>
      <c r="AG444" s="250"/>
      <c r="AH444" s="250"/>
      <c r="AI444" s="250"/>
      <c r="AJ444" s="250"/>
      <c r="AK444" s="250"/>
      <c r="AL444" s="250"/>
      <c r="AM444" s="264"/>
      <c r="AN444" s="304">
        <f t="shared" si="368"/>
        <v>0</v>
      </c>
      <c r="AO444" s="250">
        <f t="shared" si="369"/>
        <v>0</v>
      </c>
      <c r="AP444" s="250">
        <f>AP253</f>
        <v>0</v>
      </c>
      <c r="AQ444" s="250">
        <f>AQ253</f>
        <v>0</v>
      </c>
      <c r="AR444" s="250">
        <f>AR253</f>
        <v>0</v>
      </c>
      <c r="AS444" s="166"/>
    </row>
    <row r="445" spans="1:45" s="262" customFormat="1" x14ac:dyDescent="0.35">
      <c r="A445" s="253" t="s">
        <v>321</v>
      </c>
      <c r="B445" s="355"/>
      <c r="C445" s="256">
        <f t="shared" ref="C445:R445" si="371">SUM(C439:C444)</f>
        <v>141.66900000000001</v>
      </c>
      <c r="D445" s="256">
        <f t="shared" si="371"/>
        <v>160.684</v>
      </c>
      <c r="E445" s="256">
        <f t="shared" si="371"/>
        <v>181.6</v>
      </c>
      <c r="F445" s="256">
        <f t="shared" si="371"/>
        <v>193.41900000000001</v>
      </c>
      <c r="G445" s="256">
        <f t="shared" si="371"/>
        <v>254.03</v>
      </c>
      <c r="H445" s="256">
        <f t="shared" si="371"/>
        <v>268.74799999999999</v>
      </c>
      <c r="I445" s="256">
        <f t="shared" si="371"/>
        <v>264.88500000000005</v>
      </c>
      <c r="J445" s="256">
        <f t="shared" si="371"/>
        <v>279.66199999999998</v>
      </c>
      <c r="K445" s="256">
        <f t="shared" si="371"/>
        <v>244.33700000000002</v>
      </c>
      <c r="L445" s="256">
        <f t="shared" si="371"/>
        <v>308.88500000000005</v>
      </c>
      <c r="M445" s="256">
        <f t="shared" si="371"/>
        <v>380.51</v>
      </c>
      <c r="N445" s="256">
        <f t="shared" si="371"/>
        <v>453.38800000000003</v>
      </c>
      <c r="O445" s="257">
        <f t="shared" si="371"/>
        <v>467.86299999999994</v>
      </c>
      <c r="P445" s="255">
        <f t="shared" si="371"/>
        <v>424.31902925634483</v>
      </c>
      <c r="Q445" s="255">
        <f t="shared" si="371"/>
        <v>481.95350989885344</v>
      </c>
      <c r="R445" s="255">
        <f t="shared" si="371"/>
        <v>455.84969261087662</v>
      </c>
      <c r="S445" s="255"/>
      <c r="T445" s="255"/>
      <c r="U445" s="255"/>
      <c r="V445" s="255"/>
      <c r="W445" s="255"/>
      <c r="X445" s="255"/>
      <c r="Y445" s="255"/>
      <c r="Z445" s="258"/>
      <c r="AA445" s="258"/>
      <c r="AB445" s="258"/>
      <c r="AC445" s="258"/>
      <c r="AD445" s="258">
        <f t="shared" ref="AD445:AR445" si="372">SUM(AD439:AD444)</f>
        <v>58.832000000000001</v>
      </c>
      <c r="AE445" s="258">
        <f t="shared" si="372"/>
        <v>77.762</v>
      </c>
      <c r="AF445" s="259">
        <f t="shared" si="372"/>
        <v>111.563</v>
      </c>
      <c r="AG445" s="259">
        <f t="shared" si="372"/>
        <v>119.879</v>
      </c>
      <c r="AH445" s="259">
        <f t="shared" si="372"/>
        <v>160.684</v>
      </c>
      <c r="AI445" s="259">
        <f t="shared" si="372"/>
        <v>193.41900000000001</v>
      </c>
      <c r="AJ445" s="259">
        <f t="shared" si="372"/>
        <v>268.74799999999999</v>
      </c>
      <c r="AK445" s="259">
        <f t="shared" si="372"/>
        <v>279.66199999999998</v>
      </c>
      <c r="AL445" s="259">
        <f t="shared" si="372"/>
        <v>308.88500000000005</v>
      </c>
      <c r="AM445" s="260">
        <f t="shared" si="372"/>
        <v>453.38800000000003</v>
      </c>
      <c r="AN445" s="259">
        <f t="shared" si="372"/>
        <v>424.31902925634483</v>
      </c>
      <c r="AO445" s="258">
        <f t="shared" si="372"/>
        <v>455.84969261087662</v>
      </c>
      <c r="AP445" s="258">
        <f t="shared" si="372"/>
        <v>519.72759650250816</v>
      </c>
      <c r="AQ445" s="258">
        <f t="shared" si="372"/>
        <v>568.70065615275894</v>
      </c>
      <c r="AR445" s="258">
        <f t="shared" si="372"/>
        <v>622.57102176803494</v>
      </c>
      <c r="AS445" s="261"/>
    </row>
    <row r="446" spans="1:45" s="262" customFormat="1" x14ac:dyDescent="0.35">
      <c r="A446" s="305"/>
      <c r="B446" s="368"/>
      <c r="C446" s="307"/>
      <c r="D446" s="307"/>
      <c r="E446" s="307"/>
      <c r="F446" s="307"/>
      <c r="G446" s="307"/>
      <c r="H446" s="307"/>
      <c r="I446" s="307"/>
      <c r="J446" s="307"/>
      <c r="K446" s="307"/>
      <c r="L446" s="307"/>
      <c r="M446" s="307"/>
      <c r="N446" s="307"/>
      <c r="O446" s="308"/>
      <c r="P446" s="307"/>
      <c r="Q446" s="307"/>
      <c r="R446" s="307"/>
      <c r="S446" s="307"/>
      <c r="T446" s="307"/>
      <c r="U446" s="307"/>
      <c r="V446" s="307"/>
      <c r="W446" s="307"/>
      <c r="X446" s="307"/>
      <c r="Y446" s="307"/>
      <c r="Z446" s="309"/>
      <c r="AA446" s="309"/>
      <c r="AB446" s="309"/>
      <c r="AC446" s="309"/>
      <c r="AD446" s="309"/>
      <c r="AE446" s="309"/>
      <c r="AF446" s="309"/>
      <c r="AG446" s="309"/>
      <c r="AH446" s="309"/>
      <c r="AI446" s="309"/>
      <c r="AJ446" s="309"/>
      <c r="AK446" s="309"/>
      <c r="AL446" s="309"/>
      <c r="AM446" s="310"/>
      <c r="AN446" s="309"/>
      <c r="AO446" s="309"/>
      <c r="AP446" s="309"/>
      <c r="AQ446" s="309"/>
      <c r="AR446" s="309"/>
      <c r="AS446" s="261"/>
    </row>
    <row r="447" spans="1:45" s="262" customFormat="1" x14ac:dyDescent="0.35">
      <c r="A447" s="480" t="s">
        <v>928</v>
      </c>
      <c r="B447" s="368"/>
      <c r="C447" s="307"/>
      <c r="D447" s="307"/>
      <c r="E447" s="307"/>
      <c r="F447" s="307"/>
      <c r="G447" s="307"/>
      <c r="H447" s="307"/>
      <c r="I447" s="307"/>
      <c r="J447" s="307"/>
      <c r="K447" s="307"/>
      <c r="L447" s="307"/>
      <c r="M447" s="307"/>
      <c r="N447" s="307"/>
      <c r="O447" s="308"/>
      <c r="P447" s="307"/>
      <c r="Q447" s="307"/>
      <c r="R447" s="307"/>
      <c r="S447" s="307"/>
      <c r="T447" s="307"/>
      <c r="U447" s="307"/>
      <c r="V447" s="307"/>
      <c r="W447" s="307"/>
      <c r="X447" s="307"/>
      <c r="Y447" s="307"/>
      <c r="Z447" s="309"/>
      <c r="AA447" s="309"/>
      <c r="AB447" s="309"/>
      <c r="AC447" s="309"/>
      <c r="AD447" s="309"/>
      <c r="AE447" s="309"/>
      <c r="AF447" s="309"/>
      <c r="AG447" s="309"/>
      <c r="AH447" s="309"/>
      <c r="AI447" s="309"/>
      <c r="AJ447" s="309"/>
      <c r="AK447" s="309"/>
      <c r="AL447" s="309"/>
      <c r="AM447" s="310"/>
      <c r="AN447" s="309"/>
      <c r="AO447" s="309"/>
      <c r="AP447" s="309"/>
      <c r="AQ447" s="309"/>
      <c r="AR447" s="309"/>
      <c r="AS447" s="261"/>
    </row>
    <row r="448" spans="1:45" s="167" customFormat="1" x14ac:dyDescent="0.35">
      <c r="A448" s="303" t="s">
        <v>305</v>
      </c>
      <c r="B448" s="315"/>
      <c r="C448" s="164"/>
      <c r="D448" s="166">
        <f>AH448</f>
        <v>0</v>
      </c>
      <c r="E448" s="164"/>
      <c r="F448" s="166">
        <f>AI448</f>
        <v>0</v>
      </c>
      <c r="G448" s="164"/>
      <c r="H448" s="166">
        <f>AJ448</f>
        <v>0</v>
      </c>
      <c r="I448" s="164"/>
      <c r="J448" s="166">
        <f>AK448</f>
        <v>2.5649999999999999</v>
      </c>
      <c r="K448" s="248">
        <v>3.73</v>
      </c>
      <c r="L448" s="166">
        <f>AL448</f>
        <v>3.6259999999999999</v>
      </c>
      <c r="M448" s="248">
        <v>3.0880000000000001</v>
      </c>
      <c r="N448" s="166">
        <f>AM448</f>
        <v>3.62</v>
      </c>
      <c r="O448" s="249">
        <v>3.4260000000000002</v>
      </c>
      <c r="P448" s="164">
        <f>O448</f>
        <v>3.4260000000000002</v>
      </c>
      <c r="Q448" s="164">
        <f>AN448</f>
        <v>3.4260000000000002</v>
      </c>
      <c r="R448" s="164">
        <f>Q448</f>
        <v>3.4260000000000002</v>
      </c>
      <c r="S448" s="164"/>
      <c r="T448" s="164"/>
      <c r="U448" s="164"/>
      <c r="V448" s="164"/>
      <c r="W448" s="164"/>
      <c r="X448" s="164"/>
      <c r="Y448" s="164"/>
      <c r="Z448" s="250"/>
      <c r="AA448" s="250"/>
      <c r="AB448" s="250"/>
      <c r="AC448" s="250"/>
      <c r="AD448" s="250"/>
      <c r="AE448" s="250"/>
      <c r="AF448" s="250"/>
      <c r="AG448" s="250"/>
      <c r="AH448" s="250"/>
      <c r="AI448" s="250"/>
      <c r="AJ448" s="250"/>
      <c r="AK448" s="251">
        <v>2.5649999999999999</v>
      </c>
      <c r="AL448" s="251">
        <v>3.6259999999999999</v>
      </c>
      <c r="AM448" s="252">
        <v>3.62</v>
      </c>
      <c r="AN448" s="304">
        <f>P448</f>
        <v>3.4260000000000002</v>
      </c>
      <c r="AO448" s="250">
        <f>R448</f>
        <v>3.4260000000000002</v>
      </c>
      <c r="AP448" s="250">
        <f>AO448</f>
        <v>3.4260000000000002</v>
      </c>
      <c r="AQ448" s="250">
        <f>AP448</f>
        <v>3.4260000000000002</v>
      </c>
      <c r="AR448" s="250">
        <f>AQ448</f>
        <v>3.4260000000000002</v>
      </c>
      <c r="AS448" s="166"/>
    </row>
    <row r="449" spans="1:45" s="167" customFormat="1" x14ac:dyDescent="0.35">
      <c r="A449" s="303" t="s">
        <v>307</v>
      </c>
      <c r="B449" s="315"/>
      <c r="C449" s="164"/>
      <c r="D449" s="166">
        <f>AH449</f>
        <v>0</v>
      </c>
      <c r="E449" s="164"/>
      <c r="F449" s="166">
        <f>AI449</f>
        <v>0</v>
      </c>
      <c r="G449" s="164"/>
      <c r="H449" s="166">
        <f>AJ449</f>
        <v>0</v>
      </c>
      <c r="I449" s="248">
        <v>5.2539999999999996</v>
      </c>
      <c r="J449" s="166">
        <f>AK449</f>
        <v>7.9720000000000004</v>
      </c>
      <c r="K449" s="248">
        <v>6.2140000000000004</v>
      </c>
      <c r="L449" s="166">
        <f>AL449</f>
        <v>5.7039999999999997</v>
      </c>
      <c r="M449" s="248">
        <v>5.1449999999999996</v>
      </c>
      <c r="N449" s="166">
        <f>AM449</f>
        <v>3.95</v>
      </c>
      <c r="O449" s="249">
        <v>3.7069999999999999</v>
      </c>
      <c r="P449" s="164">
        <f>O449+P400+P401+P402</f>
        <v>3.642003123554419</v>
      </c>
      <c r="Q449" s="164">
        <f>AN449+Q400+Q401+Q402</f>
        <v>3.877740487675112</v>
      </c>
      <c r="R449" s="164">
        <f>Q449+R400+R401+R402</f>
        <v>3.8677665198151425</v>
      </c>
      <c r="S449" s="164"/>
      <c r="T449" s="164"/>
      <c r="U449" s="164"/>
      <c r="V449" s="164"/>
      <c r="W449" s="164"/>
      <c r="X449" s="164"/>
      <c r="Y449" s="164"/>
      <c r="Z449" s="250"/>
      <c r="AA449" s="250"/>
      <c r="AB449" s="250"/>
      <c r="AC449" s="250"/>
      <c r="AD449" s="250"/>
      <c r="AE449" s="250"/>
      <c r="AF449" s="250"/>
      <c r="AG449" s="250"/>
      <c r="AH449" s="250"/>
      <c r="AI449" s="250"/>
      <c r="AJ449" s="250"/>
      <c r="AK449" s="251">
        <v>7.9720000000000004</v>
      </c>
      <c r="AL449" s="251">
        <v>5.7039999999999997</v>
      </c>
      <c r="AM449" s="252">
        <v>3.95</v>
      </c>
      <c r="AN449" s="304">
        <f>P449</f>
        <v>3.642003123554419</v>
      </c>
      <c r="AO449" s="250">
        <f>R449</f>
        <v>3.8677665198151425</v>
      </c>
      <c r="AP449" s="250">
        <f>AO449+AP400+AP401+AP402</f>
        <v>4.0701739916760857</v>
      </c>
      <c r="AQ449" s="250">
        <f>AP449+AQ400+AQ401+AQ402</f>
        <v>4.2766296129742472</v>
      </c>
      <c r="AR449" s="250">
        <f>AQ449+AR400+AR401+AR402</f>
        <v>4.4872143466983694</v>
      </c>
      <c r="AS449" s="166"/>
    </row>
    <row r="450" spans="1:45" s="167" customFormat="1" x14ac:dyDescent="0.35">
      <c r="A450" s="303" t="s">
        <v>929</v>
      </c>
      <c r="B450" s="315"/>
      <c r="C450" s="164"/>
      <c r="D450" s="166">
        <f>AH450</f>
        <v>0</v>
      </c>
      <c r="E450" s="164"/>
      <c r="F450" s="166">
        <f>AI450</f>
        <v>0</v>
      </c>
      <c r="G450" s="164"/>
      <c r="H450" s="166">
        <f>AJ450</f>
        <v>0</v>
      </c>
      <c r="I450" s="164"/>
      <c r="J450" s="166">
        <f>AK450</f>
        <v>0</v>
      </c>
      <c r="K450" s="164"/>
      <c r="L450" s="166">
        <f>AL450</f>
        <v>0</v>
      </c>
      <c r="M450" s="164"/>
      <c r="N450" s="166">
        <f>AM450</f>
        <v>0</v>
      </c>
      <c r="O450" s="165"/>
      <c r="P450" s="164">
        <f>P254</f>
        <v>0</v>
      </c>
      <c r="Q450" s="164">
        <f>Q254</f>
        <v>0</v>
      </c>
      <c r="R450" s="164">
        <f>R254</f>
        <v>0</v>
      </c>
      <c r="S450" s="164"/>
      <c r="T450" s="164"/>
      <c r="U450" s="164"/>
      <c r="V450" s="164"/>
      <c r="W450" s="164"/>
      <c r="X450" s="164"/>
      <c r="Y450" s="164"/>
      <c r="Z450" s="250"/>
      <c r="AA450" s="250"/>
      <c r="AB450" s="250"/>
      <c r="AC450" s="250"/>
      <c r="AD450" s="250"/>
      <c r="AE450" s="250"/>
      <c r="AF450" s="250"/>
      <c r="AG450" s="250"/>
      <c r="AH450" s="250"/>
      <c r="AI450" s="250"/>
      <c r="AJ450" s="250"/>
      <c r="AK450" s="250"/>
      <c r="AL450" s="250"/>
      <c r="AM450" s="264"/>
      <c r="AN450" s="304">
        <f>P450</f>
        <v>0</v>
      </c>
      <c r="AO450" s="250">
        <f>R450</f>
        <v>0</v>
      </c>
      <c r="AP450" s="250">
        <f>AP254</f>
        <v>0</v>
      </c>
      <c r="AQ450" s="250">
        <f>AQ254</f>
        <v>0</v>
      </c>
      <c r="AR450" s="250">
        <f>AR254</f>
        <v>0</v>
      </c>
      <c r="AS450" s="166"/>
    </row>
    <row r="451" spans="1:45" s="167" customFormat="1" x14ac:dyDescent="0.35">
      <c r="A451" s="303" t="s">
        <v>930</v>
      </c>
      <c r="B451" s="315"/>
      <c r="C451" s="164"/>
      <c r="D451" s="164"/>
      <c r="E451" s="164"/>
      <c r="F451" s="164"/>
      <c r="G451" s="164"/>
      <c r="H451" s="164"/>
      <c r="I451" s="164"/>
      <c r="J451" s="164"/>
      <c r="K451" s="164"/>
      <c r="L451" s="164"/>
      <c r="M451" s="164"/>
      <c r="N451" s="164"/>
      <c r="O451" s="165"/>
      <c r="P451" s="164">
        <f>O451+P188+P347+P344+P332</f>
        <v>0</v>
      </c>
      <c r="Q451" s="164" t="e">
        <f>AN451+Q188+Q347+Q344+Q332</f>
        <v>#REF!</v>
      </c>
      <c r="R451" s="164" t="e">
        <f>Q451+R188+R347+R344+R332</f>
        <v>#REF!</v>
      </c>
      <c r="S451" s="164"/>
      <c r="T451" s="164"/>
      <c r="U451" s="164"/>
      <c r="V451" s="164"/>
      <c r="W451" s="164"/>
      <c r="X451" s="164"/>
      <c r="Y451" s="164"/>
      <c r="Z451" s="250"/>
      <c r="AA451" s="250"/>
      <c r="AB451" s="250"/>
      <c r="AC451" s="250"/>
      <c r="AD451" s="250"/>
      <c r="AE451" s="250"/>
      <c r="AF451" s="250"/>
      <c r="AG451" s="250"/>
      <c r="AH451" s="250"/>
      <c r="AI451" s="250"/>
      <c r="AJ451" s="250"/>
      <c r="AK451" s="250"/>
      <c r="AL451" s="250"/>
      <c r="AM451" s="264"/>
      <c r="AN451" s="304">
        <f>P451</f>
        <v>0</v>
      </c>
      <c r="AO451" s="250" t="e">
        <f>R451</f>
        <v>#REF!</v>
      </c>
      <c r="AP451" s="250" t="e">
        <f>AO451+AP188+AP347+AP344+AP332</f>
        <v>#REF!</v>
      </c>
      <c r="AQ451" s="250" t="e">
        <f>AP451+AQ188+AQ347+AQ344+AQ332</f>
        <v>#REF!</v>
      </c>
      <c r="AR451" s="250" t="e">
        <f>AQ451+AR188+AR347+AR344+AR332</f>
        <v>#REF!</v>
      </c>
      <c r="AS451" s="166"/>
    </row>
    <row r="452" spans="1:45" s="262" customFormat="1" x14ac:dyDescent="0.35">
      <c r="A452" s="253" t="s">
        <v>931</v>
      </c>
      <c r="B452" s="355"/>
      <c r="C452" s="256">
        <f t="shared" ref="C452:R452" si="373">SUM(C448:C451)</f>
        <v>0</v>
      </c>
      <c r="D452" s="256">
        <f t="shared" si="373"/>
        <v>0</v>
      </c>
      <c r="E452" s="256">
        <f t="shared" si="373"/>
        <v>0</v>
      </c>
      <c r="F452" s="256">
        <f t="shared" si="373"/>
        <v>0</v>
      </c>
      <c r="G452" s="256">
        <f t="shared" si="373"/>
        <v>0</v>
      </c>
      <c r="H452" s="256">
        <f t="shared" si="373"/>
        <v>0</v>
      </c>
      <c r="I452" s="256">
        <f t="shared" si="373"/>
        <v>5.2539999999999996</v>
      </c>
      <c r="J452" s="256">
        <f t="shared" si="373"/>
        <v>10.537000000000001</v>
      </c>
      <c r="K452" s="256">
        <f t="shared" si="373"/>
        <v>9.9440000000000008</v>
      </c>
      <c r="L452" s="256">
        <f t="shared" si="373"/>
        <v>9.33</v>
      </c>
      <c r="M452" s="256">
        <f t="shared" si="373"/>
        <v>8.2330000000000005</v>
      </c>
      <c r="N452" s="256">
        <f t="shared" si="373"/>
        <v>7.57</v>
      </c>
      <c r="O452" s="257">
        <f t="shared" si="373"/>
        <v>7.133</v>
      </c>
      <c r="P452" s="255">
        <f t="shared" si="373"/>
        <v>7.0680031235544192</v>
      </c>
      <c r="Q452" s="255" t="e">
        <f t="shared" si="373"/>
        <v>#REF!</v>
      </c>
      <c r="R452" s="255" t="e">
        <f t="shared" si="373"/>
        <v>#REF!</v>
      </c>
      <c r="S452" s="255"/>
      <c r="T452" s="255"/>
      <c r="U452" s="255"/>
      <c r="V452" s="255"/>
      <c r="W452" s="255"/>
      <c r="X452" s="255"/>
      <c r="Y452" s="255"/>
      <c r="Z452" s="258"/>
      <c r="AA452" s="258"/>
      <c r="AB452" s="258"/>
      <c r="AC452" s="258"/>
      <c r="AD452" s="258">
        <f t="shared" ref="AD452:AR452" si="374">SUM(AD448:AD451)</f>
        <v>0</v>
      </c>
      <c r="AE452" s="258">
        <f t="shared" si="374"/>
        <v>0</v>
      </c>
      <c r="AF452" s="259">
        <f t="shared" si="374"/>
        <v>0</v>
      </c>
      <c r="AG452" s="259">
        <f t="shared" si="374"/>
        <v>0</v>
      </c>
      <c r="AH452" s="259">
        <f t="shared" si="374"/>
        <v>0</v>
      </c>
      <c r="AI452" s="259">
        <f t="shared" si="374"/>
        <v>0</v>
      </c>
      <c r="AJ452" s="259">
        <f t="shared" si="374"/>
        <v>0</v>
      </c>
      <c r="AK452" s="259">
        <f t="shared" si="374"/>
        <v>10.537000000000001</v>
      </c>
      <c r="AL452" s="259">
        <f t="shared" si="374"/>
        <v>9.33</v>
      </c>
      <c r="AM452" s="260">
        <f t="shared" si="374"/>
        <v>7.57</v>
      </c>
      <c r="AN452" s="259">
        <f t="shared" si="374"/>
        <v>7.0680031235544192</v>
      </c>
      <c r="AO452" s="258" t="e">
        <f t="shared" si="374"/>
        <v>#REF!</v>
      </c>
      <c r="AP452" s="258" t="e">
        <f t="shared" si="374"/>
        <v>#REF!</v>
      </c>
      <c r="AQ452" s="258" t="e">
        <f t="shared" si="374"/>
        <v>#REF!</v>
      </c>
      <c r="AR452" s="258" t="e">
        <f t="shared" si="374"/>
        <v>#REF!</v>
      </c>
      <c r="AS452" s="261"/>
    </row>
    <row r="453" spans="1:45" s="262" customFormat="1" x14ac:dyDescent="0.35">
      <c r="A453" s="393" t="s">
        <v>932</v>
      </c>
      <c r="B453" s="368"/>
      <c r="C453" s="261">
        <f t="shared" ref="C453:R453" si="375">C445+C452</f>
        <v>141.66900000000001</v>
      </c>
      <c r="D453" s="261">
        <f t="shared" si="375"/>
        <v>160.684</v>
      </c>
      <c r="E453" s="261">
        <f t="shared" si="375"/>
        <v>181.6</v>
      </c>
      <c r="F453" s="261">
        <f t="shared" si="375"/>
        <v>193.41900000000001</v>
      </c>
      <c r="G453" s="261">
        <f t="shared" si="375"/>
        <v>254.03</v>
      </c>
      <c r="H453" s="261">
        <f t="shared" si="375"/>
        <v>268.74799999999999</v>
      </c>
      <c r="I453" s="261">
        <f t="shared" si="375"/>
        <v>270.13900000000007</v>
      </c>
      <c r="J453" s="261">
        <f t="shared" si="375"/>
        <v>290.19899999999996</v>
      </c>
      <c r="K453" s="261">
        <f t="shared" si="375"/>
        <v>254.28100000000001</v>
      </c>
      <c r="L453" s="261">
        <f t="shared" si="375"/>
        <v>318.21500000000003</v>
      </c>
      <c r="M453" s="261">
        <f t="shared" si="375"/>
        <v>388.74299999999999</v>
      </c>
      <c r="N453" s="261">
        <f t="shared" si="375"/>
        <v>460.95800000000003</v>
      </c>
      <c r="O453" s="421">
        <f t="shared" si="375"/>
        <v>474.99599999999992</v>
      </c>
      <c r="P453" s="307">
        <f t="shared" si="375"/>
        <v>431.38703237989927</v>
      </c>
      <c r="Q453" s="307" t="e">
        <f t="shared" si="375"/>
        <v>#REF!</v>
      </c>
      <c r="R453" s="307" t="e">
        <f t="shared" si="375"/>
        <v>#REF!</v>
      </c>
      <c r="S453" s="307"/>
      <c r="T453" s="307"/>
      <c r="U453" s="307"/>
      <c r="V453" s="307"/>
      <c r="W453" s="307"/>
      <c r="X453" s="307"/>
      <c r="Y453" s="307"/>
      <c r="Z453" s="309"/>
      <c r="AA453" s="309"/>
      <c r="AB453" s="309"/>
      <c r="AC453" s="309"/>
      <c r="AD453" s="309">
        <f t="shared" ref="AD453:AR453" si="376">AD445+AD452</f>
        <v>58.832000000000001</v>
      </c>
      <c r="AE453" s="309">
        <f t="shared" si="376"/>
        <v>77.762</v>
      </c>
      <c r="AF453" s="420">
        <f t="shared" si="376"/>
        <v>111.563</v>
      </c>
      <c r="AG453" s="420">
        <f t="shared" si="376"/>
        <v>119.879</v>
      </c>
      <c r="AH453" s="420">
        <f t="shared" si="376"/>
        <v>160.684</v>
      </c>
      <c r="AI453" s="420">
        <f t="shared" si="376"/>
        <v>193.41900000000001</v>
      </c>
      <c r="AJ453" s="420">
        <f t="shared" si="376"/>
        <v>268.74799999999999</v>
      </c>
      <c r="AK453" s="420">
        <f t="shared" si="376"/>
        <v>290.19899999999996</v>
      </c>
      <c r="AL453" s="420">
        <f t="shared" si="376"/>
        <v>318.21500000000003</v>
      </c>
      <c r="AM453" s="422">
        <f t="shared" si="376"/>
        <v>460.95800000000003</v>
      </c>
      <c r="AN453" s="420">
        <f t="shared" si="376"/>
        <v>431.38703237989927</v>
      </c>
      <c r="AO453" s="309" t="e">
        <f t="shared" si="376"/>
        <v>#REF!</v>
      </c>
      <c r="AP453" s="309" t="e">
        <f t="shared" si="376"/>
        <v>#REF!</v>
      </c>
      <c r="AQ453" s="309" t="e">
        <f t="shared" si="376"/>
        <v>#REF!</v>
      </c>
      <c r="AR453" s="309" t="e">
        <f t="shared" si="376"/>
        <v>#REF!</v>
      </c>
      <c r="AS453" s="261"/>
    </row>
    <row r="454" spans="1:45" s="167" customFormat="1" x14ac:dyDescent="0.35">
      <c r="A454" s="305"/>
      <c r="B454" s="315"/>
      <c r="C454" s="164"/>
      <c r="D454" s="164"/>
      <c r="E454" s="164"/>
      <c r="F454" s="164"/>
      <c r="G454" s="164"/>
      <c r="H454" s="164"/>
      <c r="I454" s="164"/>
      <c r="J454" s="164"/>
      <c r="K454" s="164"/>
      <c r="L454" s="164"/>
      <c r="M454" s="164"/>
      <c r="N454" s="164"/>
      <c r="O454" s="165"/>
      <c r="P454" s="164"/>
      <c r="Q454" s="164"/>
      <c r="R454" s="164"/>
      <c r="S454" s="164"/>
      <c r="T454" s="164"/>
      <c r="U454" s="164"/>
      <c r="V454" s="164"/>
      <c r="W454" s="164"/>
      <c r="X454" s="164"/>
      <c r="Y454" s="164"/>
      <c r="Z454" s="250"/>
      <c r="AA454" s="250"/>
      <c r="AB454" s="250"/>
      <c r="AC454" s="250"/>
      <c r="AD454" s="250"/>
      <c r="AE454" s="250"/>
      <c r="AF454" s="250"/>
      <c r="AG454" s="250"/>
      <c r="AH454" s="250"/>
      <c r="AI454" s="250"/>
      <c r="AJ454" s="250"/>
      <c r="AK454" s="250"/>
      <c r="AL454" s="250"/>
      <c r="AM454" s="264"/>
      <c r="AN454" s="250"/>
      <c r="AO454" s="250"/>
      <c r="AP454" s="250"/>
      <c r="AQ454" s="250"/>
      <c r="AR454" s="250"/>
      <c r="AS454" s="166"/>
    </row>
    <row r="455" spans="1:45" s="167" customFormat="1" x14ac:dyDescent="0.35">
      <c r="A455" s="480" t="s">
        <v>933</v>
      </c>
      <c r="B455" s="315"/>
      <c r="C455" s="164"/>
      <c r="D455" s="164"/>
      <c r="E455" s="164"/>
      <c r="F455" s="164"/>
      <c r="G455" s="164"/>
      <c r="H455" s="164"/>
      <c r="I455" s="164"/>
      <c r="J455" s="164"/>
      <c r="K455" s="164"/>
      <c r="L455" s="164"/>
      <c r="M455" s="164"/>
      <c r="N455" s="164"/>
      <c r="O455" s="165"/>
      <c r="P455" s="164"/>
      <c r="Q455" s="164"/>
      <c r="R455" s="164"/>
      <c r="S455" s="164"/>
      <c r="T455" s="164"/>
      <c r="U455" s="164"/>
      <c r="V455" s="164"/>
      <c r="W455" s="164"/>
      <c r="X455" s="164"/>
      <c r="Y455" s="164"/>
      <c r="Z455" s="250"/>
      <c r="AA455" s="250"/>
      <c r="AB455" s="250"/>
      <c r="AC455" s="250"/>
      <c r="AD455" s="250"/>
      <c r="AE455" s="250"/>
      <c r="AF455" s="250"/>
      <c r="AG455" s="250"/>
      <c r="AH455" s="250"/>
      <c r="AI455" s="250"/>
      <c r="AJ455" s="250"/>
      <c r="AK455" s="250"/>
      <c r="AL455" s="250"/>
      <c r="AM455" s="264"/>
      <c r="AN455" s="250"/>
      <c r="AO455" s="250"/>
      <c r="AP455" s="250"/>
      <c r="AQ455" s="250"/>
      <c r="AR455" s="250"/>
      <c r="AS455" s="166"/>
    </row>
    <row r="456" spans="1:45" s="167" customFormat="1" x14ac:dyDescent="0.35">
      <c r="A456" s="303" t="s">
        <v>310</v>
      </c>
      <c r="B456" s="315"/>
      <c r="C456" s="248">
        <v>9.9000000000000005E-2</v>
      </c>
      <c r="D456" s="166">
        <f>AH456</f>
        <v>9.9000000000000005E-2</v>
      </c>
      <c r="E456" s="248">
        <v>9.9000000000000005E-2</v>
      </c>
      <c r="F456" s="166">
        <f>AI456</f>
        <v>9.9000000000000005E-2</v>
      </c>
      <c r="G456" s="248">
        <v>9.9000000000000005E-2</v>
      </c>
      <c r="H456" s="166">
        <f>AJ456</f>
        <v>9.9000000000000005E-2</v>
      </c>
      <c r="I456" s="248">
        <v>9.9000000000000005E-2</v>
      </c>
      <c r="J456" s="166">
        <f>AK456</f>
        <v>0.1</v>
      </c>
      <c r="K456" s="248">
        <v>0.1</v>
      </c>
      <c r="L456" s="166">
        <f>AL456</f>
        <v>0.1</v>
      </c>
      <c r="M456" s="248">
        <v>0.1</v>
      </c>
      <c r="N456" s="166">
        <f>AM456</f>
        <v>0.1</v>
      </c>
      <c r="O456" s="249">
        <v>0.1</v>
      </c>
      <c r="P456" s="164">
        <f>O456+P340</f>
        <v>0.1</v>
      </c>
      <c r="Q456" s="164">
        <f>AN456+Q340</f>
        <v>0.1</v>
      </c>
      <c r="R456" s="164">
        <f>Q456+R340</f>
        <v>0.1</v>
      </c>
      <c r="S456" s="164"/>
      <c r="T456" s="164"/>
      <c r="U456" s="164"/>
      <c r="V456" s="164"/>
      <c r="W456" s="164"/>
      <c r="X456" s="164"/>
      <c r="Y456" s="164"/>
      <c r="Z456" s="250"/>
      <c r="AA456" s="250"/>
      <c r="AB456" s="250"/>
      <c r="AC456" s="250"/>
      <c r="AD456" s="251">
        <v>6.5000000000000002E-2</v>
      </c>
      <c r="AE456" s="251">
        <v>9.5000000000000001E-2</v>
      </c>
      <c r="AF456" s="251">
        <v>9.8000000000000004E-2</v>
      </c>
      <c r="AG456" s="251">
        <v>9.9000000000000005E-2</v>
      </c>
      <c r="AH456" s="251">
        <v>9.9000000000000005E-2</v>
      </c>
      <c r="AI456" s="251">
        <v>9.9000000000000005E-2</v>
      </c>
      <c r="AJ456" s="251">
        <v>9.9000000000000005E-2</v>
      </c>
      <c r="AK456" s="251">
        <v>0.1</v>
      </c>
      <c r="AL456" s="251">
        <v>0.1</v>
      </c>
      <c r="AM456" s="252">
        <v>0.1</v>
      </c>
      <c r="AN456" s="304">
        <f>P456</f>
        <v>0.1</v>
      </c>
      <c r="AO456" s="250">
        <f>R456</f>
        <v>0.1</v>
      </c>
      <c r="AP456" s="250">
        <f>AO456+AP340</f>
        <v>0.1</v>
      </c>
      <c r="AQ456" s="250">
        <f>AP456+AQ340</f>
        <v>0.1</v>
      </c>
      <c r="AR456" s="250">
        <f>AQ456+AR340</f>
        <v>0.1</v>
      </c>
      <c r="AS456" s="166"/>
    </row>
    <row r="457" spans="1:45" s="167" customFormat="1" x14ac:dyDescent="0.35">
      <c r="A457" s="303" t="s">
        <v>311</v>
      </c>
      <c r="B457" s="315"/>
      <c r="C457" s="248">
        <v>4.6639999999999997</v>
      </c>
      <c r="D457" s="166">
        <f>AH457</f>
        <v>4.6639999999999997</v>
      </c>
      <c r="E457" s="248">
        <v>4.9790000000000001</v>
      </c>
      <c r="F457" s="166">
        <f>AI457</f>
        <v>4.9790000000000001</v>
      </c>
      <c r="G457" s="248">
        <v>4.9790000000000001</v>
      </c>
      <c r="H457" s="166">
        <f>AJ457</f>
        <v>4.9790000000000001</v>
      </c>
      <c r="I457" s="248">
        <v>4.9790000000000001</v>
      </c>
      <c r="J457" s="166">
        <f>AK457</f>
        <v>4.9790000000000001</v>
      </c>
      <c r="K457" s="248">
        <v>4.9790000000000001</v>
      </c>
      <c r="L457" s="166">
        <f>AL457</f>
        <v>4.9790000000000001</v>
      </c>
      <c r="M457" s="248">
        <v>4.9790000000000001</v>
      </c>
      <c r="N457" s="166">
        <f>AM457</f>
        <v>4.9790000000000001</v>
      </c>
      <c r="O457" s="249">
        <v>4.9790000000000001</v>
      </c>
      <c r="P457" s="164">
        <f>O457</f>
        <v>4.9790000000000001</v>
      </c>
      <c r="Q457" s="164">
        <f>AN457</f>
        <v>4.9790000000000001</v>
      </c>
      <c r="R457" s="164">
        <f>Q457</f>
        <v>4.9790000000000001</v>
      </c>
      <c r="S457" s="164"/>
      <c r="T457" s="164"/>
      <c r="U457" s="164"/>
      <c r="V457" s="164"/>
      <c r="W457" s="164"/>
      <c r="X457" s="164"/>
      <c r="Y457" s="164"/>
      <c r="Z457" s="250"/>
      <c r="AA457" s="250"/>
      <c r="AB457" s="250"/>
      <c r="AC457" s="250"/>
      <c r="AD457" s="251">
        <v>1.52</v>
      </c>
      <c r="AE457" s="251">
        <v>2.8650000000000002</v>
      </c>
      <c r="AF457" s="251">
        <v>3.9420000000000002</v>
      </c>
      <c r="AG457" s="251">
        <v>4.4539999999999997</v>
      </c>
      <c r="AH457" s="251">
        <v>4.6639999999999997</v>
      </c>
      <c r="AI457" s="251">
        <v>4.9790000000000001</v>
      </c>
      <c r="AJ457" s="251">
        <v>4.9790000000000001</v>
      </c>
      <c r="AK457" s="251">
        <v>4.9790000000000001</v>
      </c>
      <c r="AL457" s="251">
        <v>4.9790000000000001</v>
      </c>
      <c r="AM457" s="252">
        <v>4.9790000000000001</v>
      </c>
      <c r="AN457" s="304">
        <f>P457</f>
        <v>4.9790000000000001</v>
      </c>
      <c r="AO457" s="250">
        <f>R457</f>
        <v>4.9790000000000001</v>
      </c>
      <c r="AP457" s="250">
        <f t="shared" ref="AP457:AR458" si="377">AO457</f>
        <v>4.9790000000000001</v>
      </c>
      <c r="AQ457" s="250">
        <f t="shared" si="377"/>
        <v>4.9790000000000001</v>
      </c>
      <c r="AR457" s="250">
        <f t="shared" si="377"/>
        <v>4.9790000000000001</v>
      </c>
      <c r="AS457" s="166"/>
    </row>
    <row r="458" spans="1:45" s="167" customFormat="1" x14ac:dyDescent="0.35">
      <c r="A458" s="303" t="s">
        <v>934</v>
      </c>
      <c r="B458" s="315"/>
      <c r="C458" s="248">
        <v>-3.423</v>
      </c>
      <c r="D458" s="166">
        <f>AH458</f>
        <v>-3.214</v>
      </c>
      <c r="E458" s="248">
        <v>-3.1040000000000001</v>
      </c>
      <c r="F458" s="166">
        <f>AI458</f>
        <v>0</v>
      </c>
      <c r="G458" s="164"/>
      <c r="H458" s="166">
        <f>AJ458</f>
        <v>0</v>
      </c>
      <c r="I458" s="248">
        <v>0</v>
      </c>
      <c r="J458" s="166">
        <f>AK458</f>
        <v>0</v>
      </c>
      <c r="K458" s="248">
        <v>0</v>
      </c>
      <c r="L458" s="166">
        <f>AL458</f>
        <v>0</v>
      </c>
      <c r="M458" s="164"/>
      <c r="N458" s="166">
        <f>AM458</f>
        <v>3.5619999999999998</v>
      </c>
      <c r="O458" s="249">
        <v>3.4140000000000001</v>
      </c>
      <c r="P458" s="164">
        <f>O458</f>
        <v>3.4140000000000001</v>
      </c>
      <c r="Q458" s="164">
        <f>AN458</f>
        <v>3.4140000000000001</v>
      </c>
      <c r="R458" s="164">
        <f>Q458</f>
        <v>3.4140000000000001</v>
      </c>
      <c r="S458" s="164"/>
      <c r="T458" s="164"/>
      <c r="U458" s="164"/>
      <c r="V458" s="164"/>
      <c r="W458" s="164"/>
      <c r="X458" s="164"/>
      <c r="Y458" s="164"/>
      <c r="Z458" s="250"/>
      <c r="AA458" s="250"/>
      <c r="AB458" s="250"/>
      <c r="AC458" s="250"/>
      <c r="AD458" s="251">
        <v>-1.4370000000000001</v>
      </c>
      <c r="AE458" s="251">
        <v>-1.4690000000000001</v>
      </c>
      <c r="AF458" s="251">
        <v>-3.9940000000000002</v>
      </c>
      <c r="AG458" s="251">
        <v>-3.5310000000000001</v>
      </c>
      <c r="AH458" s="251">
        <v>-3.214</v>
      </c>
      <c r="AI458" s="250"/>
      <c r="AJ458" s="251">
        <v>0</v>
      </c>
      <c r="AK458" s="251">
        <v>0</v>
      </c>
      <c r="AL458" s="250"/>
      <c r="AM458" s="252">
        <v>3.5619999999999998</v>
      </c>
      <c r="AN458" s="304">
        <f>P458</f>
        <v>3.4140000000000001</v>
      </c>
      <c r="AO458" s="250">
        <f>R458</f>
        <v>3.4140000000000001</v>
      </c>
      <c r="AP458" s="250">
        <f t="shared" si="377"/>
        <v>3.4140000000000001</v>
      </c>
      <c r="AQ458" s="250">
        <f t="shared" si="377"/>
        <v>3.4140000000000001</v>
      </c>
      <c r="AR458" s="250">
        <f t="shared" si="377"/>
        <v>3.4140000000000001</v>
      </c>
      <c r="AS458" s="166"/>
    </row>
    <row r="459" spans="1:45" s="167" customFormat="1" x14ac:dyDescent="0.35">
      <c r="A459" s="303" t="s">
        <v>313</v>
      </c>
      <c r="B459" s="315"/>
      <c r="C459" s="248">
        <v>68.412000000000006</v>
      </c>
      <c r="D459" s="166">
        <f>AH459</f>
        <v>86.869</v>
      </c>
      <c r="E459" s="248">
        <v>68.715000000000003</v>
      </c>
      <c r="F459" s="166">
        <f>AI459</f>
        <v>95.738</v>
      </c>
      <c r="G459" s="248">
        <v>76.869</v>
      </c>
      <c r="H459" s="166">
        <f>AJ459</f>
        <v>110.31399999999999</v>
      </c>
      <c r="I459" s="248">
        <v>93.138999999999996</v>
      </c>
      <c r="J459" s="166">
        <f>AK459</f>
        <v>135.66800000000001</v>
      </c>
      <c r="K459" s="248">
        <v>135.32599999999999</v>
      </c>
      <c r="L459" s="166">
        <f>AL459</f>
        <v>174.065</v>
      </c>
      <c r="M459" s="248">
        <v>158.04499999999999</v>
      </c>
      <c r="N459" s="166">
        <f>AM459</f>
        <v>202.459</v>
      </c>
      <c r="O459" s="249">
        <v>195.202</v>
      </c>
      <c r="P459" s="164" t="e">
        <f>O459+P193-P195+P345+P322</f>
        <v>#REF!</v>
      </c>
      <c r="Q459" s="164" t="e">
        <f>AN459+Q193-Q195+Q345+Q322</f>
        <v>#REF!</v>
      </c>
      <c r="R459" s="164" t="e">
        <f>Q459+R193-R195+R345+R322</f>
        <v>#REF!</v>
      </c>
      <c r="S459" s="164"/>
      <c r="T459" s="164"/>
      <c r="U459" s="164"/>
      <c r="V459" s="164"/>
      <c r="W459" s="164"/>
      <c r="X459" s="164"/>
      <c r="Y459" s="164"/>
      <c r="Z459" s="250"/>
      <c r="AA459" s="250"/>
      <c r="AB459" s="250"/>
      <c r="AC459" s="250"/>
      <c r="AD459" s="251">
        <v>48.234999999999999</v>
      </c>
      <c r="AE459" s="251">
        <v>70.808000000000007</v>
      </c>
      <c r="AF459" s="251">
        <v>95.77</v>
      </c>
      <c r="AG459" s="251">
        <v>86.341999999999999</v>
      </c>
      <c r="AH459" s="251">
        <v>86.869</v>
      </c>
      <c r="AI459" s="251">
        <v>95.738</v>
      </c>
      <c r="AJ459" s="251">
        <v>110.31399999999999</v>
      </c>
      <c r="AK459" s="251">
        <v>135.66800000000001</v>
      </c>
      <c r="AL459" s="251">
        <v>174.065</v>
      </c>
      <c r="AM459" s="252">
        <v>202.459</v>
      </c>
      <c r="AN459" s="304" t="e">
        <f>P459</f>
        <v>#REF!</v>
      </c>
      <c r="AO459" s="250" t="e">
        <f>R459</f>
        <v>#REF!</v>
      </c>
      <c r="AP459" s="250" t="e">
        <f>AO459+AP193-AP195+AP345+AP322</f>
        <v>#REF!</v>
      </c>
      <c r="AQ459" s="250" t="e">
        <f>AP459+AQ193-AQ195+AQ345+AQ322</f>
        <v>#REF!</v>
      </c>
      <c r="AR459" s="250" t="e">
        <f>AQ459+AR193-AR195+AR345+AR322</f>
        <v>#REF!</v>
      </c>
      <c r="AS459" s="166"/>
    </row>
    <row r="460" spans="1:45" s="262" customFormat="1" x14ac:dyDescent="0.35">
      <c r="A460" s="253" t="s">
        <v>935</v>
      </c>
      <c r="B460" s="355"/>
      <c r="C460" s="256">
        <f t="shared" ref="C460:R460" si="378">SUM(C456:C459)</f>
        <v>69.75200000000001</v>
      </c>
      <c r="D460" s="256">
        <f t="shared" si="378"/>
        <v>88.418000000000006</v>
      </c>
      <c r="E460" s="256">
        <f t="shared" si="378"/>
        <v>70.689000000000007</v>
      </c>
      <c r="F460" s="256">
        <f t="shared" si="378"/>
        <v>100.816</v>
      </c>
      <c r="G460" s="256">
        <f t="shared" si="378"/>
        <v>81.947000000000003</v>
      </c>
      <c r="H460" s="256">
        <f t="shared" si="378"/>
        <v>115.392</v>
      </c>
      <c r="I460" s="256">
        <f t="shared" si="378"/>
        <v>98.216999999999999</v>
      </c>
      <c r="J460" s="256">
        <f t="shared" si="378"/>
        <v>140.74700000000001</v>
      </c>
      <c r="K460" s="256">
        <f t="shared" si="378"/>
        <v>140.405</v>
      </c>
      <c r="L460" s="256">
        <f t="shared" si="378"/>
        <v>179.14400000000001</v>
      </c>
      <c r="M460" s="256">
        <f t="shared" si="378"/>
        <v>163.124</v>
      </c>
      <c r="N460" s="256">
        <f t="shared" si="378"/>
        <v>211.1</v>
      </c>
      <c r="O460" s="257">
        <f t="shared" si="378"/>
        <v>203.69499999999999</v>
      </c>
      <c r="P460" s="255" t="e">
        <f t="shared" si="378"/>
        <v>#REF!</v>
      </c>
      <c r="Q460" s="255" t="e">
        <f t="shared" si="378"/>
        <v>#REF!</v>
      </c>
      <c r="R460" s="255" t="e">
        <f t="shared" si="378"/>
        <v>#REF!</v>
      </c>
      <c r="S460" s="255"/>
      <c r="T460" s="255"/>
      <c r="U460" s="255"/>
      <c r="V460" s="255"/>
      <c r="W460" s="255"/>
      <c r="X460" s="255"/>
      <c r="Y460" s="255"/>
      <c r="Z460" s="258"/>
      <c r="AA460" s="258"/>
      <c r="AB460" s="258"/>
      <c r="AC460" s="258"/>
      <c r="AD460" s="258">
        <f t="shared" ref="AD460:AR460" si="379">SUM(AD456:AD459)</f>
        <v>48.383000000000003</v>
      </c>
      <c r="AE460" s="258">
        <f t="shared" si="379"/>
        <v>72.299000000000007</v>
      </c>
      <c r="AF460" s="259">
        <f t="shared" si="379"/>
        <v>95.816000000000003</v>
      </c>
      <c r="AG460" s="259">
        <f t="shared" si="379"/>
        <v>87.364000000000004</v>
      </c>
      <c r="AH460" s="259">
        <f t="shared" si="379"/>
        <v>88.418000000000006</v>
      </c>
      <c r="AI460" s="259">
        <f t="shared" si="379"/>
        <v>100.816</v>
      </c>
      <c r="AJ460" s="259">
        <f t="shared" si="379"/>
        <v>115.392</v>
      </c>
      <c r="AK460" s="259">
        <f t="shared" si="379"/>
        <v>140.74700000000001</v>
      </c>
      <c r="AL460" s="259">
        <f t="shared" si="379"/>
        <v>179.14400000000001</v>
      </c>
      <c r="AM460" s="260">
        <f t="shared" si="379"/>
        <v>211.1</v>
      </c>
      <c r="AN460" s="259" t="e">
        <f t="shared" si="379"/>
        <v>#REF!</v>
      </c>
      <c r="AO460" s="258" t="e">
        <f t="shared" si="379"/>
        <v>#REF!</v>
      </c>
      <c r="AP460" s="258" t="e">
        <f t="shared" si="379"/>
        <v>#REF!</v>
      </c>
      <c r="AQ460" s="258" t="e">
        <f t="shared" si="379"/>
        <v>#REF!</v>
      </c>
      <c r="AR460" s="258" t="e">
        <f t="shared" si="379"/>
        <v>#REF!</v>
      </c>
      <c r="AS460" s="261"/>
    </row>
    <row r="461" spans="1:45" s="167" customFormat="1" x14ac:dyDescent="0.35">
      <c r="A461" s="303" t="s">
        <v>936</v>
      </c>
      <c r="B461" s="315"/>
      <c r="C461" s="164"/>
      <c r="D461" s="164"/>
      <c r="E461" s="164"/>
      <c r="F461" s="164"/>
      <c r="G461" s="164"/>
      <c r="H461" s="164"/>
      <c r="I461" s="164"/>
      <c r="J461" s="164"/>
      <c r="K461" s="164"/>
      <c r="L461" s="164"/>
      <c r="M461" s="164"/>
      <c r="N461" s="164"/>
      <c r="O461" s="165"/>
      <c r="P461" s="164">
        <f>O461+P195</f>
        <v>0</v>
      </c>
      <c r="Q461" s="164">
        <f>AN461+Q195</f>
        <v>0</v>
      </c>
      <c r="R461" s="164">
        <f>Q461+R195</f>
        <v>0</v>
      </c>
      <c r="S461" s="164"/>
      <c r="T461" s="164"/>
      <c r="U461" s="164"/>
      <c r="V461" s="164"/>
      <c r="W461" s="164"/>
      <c r="X461" s="164"/>
      <c r="Y461" s="164"/>
      <c r="Z461" s="250"/>
      <c r="AA461" s="250"/>
      <c r="AB461" s="250"/>
      <c r="AC461" s="250"/>
      <c r="AD461" s="250"/>
      <c r="AE461" s="250"/>
      <c r="AF461" s="250"/>
      <c r="AG461" s="250"/>
      <c r="AH461" s="250"/>
      <c r="AI461" s="250"/>
      <c r="AJ461" s="250"/>
      <c r="AK461" s="250"/>
      <c r="AL461" s="250"/>
      <c r="AM461" s="264"/>
      <c r="AN461" s="304">
        <f>P461</f>
        <v>0</v>
      </c>
      <c r="AO461" s="250">
        <f>R461</f>
        <v>0</v>
      </c>
      <c r="AP461" s="250">
        <f>AO461+AP195</f>
        <v>0</v>
      </c>
      <c r="AQ461" s="250">
        <f>AP461+AQ195</f>
        <v>0</v>
      </c>
      <c r="AR461" s="250">
        <f>AQ461+AR195</f>
        <v>0</v>
      </c>
      <c r="AS461" s="166"/>
    </row>
    <row r="462" spans="1:45" s="262" customFormat="1" x14ac:dyDescent="0.35">
      <c r="A462" s="393" t="s">
        <v>937</v>
      </c>
      <c r="B462" s="368"/>
      <c r="C462" s="261">
        <f t="shared" ref="C462:R462" si="380">C460+C453+C461</f>
        <v>211.42100000000002</v>
      </c>
      <c r="D462" s="261">
        <f t="shared" si="380"/>
        <v>249.102</v>
      </c>
      <c r="E462" s="261">
        <f t="shared" si="380"/>
        <v>252.28899999999999</v>
      </c>
      <c r="F462" s="261">
        <f t="shared" si="380"/>
        <v>294.23500000000001</v>
      </c>
      <c r="G462" s="261">
        <f t="shared" si="380"/>
        <v>335.97699999999998</v>
      </c>
      <c r="H462" s="261">
        <f t="shared" si="380"/>
        <v>384.14</v>
      </c>
      <c r="I462" s="261">
        <f t="shared" si="380"/>
        <v>368.35600000000005</v>
      </c>
      <c r="J462" s="261">
        <f t="shared" si="380"/>
        <v>430.94599999999997</v>
      </c>
      <c r="K462" s="261">
        <f t="shared" si="380"/>
        <v>394.68600000000004</v>
      </c>
      <c r="L462" s="261">
        <f t="shared" si="380"/>
        <v>497.35900000000004</v>
      </c>
      <c r="M462" s="261">
        <f t="shared" si="380"/>
        <v>551.86699999999996</v>
      </c>
      <c r="N462" s="261">
        <f t="shared" si="380"/>
        <v>672.05799999999999</v>
      </c>
      <c r="O462" s="421">
        <f t="shared" si="380"/>
        <v>678.69099999999992</v>
      </c>
      <c r="P462" s="307" t="e">
        <f t="shared" si="380"/>
        <v>#REF!</v>
      </c>
      <c r="Q462" s="307" t="e">
        <f t="shared" si="380"/>
        <v>#REF!</v>
      </c>
      <c r="R462" s="307" t="e">
        <f t="shared" si="380"/>
        <v>#REF!</v>
      </c>
      <c r="S462" s="307"/>
      <c r="T462" s="307"/>
      <c r="U462" s="307"/>
      <c r="V462" s="307"/>
      <c r="W462" s="307"/>
      <c r="X462" s="307"/>
      <c r="Y462" s="307"/>
      <c r="Z462" s="309"/>
      <c r="AA462" s="309"/>
      <c r="AB462" s="309"/>
      <c r="AC462" s="309"/>
      <c r="AD462" s="309">
        <f t="shared" ref="AD462:AR462" si="381">AD460+AD453+AD461</f>
        <v>107.215</v>
      </c>
      <c r="AE462" s="309">
        <f t="shared" si="381"/>
        <v>150.06100000000001</v>
      </c>
      <c r="AF462" s="420">
        <f t="shared" si="381"/>
        <v>207.37900000000002</v>
      </c>
      <c r="AG462" s="420">
        <f t="shared" si="381"/>
        <v>207.24299999999999</v>
      </c>
      <c r="AH462" s="420">
        <f t="shared" si="381"/>
        <v>249.102</v>
      </c>
      <c r="AI462" s="420">
        <f t="shared" si="381"/>
        <v>294.23500000000001</v>
      </c>
      <c r="AJ462" s="420">
        <f t="shared" si="381"/>
        <v>384.14</v>
      </c>
      <c r="AK462" s="420">
        <f t="shared" si="381"/>
        <v>430.94599999999997</v>
      </c>
      <c r="AL462" s="420">
        <f t="shared" si="381"/>
        <v>497.35900000000004</v>
      </c>
      <c r="AM462" s="422">
        <f t="shared" si="381"/>
        <v>672.05799999999999</v>
      </c>
      <c r="AN462" s="420" t="e">
        <f t="shared" si="381"/>
        <v>#REF!</v>
      </c>
      <c r="AO462" s="309" t="e">
        <f t="shared" si="381"/>
        <v>#REF!</v>
      </c>
      <c r="AP462" s="309" t="e">
        <f t="shared" si="381"/>
        <v>#REF!</v>
      </c>
      <c r="AQ462" s="309" t="e">
        <f t="shared" si="381"/>
        <v>#REF!</v>
      </c>
      <c r="AR462" s="309" t="e">
        <f t="shared" si="381"/>
        <v>#REF!</v>
      </c>
      <c r="AS462" s="261"/>
    </row>
    <row r="463" spans="1:45" s="167" customFormat="1" x14ac:dyDescent="0.35">
      <c r="A463" s="164"/>
      <c r="B463" s="164"/>
      <c r="C463" s="164"/>
      <c r="D463" s="164"/>
      <c r="E463" s="164"/>
      <c r="F463" s="164"/>
      <c r="G463" s="164"/>
      <c r="H463" s="164"/>
      <c r="I463" s="164"/>
      <c r="J463" s="164"/>
      <c r="K463" s="164"/>
      <c r="L463" s="164"/>
      <c r="M463" s="164"/>
      <c r="N463" s="164"/>
      <c r="O463" s="165"/>
      <c r="P463" s="164"/>
      <c r="Q463" s="164"/>
      <c r="R463" s="164"/>
      <c r="S463" s="164"/>
      <c r="T463" s="164"/>
      <c r="U463" s="164"/>
      <c r="V463" s="164"/>
      <c r="W463" s="164"/>
      <c r="X463" s="164"/>
      <c r="Y463" s="164"/>
      <c r="Z463" s="164"/>
      <c r="AA463" s="164"/>
      <c r="AB463" s="164"/>
      <c r="AC463" s="164"/>
      <c r="AD463" s="164"/>
      <c r="AE463" s="164"/>
      <c r="AF463" s="164"/>
      <c r="AG463" s="164"/>
      <c r="AH463" s="164"/>
      <c r="AI463" s="164"/>
      <c r="AJ463" s="164"/>
      <c r="AK463" s="164"/>
      <c r="AL463" s="164"/>
      <c r="AM463" s="165"/>
      <c r="AN463" s="164"/>
      <c r="AO463" s="164"/>
      <c r="AP463" s="164"/>
      <c r="AQ463" s="164"/>
      <c r="AR463" s="164"/>
      <c r="AS463" s="166"/>
    </row>
    <row r="464" spans="1:45" s="167" customFormat="1" x14ac:dyDescent="0.35">
      <c r="A464" s="417" t="s">
        <v>938</v>
      </c>
      <c r="B464" s="417"/>
      <c r="C464" s="418">
        <f t="shared" ref="C464:R464" si="382">ROUND(C436-C462,6)</f>
        <v>0</v>
      </c>
      <c r="D464" s="418">
        <f t="shared" si="382"/>
        <v>0</v>
      </c>
      <c r="E464" s="418">
        <f t="shared" si="382"/>
        <v>0</v>
      </c>
      <c r="F464" s="418">
        <f t="shared" si="382"/>
        <v>0</v>
      </c>
      <c r="G464" s="418">
        <f t="shared" si="382"/>
        <v>0</v>
      </c>
      <c r="H464" s="418">
        <f t="shared" si="382"/>
        <v>0</v>
      </c>
      <c r="I464" s="418">
        <f t="shared" si="382"/>
        <v>0</v>
      </c>
      <c r="J464" s="418">
        <f t="shared" si="382"/>
        <v>0</v>
      </c>
      <c r="K464" s="418">
        <f t="shared" si="382"/>
        <v>0</v>
      </c>
      <c r="L464" s="418">
        <f t="shared" si="382"/>
        <v>0</v>
      </c>
      <c r="M464" s="418">
        <f t="shared" si="382"/>
        <v>0</v>
      </c>
      <c r="N464" s="418">
        <f t="shared" si="382"/>
        <v>0</v>
      </c>
      <c r="O464" s="419">
        <f t="shared" si="382"/>
        <v>0</v>
      </c>
      <c r="P464" s="418" t="e">
        <f t="shared" si="382"/>
        <v>#REF!</v>
      </c>
      <c r="Q464" s="418" t="e">
        <f t="shared" si="382"/>
        <v>#REF!</v>
      </c>
      <c r="R464" s="418" t="e">
        <f t="shared" si="382"/>
        <v>#REF!</v>
      </c>
      <c r="S464" s="418"/>
      <c r="T464" s="418"/>
      <c r="U464" s="418"/>
      <c r="V464" s="418"/>
      <c r="W464" s="418"/>
      <c r="X464" s="418"/>
      <c r="Y464" s="418"/>
      <c r="Z464" s="418"/>
      <c r="AA464" s="418"/>
      <c r="AB464" s="418"/>
      <c r="AC464" s="418"/>
      <c r="AD464" s="418">
        <f t="shared" ref="AD464:AR464" si="383">ROUND(AD436-AD462,6)</f>
        <v>0</v>
      </c>
      <c r="AE464" s="418">
        <f t="shared" si="383"/>
        <v>0</v>
      </c>
      <c r="AF464" s="418">
        <f t="shared" si="383"/>
        <v>0</v>
      </c>
      <c r="AG464" s="418">
        <f t="shared" si="383"/>
        <v>0</v>
      </c>
      <c r="AH464" s="418">
        <f t="shared" si="383"/>
        <v>0</v>
      </c>
      <c r="AI464" s="418">
        <f t="shared" si="383"/>
        <v>0</v>
      </c>
      <c r="AJ464" s="418">
        <f t="shared" si="383"/>
        <v>0</v>
      </c>
      <c r="AK464" s="418">
        <f t="shared" si="383"/>
        <v>0</v>
      </c>
      <c r="AL464" s="418">
        <f t="shared" si="383"/>
        <v>0</v>
      </c>
      <c r="AM464" s="419">
        <f t="shared" si="383"/>
        <v>0</v>
      </c>
      <c r="AN464" s="418" t="e">
        <f t="shared" si="383"/>
        <v>#REF!</v>
      </c>
      <c r="AO464" s="418" t="e">
        <f t="shared" si="383"/>
        <v>#REF!</v>
      </c>
      <c r="AP464" s="418" t="e">
        <f t="shared" si="383"/>
        <v>#REF!</v>
      </c>
      <c r="AQ464" s="418" t="e">
        <f t="shared" si="383"/>
        <v>#REF!</v>
      </c>
      <c r="AR464" s="418" t="e">
        <f t="shared" si="383"/>
        <v>#REF!</v>
      </c>
      <c r="AS464" s="166"/>
    </row>
    <row r="465" spans="1:45" s="167" customFormat="1" x14ac:dyDescent="0.35">
      <c r="A465" s="164"/>
      <c r="B465" s="164"/>
      <c r="C465" s="164"/>
      <c r="D465" s="164"/>
      <c r="E465" s="164"/>
      <c r="F465" s="164"/>
      <c r="G465" s="164"/>
      <c r="H465" s="164"/>
      <c r="I465" s="164"/>
      <c r="J465" s="164"/>
      <c r="K465" s="164"/>
      <c r="L465" s="164"/>
      <c r="M465" s="164"/>
      <c r="N465" s="164"/>
      <c r="O465" s="165"/>
      <c r="P465" s="164"/>
      <c r="Q465" s="164"/>
      <c r="R465" s="164"/>
      <c r="S465" s="164"/>
      <c r="T465" s="164"/>
      <c r="U465" s="164"/>
      <c r="V465" s="164"/>
      <c r="W465" s="164"/>
      <c r="X465" s="164"/>
      <c r="Y465" s="164"/>
      <c r="Z465" s="164"/>
      <c r="AA465" s="164"/>
      <c r="AB465" s="164"/>
      <c r="AC465" s="164"/>
      <c r="AD465" s="164"/>
      <c r="AE465" s="164"/>
      <c r="AF465" s="164"/>
      <c r="AG465" s="164"/>
      <c r="AH465" s="164"/>
      <c r="AI465" s="164"/>
      <c r="AJ465" s="164"/>
      <c r="AK465" s="164"/>
      <c r="AL465" s="164"/>
      <c r="AM465" s="165"/>
      <c r="AN465" s="164"/>
      <c r="AO465" s="164"/>
      <c r="AP465" s="164"/>
      <c r="AQ465" s="164"/>
      <c r="AR465" s="164"/>
      <c r="AS465" s="166"/>
    </row>
    <row r="466" spans="1:45" s="167" customFormat="1" x14ac:dyDescent="0.35">
      <c r="A466" s="679" t="s">
        <v>939</v>
      </c>
      <c r="B466" s="679"/>
      <c r="C466" s="679"/>
      <c r="D466" s="679"/>
      <c r="E466" s="679"/>
      <c r="F466" s="679"/>
      <c r="G466" s="679"/>
      <c r="H466" s="679"/>
      <c r="I466" s="679"/>
      <c r="J466" s="679"/>
      <c r="K466" s="679"/>
      <c r="L466" s="679"/>
      <c r="M466" s="679"/>
      <c r="N466" s="679"/>
      <c r="O466" s="680"/>
      <c r="P466" s="679"/>
      <c r="Q466" s="679"/>
      <c r="R466" s="679"/>
      <c r="S466" s="679"/>
      <c r="T466" s="679"/>
      <c r="U466" s="679"/>
      <c r="V466" s="679"/>
      <c r="W466" s="679"/>
      <c r="X466" s="679"/>
      <c r="Y466" s="679"/>
      <c r="Z466" s="679"/>
      <c r="AA466" s="679"/>
      <c r="AB466" s="679"/>
      <c r="AC466" s="679"/>
      <c r="AD466" s="679"/>
      <c r="AE466" s="679"/>
      <c r="AF466" s="679"/>
      <c r="AG466" s="679"/>
      <c r="AH466" s="679"/>
      <c r="AI466" s="679"/>
      <c r="AJ466" s="679"/>
      <c r="AK466" s="679"/>
      <c r="AL466" s="679"/>
      <c r="AM466" s="680"/>
      <c r="AN466" s="679"/>
      <c r="AO466" s="679"/>
      <c r="AP466" s="679"/>
      <c r="AQ466" s="679"/>
      <c r="AR466" s="679"/>
      <c r="AS466" s="166"/>
    </row>
    <row r="467" spans="1:45" s="167" customFormat="1" hidden="1" outlineLevel="1" x14ac:dyDescent="0.35">
      <c r="A467" s="166" t="s">
        <v>940</v>
      </c>
      <c r="B467" s="524"/>
      <c r="C467" s="418">
        <f t="shared" ref="C467:R467" si="384">IF(ISBLANK(INDEX(MO_IS_FirstRow,0,COLUMN())),0,ROUND(C315-C178,6))</f>
        <v>0</v>
      </c>
      <c r="D467" s="418">
        <f t="shared" si="384"/>
        <v>0</v>
      </c>
      <c r="E467" s="418">
        <f t="shared" si="384"/>
        <v>0</v>
      </c>
      <c r="F467" s="418">
        <f t="shared" si="384"/>
        <v>0</v>
      </c>
      <c r="G467" s="418">
        <f t="shared" si="384"/>
        <v>0</v>
      </c>
      <c r="H467" s="418">
        <f t="shared" si="384"/>
        <v>0</v>
      </c>
      <c r="I467" s="418">
        <f t="shared" si="384"/>
        <v>0</v>
      </c>
      <c r="J467" s="418">
        <f t="shared" si="384"/>
        <v>0</v>
      </c>
      <c r="K467" s="418">
        <f t="shared" si="384"/>
        <v>0</v>
      </c>
      <c r="L467" s="418">
        <f t="shared" si="384"/>
        <v>0</v>
      </c>
      <c r="M467" s="418">
        <f t="shared" si="384"/>
        <v>0</v>
      </c>
      <c r="N467" s="418">
        <f t="shared" si="384"/>
        <v>0</v>
      </c>
      <c r="O467" s="419">
        <f t="shared" si="384"/>
        <v>0</v>
      </c>
      <c r="P467" s="418">
        <f t="shared" si="384"/>
        <v>0</v>
      </c>
      <c r="Q467" s="418">
        <f t="shared" si="384"/>
        <v>0</v>
      </c>
      <c r="R467" s="418">
        <f t="shared" si="384"/>
        <v>0</v>
      </c>
      <c r="S467" s="418"/>
      <c r="T467" s="418"/>
      <c r="U467" s="418"/>
      <c r="V467" s="418"/>
      <c r="W467" s="418"/>
      <c r="X467" s="418"/>
      <c r="Y467" s="418"/>
      <c r="Z467" s="418">
        <f t="shared" ref="Z467:AR467" si="385">IF(ISBLANK(INDEX(MO_IS_FirstRow,0,COLUMN())),0,ROUND(Z315-Z178,6))</f>
        <v>0</v>
      </c>
      <c r="AA467" s="418">
        <f t="shared" si="385"/>
        <v>0</v>
      </c>
      <c r="AB467" s="418">
        <f t="shared" si="385"/>
        <v>0</v>
      </c>
      <c r="AC467" s="418">
        <f t="shared" si="385"/>
        <v>0</v>
      </c>
      <c r="AD467" s="418">
        <f t="shared" si="385"/>
        <v>0</v>
      </c>
      <c r="AE467" s="418">
        <f t="shared" si="385"/>
        <v>0</v>
      </c>
      <c r="AF467" s="418">
        <f t="shared" si="385"/>
        <v>0</v>
      </c>
      <c r="AG467" s="418">
        <f t="shared" si="385"/>
        <v>0</v>
      </c>
      <c r="AH467" s="418">
        <f t="shared" si="385"/>
        <v>0</v>
      </c>
      <c r="AI467" s="418">
        <f t="shared" si="385"/>
        <v>0</v>
      </c>
      <c r="AJ467" s="418">
        <f t="shared" si="385"/>
        <v>0</v>
      </c>
      <c r="AK467" s="418">
        <f t="shared" si="385"/>
        <v>0</v>
      </c>
      <c r="AL467" s="418">
        <f t="shared" si="385"/>
        <v>0</v>
      </c>
      <c r="AM467" s="419">
        <f t="shared" si="385"/>
        <v>0</v>
      </c>
      <c r="AN467" s="418">
        <f t="shared" si="385"/>
        <v>0</v>
      </c>
      <c r="AO467" s="418">
        <f t="shared" si="385"/>
        <v>0</v>
      </c>
      <c r="AP467" s="418">
        <f t="shared" si="385"/>
        <v>0</v>
      </c>
      <c r="AQ467" s="418">
        <f t="shared" si="385"/>
        <v>0</v>
      </c>
      <c r="AR467" s="418">
        <f t="shared" si="385"/>
        <v>0</v>
      </c>
      <c r="AS467" s="166"/>
    </row>
    <row r="468" spans="1:45" s="167" customFormat="1" hidden="1" outlineLevel="1" x14ac:dyDescent="0.35">
      <c r="A468" s="166" t="s">
        <v>941</v>
      </c>
      <c r="B468" s="524"/>
      <c r="C468" s="418">
        <f t="shared" ref="C468:R468" si="386">IF(ISBLANK(INDEX(MO_IS_FirstRow,0,COLUMN())),0,ROUND(C154-C193,6))</f>
        <v>0</v>
      </c>
      <c r="D468" s="418">
        <f t="shared" si="386"/>
        <v>0</v>
      </c>
      <c r="E468" s="418">
        <f t="shared" si="386"/>
        <v>0</v>
      </c>
      <c r="F468" s="418">
        <f t="shared" si="386"/>
        <v>0</v>
      </c>
      <c r="G468" s="418">
        <f t="shared" si="386"/>
        <v>0</v>
      </c>
      <c r="H468" s="418">
        <f t="shared" si="386"/>
        <v>0</v>
      </c>
      <c r="I468" s="418">
        <f t="shared" si="386"/>
        <v>0</v>
      </c>
      <c r="J468" s="418">
        <f t="shared" si="386"/>
        <v>0</v>
      </c>
      <c r="K468" s="418">
        <f t="shared" si="386"/>
        <v>0</v>
      </c>
      <c r="L468" s="418">
        <f t="shared" si="386"/>
        <v>0</v>
      </c>
      <c r="M468" s="418">
        <f t="shared" si="386"/>
        <v>0</v>
      </c>
      <c r="N468" s="418">
        <f t="shared" si="386"/>
        <v>0</v>
      </c>
      <c r="O468" s="419">
        <f t="shared" si="386"/>
        <v>0</v>
      </c>
      <c r="P468" s="418">
        <f t="shared" si="386"/>
        <v>0</v>
      </c>
      <c r="Q468" s="418">
        <f t="shared" si="386"/>
        <v>0</v>
      </c>
      <c r="R468" s="418">
        <f t="shared" si="386"/>
        <v>0</v>
      </c>
      <c r="S468" s="418"/>
      <c r="T468" s="418"/>
      <c r="U468" s="418"/>
      <c r="V468" s="418"/>
      <c r="W468" s="418"/>
      <c r="X468" s="418"/>
      <c r="Y468" s="418"/>
      <c r="Z468" s="418">
        <f t="shared" ref="Z468:AR468" si="387">IF(ISBLANK(INDEX(MO_IS_FirstRow,0,COLUMN())),0,ROUND(Z154-Z193,6))</f>
        <v>0</v>
      </c>
      <c r="AA468" s="418">
        <f t="shared" si="387"/>
        <v>0</v>
      </c>
      <c r="AB468" s="418">
        <f t="shared" si="387"/>
        <v>0</v>
      </c>
      <c r="AC468" s="418">
        <f t="shared" si="387"/>
        <v>0</v>
      </c>
      <c r="AD468" s="418">
        <f t="shared" si="387"/>
        <v>0</v>
      </c>
      <c r="AE468" s="418">
        <f t="shared" si="387"/>
        <v>0</v>
      </c>
      <c r="AF468" s="418">
        <f t="shared" si="387"/>
        <v>0</v>
      </c>
      <c r="AG468" s="418">
        <f t="shared" si="387"/>
        <v>0</v>
      </c>
      <c r="AH468" s="418">
        <f t="shared" si="387"/>
        <v>0</v>
      </c>
      <c r="AI468" s="418">
        <f t="shared" si="387"/>
        <v>0</v>
      </c>
      <c r="AJ468" s="418">
        <f t="shared" si="387"/>
        <v>0</v>
      </c>
      <c r="AK468" s="418">
        <f t="shared" si="387"/>
        <v>0</v>
      </c>
      <c r="AL468" s="418">
        <f t="shared" si="387"/>
        <v>0</v>
      </c>
      <c r="AM468" s="419">
        <f t="shared" si="387"/>
        <v>0</v>
      </c>
      <c r="AN468" s="418">
        <f t="shared" si="387"/>
        <v>0</v>
      </c>
      <c r="AO468" s="418">
        <f t="shared" si="387"/>
        <v>0</v>
      </c>
      <c r="AP468" s="418">
        <f t="shared" si="387"/>
        <v>0</v>
      </c>
      <c r="AQ468" s="418">
        <f t="shared" si="387"/>
        <v>0</v>
      </c>
      <c r="AR468" s="418">
        <f t="shared" si="387"/>
        <v>0</v>
      </c>
      <c r="AS468" s="166"/>
    </row>
    <row r="469" spans="1:45" s="167" customFormat="1" hidden="1" outlineLevel="1" x14ac:dyDescent="0.35">
      <c r="A469" s="166" t="s">
        <v>942</v>
      </c>
      <c r="B469" s="524"/>
      <c r="C469" s="418">
        <f t="shared" ref="C469:R469" si="388">IF(AND(ISBLANK(C24)),0,ROUND(C171-C24,6))</f>
        <v>0</v>
      </c>
      <c r="D469" s="418">
        <f t="shared" si="388"/>
        <v>0</v>
      </c>
      <c r="E469" s="418">
        <f t="shared" si="388"/>
        <v>0</v>
      </c>
      <c r="F469" s="418">
        <f t="shared" si="388"/>
        <v>0</v>
      </c>
      <c r="G469" s="418">
        <f t="shared" si="388"/>
        <v>0</v>
      </c>
      <c r="H469" s="418">
        <f t="shared" si="388"/>
        <v>0</v>
      </c>
      <c r="I469" s="418">
        <f t="shared" si="388"/>
        <v>0</v>
      </c>
      <c r="J469" s="418">
        <f t="shared" si="388"/>
        <v>0</v>
      </c>
      <c r="K469" s="418">
        <f t="shared" si="388"/>
        <v>0</v>
      </c>
      <c r="L469" s="418">
        <f t="shared" si="388"/>
        <v>0</v>
      </c>
      <c r="M469" s="418">
        <f t="shared" si="388"/>
        <v>0</v>
      </c>
      <c r="N469" s="418">
        <f t="shared" si="388"/>
        <v>0</v>
      </c>
      <c r="O469" s="419">
        <f t="shared" si="388"/>
        <v>0</v>
      </c>
      <c r="P469" s="418">
        <f t="shared" si="388"/>
        <v>0</v>
      </c>
      <c r="Q469" s="418">
        <f t="shared" si="388"/>
        <v>0</v>
      </c>
      <c r="R469" s="418">
        <f t="shared" si="388"/>
        <v>0</v>
      </c>
      <c r="S469" s="418"/>
      <c r="T469" s="418"/>
      <c r="U469" s="418"/>
      <c r="V469" s="418"/>
      <c r="W469" s="418"/>
      <c r="X469" s="418"/>
      <c r="Y469" s="418"/>
      <c r="Z469" s="418">
        <f t="shared" ref="Z469:AR469" si="389">IF(AND(ISBLANK(Z24)),0,ROUND(Z171-Z24,6))</f>
        <v>0</v>
      </c>
      <c r="AA469" s="418">
        <f t="shared" si="389"/>
        <v>0</v>
      </c>
      <c r="AB469" s="418">
        <f t="shared" si="389"/>
        <v>0</v>
      </c>
      <c r="AC469" s="418">
        <f t="shared" si="389"/>
        <v>0</v>
      </c>
      <c r="AD469" s="418">
        <f t="shared" si="389"/>
        <v>0</v>
      </c>
      <c r="AE469" s="418">
        <f t="shared" si="389"/>
        <v>0</v>
      </c>
      <c r="AF469" s="418">
        <f t="shared" si="389"/>
        <v>0</v>
      </c>
      <c r="AG469" s="418">
        <f t="shared" si="389"/>
        <v>0</v>
      </c>
      <c r="AH469" s="418">
        <f t="shared" si="389"/>
        <v>0</v>
      </c>
      <c r="AI469" s="418">
        <f t="shared" si="389"/>
        <v>0</v>
      </c>
      <c r="AJ469" s="418">
        <f t="shared" si="389"/>
        <v>0</v>
      </c>
      <c r="AK469" s="418">
        <f t="shared" si="389"/>
        <v>0</v>
      </c>
      <c r="AL469" s="418">
        <f t="shared" si="389"/>
        <v>0</v>
      </c>
      <c r="AM469" s="419">
        <f t="shared" si="389"/>
        <v>0</v>
      </c>
      <c r="AN469" s="418">
        <f t="shared" si="389"/>
        <v>0</v>
      </c>
      <c r="AO469" s="418">
        <f t="shared" si="389"/>
        <v>0</v>
      </c>
      <c r="AP469" s="418">
        <f t="shared" si="389"/>
        <v>0</v>
      </c>
      <c r="AQ469" s="418">
        <f t="shared" si="389"/>
        <v>0</v>
      </c>
      <c r="AR469" s="418">
        <f t="shared" si="389"/>
        <v>0</v>
      </c>
      <c r="AS469" s="166"/>
    </row>
    <row r="470" spans="1:45" s="167" customFormat="1" hidden="1" outlineLevel="1" x14ac:dyDescent="0.35">
      <c r="A470" s="166" t="s">
        <v>943</v>
      </c>
      <c r="B470" s="524"/>
      <c r="C470" s="418"/>
      <c r="D470" s="418"/>
      <c r="E470" s="418">
        <f t="shared" ref="E470:O470" si="390">IF(ISBLANK(INDEX(MO_IS_FirstRow,0,COLUMN())),0,IF(OR(E352=C352,E352=D352),"CHECK",0))</f>
        <v>0</v>
      </c>
      <c r="F470" s="418">
        <f t="shared" si="390"/>
        <v>0</v>
      </c>
      <c r="G470" s="418">
        <f t="shared" si="390"/>
        <v>0</v>
      </c>
      <c r="H470" s="418">
        <f t="shared" si="390"/>
        <v>0</v>
      </c>
      <c r="I470" s="418">
        <f t="shared" si="390"/>
        <v>0</v>
      </c>
      <c r="J470" s="418">
        <f t="shared" si="390"/>
        <v>0</v>
      </c>
      <c r="K470" s="418">
        <f t="shared" si="390"/>
        <v>0</v>
      </c>
      <c r="L470" s="418">
        <f t="shared" si="390"/>
        <v>0</v>
      </c>
      <c r="M470" s="418">
        <f t="shared" si="390"/>
        <v>0</v>
      </c>
      <c r="N470" s="418">
        <f t="shared" si="390"/>
        <v>0</v>
      </c>
      <c r="O470" s="419">
        <f t="shared" si="390"/>
        <v>0</v>
      </c>
      <c r="P470" s="418"/>
      <c r="Q470" s="418"/>
      <c r="R470" s="418"/>
      <c r="S470" s="418"/>
      <c r="T470" s="418"/>
      <c r="U470" s="418"/>
      <c r="V470" s="418"/>
      <c r="W470" s="418"/>
      <c r="X470" s="418"/>
      <c r="Y470" s="418"/>
      <c r="Z470" s="418">
        <f>IF(ISBLANK(INDEX(MO_IS_FirstRow,0,COLUMN())),0,IF(OR(Z352=B352,Z352=AA352),"CHECK",0))</f>
        <v>0</v>
      </c>
      <c r="AA470" s="418">
        <f t="shared" ref="AA470:AF470" si="391">IF(ISBLANK(INDEX(MO_IS_FirstRow,0,COLUMN())),0,IF(OR(AA352=Z352,AA352=AB352),"CHECK",0))</f>
        <v>0</v>
      </c>
      <c r="AB470" s="418">
        <f t="shared" si="391"/>
        <v>0</v>
      </c>
      <c r="AC470" s="418">
        <f t="shared" si="391"/>
        <v>0</v>
      </c>
      <c r="AD470" s="418">
        <f t="shared" si="391"/>
        <v>0</v>
      </c>
      <c r="AE470" s="418">
        <f t="shared" si="391"/>
        <v>0</v>
      </c>
      <c r="AF470" s="418">
        <f t="shared" si="391"/>
        <v>0</v>
      </c>
      <c r="AG470" s="418">
        <f t="shared" ref="AG470:AM470" si="392">IF(ISBLANK(INDEX(MO_IS_FirstRow,0,COLUMN())),0,IF(AG352=AF352,"CHECK",0))</f>
        <v>0</v>
      </c>
      <c r="AH470" s="418">
        <f t="shared" si="392"/>
        <v>0</v>
      </c>
      <c r="AI470" s="418">
        <f t="shared" si="392"/>
        <v>0</v>
      </c>
      <c r="AJ470" s="418">
        <f t="shared" si="392"/>
        <v>0</v>
      </c>
      <c r="AK470" s="418">
        <f t="shared" si="392"/>
        <v>0</v>
      </c>
      <c r="AL470" s="418">
        <f t="shared" si="392"/>
        <v>0</v>
      </c>
      <c r="AM470" s="419">
        <f t="shared" si="392"/>
        <v>0</v>
      </c>
      <c r="AN470" s="418"/>
      <c r="AO470" s="418"/>
      <c r="AP470" s="418"/>
      <c r="AQ470" s="418"/>
      <c r="AR470" s="418"/>
      <c r="AS470" s="166"/>
    </row>
    <row r="471" spans="1:45" s="167" customFormat="1" hidden="1" outlineLevel="1" x14ac:dyDescent="0.35">
      <c r="A471" s="166" t="s">
        <v>944</v>
      </c>
      <c r="B471" s="524"/>
      <c r="C471" s="418"/>
      <c r="D471" s="418"/>
      <c r="E471" s="418">
        <f t="shared" ref="E471:O471" si="393">IF(ISBLANK(INDEX(MO_IS_FirstRow,0,COLUMN())),0,IF(OR(E193=C193,E193=D193),"CHECK",0))</f>
        <v>0</v>
      </c>
      <c r="F471" s="418">
        <f t="shared" si="393"/>
        <v>0</v>
      </c>
      <c r="G471" s="418">
        <f t="shared" si="393"/>
        <v>0</v>
      </c>
      <c r="H471" s="418">
        <f t="shared" si="393"/>
        <v>0</v>
      </c>
      <c r="I471" s="418">
        <f t="shared" si="393"/>
        <v>0</v>
      </c>
      <c r="J471" s="418">
        <f t="shared" si="393"/>
        <v>0</v>
      </c>
      <c r="K471" s="418">
        <f t="shared" si="393"/>
        <v>0</v>
      </c>
      <c r="L471" s="418">
        <f t="shared" si="393"/>
        <v>0</v>
      </c>
      <c r="M471" s="418">
        <f t="shared" si="393"/>
        <v>0</v>
      </c>
      <c r="N471" s="418">
        <f t="shared" si="393"/>
        <v>0</v>
      </c>
      <c r="O471" s="419">
        <f t="shared" si="393"/>
        <v>0</v>
      </c>
      <c r="P471" s="418"/>
      <c r="Q471" s="418"/>
      <c r="R471" s="418"/>
      <c r="S471" s="418"/>
      <c r="T471" s="418"/>
      <c r="U471" s="418"/>
      <c r="V471" s="418"/>
      <c r="W471" s="418"/>
      <c r="X471" s="418"/>
      <c r="Y471" s="418"/>
      <c r="Z471" s="418">
        <f>IF(ISBLANK(INDEX(MO_IS_FirstRow,0,COLUMN())),0,IF(OR(Z193=B193,Z193=AA193),"CHECK",0))</f>
        <v>0</v>
      </c>
      <c r="AA471" s="418">
        <f t="shared" ref="AA471:AF471" si="394">IF(ISBLANK(INDEX(MO_IS_FirstRow,0,COLUMN())),0,IF(OR(AA193=Z193,AA193=AB193),"CHECK",0))</f>
        <v>0</v>
      </c>
      <c r="AB471" s="418">
        <f t="shared" si="394"/>
        <v>0</v>
      </c>
      <c r="AC471" s="418">
        <f t="shared" si="394"/>
        <v>0</v>
      </c>
      <c r="AD471" s="418">
        <f t="shared" si="394"/>
        <v>0</v>
      </c>
      <c r="AE471" s="418">
        <f t="shared" si="394"/>
        <v>0</v>
      </c>
      <c r="AF471" s="418">
        <f t="shared" si="394"/>
        <v>0</v>
      </c>
      <c r="AG471" s="418">
        <f t="shared" ref="AG471:AM471" si="395">IF(ISBLANK(INDEX(MO_IS_FirstRow,0,COLUMN())),0,IF(AG193=AF193,"CHECK",0))</f>
        <v>0</v>
      </c>
      <c r="AH471" s="418">
        <f t="shared" si="395"/>
        <v>0</v>
      </c>
      <c r="AI471" s="418">
        <f t="shared" si="395"/>
        <v>0</v>
      </c>
      <c r="AJ471" s="418">
        <f t="shared" si="395"/>
        <v>0</v>
      </c>
      <c r="AK471" s="418">
        <f t="shared" si="395"/>
        <v>0</v>
      </c>
      <c r="AL471" s="418">
        <f t="shared" si="395"/>
        <v>0</v>
      </c>
      <c r="AM471" s="419">
        <f t="shared" si="395"/>
        <v>0</v>
      </c>
      <c r="AN471" s="418"/>
      <c r="AO471" s="418"/>
      <c r="AP471" s="418"/>
      <c r="AQ471" s="418"/>
      <c r="AR471" s="418"/>
      <c r="AS471" s="166"/>
    </row>
    <row r="472" spans="1:45" s="167" customFormat="1" hidden="1" outlineLevel="1" x14ac:dyDescent="0.35">
      <c r="A472" s="166" t="s">
        <v>945</v>
      </c>
      <c r="B472" s="524"/>
      <c r="C472" s="418"/>
      <c r="D472" s="418"/>
      <c r="E472" s="418">
        <f t="shared" ref="E472:O472" si="396">IF(OR(E436=C436,E436=D436),"CHECK",0)</f>
        <v>0</v>
      </c>
      <c r="F472" s="418">
        <f t="shared" si="396"/>
        <v>0</v>
      </c>
      <c r="G472" s="418">
        <f t="shared" si="396"/>
        <v>0</v>
      </c>
      <c r="H472" s="418">
        <f t="shared" si="396"/>
        <v>0</v>
      </c>
      <c r="I472" s="418">
        <f t="shared" si="396"/>
        <v>0</v>
      </c>
      <c r="J472" s="418">
        <f t="shared" si="396"/>
        <v>0</v>
      </c>
      <c r="K472" s="418">
        <f t="shared" si="396"/>
        <v>0</v>
      </c>
      <c r="L472" s="418">
        <f t="shared" si="396"/>
        <v>0</v>
      </c>
      <c r="M472" s="418">
        <f t="shared" si="396"/>
        <v>0</v>
      </c>
      <c r="N472" s="418">
        <f t="shared" si="396"/>
        <v>0</v>
      </c>
      <c r="O472" s="419">
        <f t="shared" si="396"/>
        <v>0</v>
      </c>
      <c r="P472" s="418"/>
      <c r="Q472" s="418"/>
      <c r="R472" s="418"/>
      <c r="S472" s="418"/>
      <c r="T472" s="418"/>
      <c r="U472" s="418"/>
      <c r="V472" s="418"/>
      <c r="W472" s="418"/>
      <c r="X472" s="418"/>
      <c r="Y472" s="418"/>
      <c r="Z472" s="418"/>
      <c r="AA472" s="418"/>
      <c r="AB472" s="418"/>
      <c r="AC472" s="418"/>
      <c r="AD472" s="418"/>
      <c r="AE472" s="418"/>
      <c r="AF472" s="418">
        <f>IF(OR(AF436=AE436,AF436=AG436),"CHECK",0)</f>
        <v>0</v>
      </c>
      <c r="AG472" s="418">
        <f t="shared" ref="AG472:AM472" si="397">IF(AG436=AF436,"CHECK",0)</f>
        <v>0</v>
      </c>
      <c r="AH472" s="418">
        <f t="shared" si="397"/>
        <v>0</v>
      </c>
      <c r="AI472" s="418">
        <f t="shared" si="397"/>
        <v>0</v>
      </c>
      <c r="AJ472" s="418">
        <f t="shared" si="397"/>
        <v>0</v>
      </c>
      <c r="AK472" s="418">
        <f t="shared" si="397"/>
        <v>0</v>
      </c>
      <c r="AL472" s="418">
        <f t="shared" si="397"/>
        <v>0</v>
      </c>
      <c r="AM472" s="419">
        <f t="shared" si="397"/>
        <v>0</v>
      </c>
      <c r="AN472" s="418"/>
      <c r="AO472" s="418"/>
      <c r="AP472" s="418"/>
      <c r="AQ472" s="418"/>
      <c r="AR472" s="418"/>
      <c r="AS472" s="166"/>
    </row>
    <row r="473" spans="1:45" s="167" customFormat="1" hidden="1" outlineLevel="1" x14ac:dyDescent="0.35">
      <c r="A473" s="166" t="s">
        <v>946</v>
      </c>
      <c r="B473" s="524"/>
      <c r="C473" s="418">
        <f t="shared" ref="C473:R473" si="398">ROUND(INDEX(MO_CFSum_Capex,0,COLUMN())-C333-C334,6)</f>
        <v>0</v>
      </c>
      <c r="D473" s="418">
        <f t="shared" si="398"/>
        <v>0</v>
      </c>
      <c r="E473" s="418">
        <f t="shared" si="398"/>
        <v>0</v>
      </c>
      <c r="F473" s="418">
        <f t="shared" si="398"/>
        <v>0</v>
      </c>
      <c r="G473" s="418">
        <f t="shared" si="398"/>
        <v>0</v>
      </c>
      <c r="H473" s="418">
        <f t="shared" si="398"/>
        <v>0</v>
      </c>
      <c r="I473" s="418">
        <f t="shared" si="398"/>
        <v>0</v>
      </c>
      <c r="J473" s="418">
        <f t="shared" si="398"/>
        <v>0</v>
      </c>
      <c r="K473" s="418">
        <f t="shared" si="398"/>
        <v>0</v>
      </c>
      <c r="L473" s="418">
        <f t="shared" si="398"/>
        <v>0</v>
      </c>
      <c r="M473" s="418">
        <f t="shared" si="398"/>
        <v>0</v>
      </c>
      <c r="N473" s="418">
        <f t="shared" si="398"/>
        <v>0</v>
      </c>
      <c r="O473" s="419">
        <f t="shared" si="398"/>
        <v>0</v>
      </c>
      <c r="P473" s="418">
        <f t="shared" si="398"/>
        <v>0</v>
      </c>
      <c r="Q473" s="418">
        <f t="shared" si="398"/>
        <v>0</v>
      </c>
      <c r="R473" s="418">
        <f t="shared" si="398"/>
        <v>0</v>
      </c>
      <c r="S473" s="418"/>
      <c r="T473" s="418"/>
      <c r="U473" s="418"/>
      <c r="V473" s="418"/>
      <c r="W473" s="418"/>
      <c r="X473" s="418"/>
      <c r="Y473" s="418"/>
      <c r="Z473" s="418">
        <f t="shared" ref="Z473:AR473" si="399">ROUND(INDEX(MO_CFSum_Capex,0,COLUMN())-Z333-Z334,6)</f>
        <v>0</v>
      </c>
      <c r="AA473" s="418">
        <f t="shared" si="399"/>
        <v>0</v>
      </c>
      <c r="AB473" s="418">
        <f t="shared" si="399"/>
        <v>0</v>
      </c>
      <c r="AC473" s="418">
        <f t="shared" si="399"/>
        <v>0</v>
      </c>
      <c r="AD473" s="418">
        <f t="shared" si="399"/>
        <v>0</v>
      </c>
      <c r="AE473" s="418">
        <f t="shared" si="399"/>
        <v>0</v>
      </c>
      <c r="AF473" s="418">
        <f t="shared" si="399"/>
        <v>0</v>
      </c>
      <c r="AG473" s="418">
        <f t="shared" si="399"/>
        <v>0</v>
      </c>
      <c r="AH473" s="418">
        <f t="shared" si="399"/>
        <v>0</v>
      </c>
      <c r="AI473" s="418">
        <f t="shared" si="399"/>
        <v>0</v>
      </c>
      <c r="AJ473" s="418">
        <f t="shared" si="399"/>
        <v>0</v>
      </c>
      <c r="AK473" s="418">
        <f t="shared" si="399"/>
        <v>0</v>
      </c>
      <c r="AL473" s="418">
        <f t="shared" si="399"/>
        <v>0</v>
      </c>
      <c r="AM473" s="419">
        <f t="shared" si="399"/>
        <v>0</v>
      </c>
      <c r="AN473" s="418">
        <f t="shared" si="399"/>
        <v>0</v>
      </c>
      <c r="AO473" s="418">
        <f t="shared" si="399"/>
        <v>0</v>
      </c>
      <c r="AP473" s="418">
        <f t="shared" si="399"/>
        <v>0</v>
      </c>
      <c r="AQ473" s="418">
        <f t="shared" si="399"/>
        <v>0</v>
      </c>
      <c r="AR473" s="418">
        <f t="shared" si="399"/>
        <v>0</v>
      </c>
      <c r="AS473" s="166"/>
    </row>
    <row r="474" spans="1:45" s="167" customFormat="1" hidden="1" outlineLevel="1" x14ac:dyDescent="0.35">
      <c r="A474" s="166" t="s">
        <v>947</v>
      </c>
      <c r="B474" s="524"/>
      <c r="C474" s="418">
        <f t="shared" ref="C474:R474" si="400">IF(ISBLANK(INDEX(MO_IS_FirstRow,0,COLUMN())),0,IF(MOD(C122*1000000,1)=0,"Check",0))</f>
        <v>0</v>
      </c>
      <c r="D474" s="418">
        <f t="shared" si="400"/>
        <v>0</v>
      </c>
      <c r="E474" s="418">
        <f t="shared" si="400"/>
        <v>0</v>
      </c>
      <c r="F474" s="418">
        <f t="shared" si="400"/>
        <v>0</v>
      </c>
      <c r="G474" s="418">
        <f t="shared" si="400"/>
        <v>0</v>
      </c>
      <c r="H474" s="418">
        <f t="shared" si="400"/>
        <v>0</v>
      </c>
      <c r="I474" s="418">
        <f t="shared" si="400"/>
        <v>0</v>
      </c>
      <c r="J474" s="418">
        <f t="shared" si="400"/>
        <v>0</v>
      </c>
      <c r="K474" s="418">
        <f t="shared" si="400"/>
        <v>0</v>
      </c>
      <c r="L474" s="418">
        <f t="shared" si="400"/>
        <v>0</v>
      </c>
      <c r="M474" s="418">
        <f t="shared" si="400"/>
        <v>0</v>
      </c>
      <c r="N474" s="418">
        <f t="shared" si="400"/>
        <v>0</v>
      </c>
      <c r="O474" s="419">
        <f t="shared" si="400"/>
        <v>0</v>
      </c>
      <c r="P474" s="418">
        <f t="shared" si="400"/>
        <v>0</v>
      </c>
      <c r="Q474" s="418">
        <f t="shared" si="400"/>
        <v>0</v>
      </c>
      <c r="R474" s="418">
        <f t="shared" si="400"/>
        <v>0</v>
      </c>
      <c r="S474" s="418"/>
      <c r="T474" s="418"/>
      <c r="U474" s="418"/>
      <c r="V474" s="418"/>
      <c r="W474" s="418"/>
      <c r="X474" s="418"/>
      <c r="Y474" s="418"/>
      <c r="Z474" s="418">
        <f t="shared" ref="Z474:AR474" si="401">IF(ISBLANK(INDEX(MO_IS_FirstRow,0,COLUMN())),0,IF(MOD(Z122*1000000,1)=0,"Check",0))</f>
        <v>0</v>
      </c>
      <c r="AA474" s="418">
        <f t="shared" si="401"/>
        <v>0</v>
      </c>
      <c r="AB474" s="418">
        <f t="shared" si="401"/>
        <v>0</v>
      </c>
      <c r="AC474" s="418">
        <f t="shared" si="401"/>
        <v>0</v>
      </c>
      <c r="AD474" s="418">
        <f t="shared" si="401"/>
        <v>0</v>
      </c>
      <c r="AE474" s="418">
        <f t="shared" si="401"/>
        <v>0</v>
      </c>
      <c r="AF474" s="418">
        <f t="shared" si="401"/>
        <v>0</v>
      </c>
      <c r="AG474" s="418">
        <f t="shared" si="401"/>
        <v>0</v>
      </c>
      <c r="AH474" s="418">
        <f t="shared" si="401"/>
        <v>0</v>
      </c>
      <c r="AI474" s="418">
        <f t="shared" si="401"/>
        <v>0</v>
      </c>
      <c r="AJ474" s="418">
        <f t="shared" si="401"/>
        <v>0</v>
      </c>
      <c r="AK474" s="418">
        <f t="shared" si="401"/>
        <v>0</v>
      </c>
      <c r="AL474" s="418">
        <f t="shared" si="401"/>
        <v>0</v>
      </c>
      <c r="AM474" s="419">
        <f t="shared" si="401"/>
        <v>0</v>
      </c>
      <c r="AN474" s="418">
        <f t="shared" si="401"/>
        <v>0</v>
      </c>
      <c r="AO474" s="418">
        <f t="shared" si="401"/>
        <v>0</v>
      </c>
      <c r="AP474" s="418">
        <f t="shared" si="401"/>
        <v>0</v>
      </c>
      <c r="AQ474" s="418">
        <f t="shared" si="401"/>
        <v>0</v>
      </c>
      <c r="AR474" s="418">
        <f t="shared" si="401"/>
        <v>0</v>
      </c>
      <c r="AS474" s="166"/>
    </row>
    <row r="475" spans="1:45" s="167" customFormat="1" hidden="1" outlineLevel="1" x14ac:dyDescent="0.35">
      <c r="A475" s="166" t="s">
        <v>948</v>
      </c>
      <c r="B475" s="524"/>
      <c r="C475" s="418"/>
      <c r="D475" s="418"/>
      <c r="E475" s="418"/>
      <c r="F475" s="418"/>
      <c r="G475" s="418"/>
      <c r="H475" s="418"/>
      <c r="I475" s="418"/>
      <c r="J475" s="418"/>
      <c r="K475" s="418"/>
      <c r="L475" s="418"/>
      <c r="M475" s="418"/>
      <c r="N475" s="418"/>
      <c r="O475" s="419"/>
      <c r="P475" s="418"/>
      <c r="Q475" s="418"/>
      <c r="R475" s="418"/>
      <c r="S475" s="418"/>
      <c r="T475" s="418"/>
      <c r="U475" s="418"/>
      <c r="V475" s="418"/>
      <c r="W475" s="418"/>
      <c r="X475" s="418"/>
      <c r="Y475" s="418"/>
      <c r="Z475" s="418"/>
      <c r="AA475" s="418"/>
      <c r="AB475" s="418"/>
      <c r="AC475" s="418"/>
      <c r="AD475" s="418"/>
      <c r="AE475" s="418"/>
      <c r="AF475" s="418"/>
      <c r="AG475" s="418"/>
      <c r="AH475" s="418">
        <f>IF(ISBLANK(INDEX(MO_IS_FirstRow,0,COLUMN())),0,ROUND(AH162-SUM(C162,D162),6))</f>
        <v>0</v>
      </c>
      <c r="AI475" s="418">
        <f>IF(ISBLANK(INDEX(MO_IS_FirstRow,0,COLUMN())),0,ROUND(AI162-SUM(E162,F162),6))</f>
        <v>0</v>
      </c>
      <c r="AJ475" s="418">
        <f>IF(ISBLANK(INDEX(MO_IS_FirstRow,0,COLUMN())),0,ROUND(AJ162-SUM(G162,H162),6))</f>
        <v>0</v>
      </c>
      <c r="AK475" s="418">
        <f>IF(ISBLANK(INDEX(MO_IS_FirstRow,0,COLUMN())),0,ROUND(AK162-SUM(I162,J162),6))</f>
        <v>0</v>
      </c>
      <c r="AL475" s="418">
        <f>IF(ISBLANK(INDEX(MO_IS_FirstRow,0,COLUMN())),0,ROUND(AL162-SUM(K162,L162),6))</f>
        <v>0</v>
      </c>
      <c r="AM475" s="419">
        <f>IF(ISBLANK(INDEX(MO_IS_FirstRow,0,COLUMN())),0,ROUND(AM162-SUM(M162,N162),6))</f>
        <v>0</v>
      </c>
      <c r="AN475" s="418">
        <f>IF(ISBLANK(INDEX(MO_IS_FirstRow,0,COLUMN())),0,ROUND(AN162-SUM(O162,P162),6))</f>
        <v>0</v>
      </c>
      <c r="AO475" s="418">
        <f>IF(ISBLANK(INDEX(MO_IS_FirstRow,0,COLUMN())),0,ROUND(AO162-SUM(Q162,R162),6))</f>
        <v>0</v>
      </c>
      <c r="AP475" s="418"/>
      <c r="AQ475" s="418"/>
      <c r="AR475" s="418"/>
      <c r="AS475" s="166"/>
    </row>
    <row r="476" spans="1:45" s="167" customFormat="1" hidden="1" outlineLevel="1" x14ac:dyDescent="0.35">
      <c r="A476" s="166" t="s">
        <v>949</v>
      </c>
      <c r="B476" s="524"/>
      <c r="C476" s="418">
        <f t="shared" ref="C476:R476" si="402">IF(OR(INDEX(MO_CFSum_Acquisition,1,COLUMN())&gt;0,INDEX(MO_CFSum_Divestiture,1,COLUMN())&lt;0,INDEX(MO_CFSum_Capex,1,COLUMN())&gt;0,INDEX(MO_CFSum_Dividend,1,COLUMN())&gt;0),"CHECK",0)</f>
        <v>0</v>
      </c>
      <c r="D476" s="418">
        <f t="shared" si="402"/>
        <v>0</v>
      </c>
      <c r="E476" s="418">
        <f t="shared" si="402"/>
        <v>0</v>
      </c>
      <c r="F476" s="418">
        <f t="shared" si="402"/>
        <v>0</v>
      </c>
      <c r="G476" s="418">
        <f t="shared" si="402"/>
        <v>0</v>
      </c>
      <c r="H476" s="418">
        <f t="shared" si="402"/>
        <v>0</v>
      </c>
      <c r="I476" s="418">
        <f t="shared" si="402"/>
        <v>0</v>
      </c>
      <c r="J476" s="418">
        <f t="shared" si="402"/>
        <v>0</v>
      </c>
      <c r="K476" s="418">
        <f t="shared" si="402"/>
        <v>0</v>
      </c>
      <c r="L476" s="418">
        <f t="shared" si="402"/>
        <v>0</v>
      </c>
      <c r="M476" s="418">
        <f t="shared" si="402"/>
        <v>0</v>
      </c>
      <c r="N476" s="418">
        <f t="shared" si="402"/>
        <v>0</v>
      </c>
      <c r="O476" s="419">
        <f t="shared" si="402"/>
        <v>0</v>
      </c>
      <c r="P476" s="418" t="e">
        <f t="shared" si="402"/>
        <v>#REF!</v>
      </c>
      <c r="Q476" s="418" t="e">
        <f t="shared" si="402"/>
        <v>#REF!</v>
      </c>
      <c r="R476" s="418" t="e">
        <f t="shared" si="402"/>
        <v>#REF!</v>
      </c>
      <c r="S476" s="418"/>
      <c r="T476" s="418"/>
      <c r="U476" s="418"/>
      <c r="V476" s="418"/>
      <c r="W476" s="418"/>
      <c r="X476" s="418"/>
      <c r="Y476" s="418"/>
      <c r="Z476" s="418">
        <f t="shared" ref="Z476:AR476" si="403">IF(OR(INDEX(MO_CFSum_Acquisition,1,COLUMN())&gt;0,INDEX(MO_CFSum_Divestiture,1,COLUMN())&lt;0,INDEX(MO_CFSum_Capex,1,COLUMN())&gt;0,INDEX(MO_CFSum_Dividend,1,COLUMN())&gt;0),"CHECK",0)</f>
        <v>0</v>
      </c>
      <c r="AA476" s="418">
        <f t="shared" si="403"/>
        <v>0</v>
      </c>
      <c r="AB476" s="418">
        <f t="shared" si="403"/>
        <v>0</v>
      </c>
      <c r="AC476" s="418">
        <f t="shared" si="403"/>
        <v>0</v>
      </c>
      <c r="AD476" s="418">
        <f t="shared" si="403"/>
        <v>0</v>
      </c>
      <c r="AE476" s="418">
        <f t="shared" si="403"/>
        <v>0</v>
      </c>
      <c r="AF476" s="418">
        <f t="shared" si="403"/>
        <v>0</v>
      </c>
      <c r="AG476" s="418">
        <f t="shared" si="403"/>
        <v>0</v>
      </c>
      <c r="AH476" s="418">
        <f t="shared" si="403"/>
        <v>0</v>
      </c>
      <c r="AI476" s="418">
        <f t="shared" si="403"/>
        <v>0</v>
      </c>
      <c r="AJ476" s="418">
        <f t="shared" si="403"/>
        <v>0</v>
      </c>
      <c r="AK476" s="418">
        <f t="shared" si="403"/>
        <v>0</v>
      </c>
      <c r="AL476" s="418">
        <f t="shared" si="403"/>
        <v>0</v>
      </c>
      <c r="AM476" s="419">
        <f t="shared" si="403"/>
        <v>0</v>
      </c>
      <c r="AN476" s="418" t="e">
        <f t="shared" si="403"/>
        <v>#REF!</v>
      </c>
      <c r="AO476" s="418" t="e">
        <f t="shared" si="403"/>
        <v>#REF!</v>
      </c>
      <c r="AP476" s="418" t="e">
        <f t="shared" si="403"/>
        <v>#REF!</v>
      </c>
      <c r="AQ476" s="418" t="e">
        <f t="shared" si="403"/>
        <v>#REF!</v>
      </c>
      <c r="AR476" s="418" t="e">
        <f t="shared" si="403"/>
        <v>#REF!</v>
      </c>
      <c r="AS476" s="166"/>
    </row>
    <row r="477" spans="1:45" s="167" customFormat="1" hidden="1" outlineLevel="1" x14ac:dyDescent="0.35">
      <c r="A477" s="166" t="s">
        <v>950</v>
      </c>
      <c r="B477" s="524"/>
      <c r="C477" s="418"/>
      <c r="D477" s="418"/>
      <c r="E477" s="418"/>
      <c r="F477" s="418"/>
      <c r="G477" s="418"/>
      <c r="H477" s="418"/>
      <c r="I477" s="418"/>
      <c r="J477" s="418"/>
      <c r="K477" s="418"/>
      <c r="L477" s="418"/>
      <c r="M477" s="418"/>
      <c r="N477" s="418"/>
      <c r="O477" s="419"/>
      <c r="P477" s="418"/>
      <c r="Q477" s="418"/>
      <c r="R477" s="418"/>
      <c r="S477" s="418"/>
      <c r="T477" s="418"/>
      <c r="U477" s="418"/>
      <c r="V477" s="418"/>
      <c r="W477" s="418"/>
      <c r="X477" s="418"/>
      <c r="Y477" s="418"/>
      <c r="Z477" s="418"/>
      <c r="AA477" s="418"/>
      <c r="AB477" s="418"/>
      <c r="AC477" s="418"/>
      <c r="AD477" s="418"/>
      <c r="AE477" s="418"/>
      <c r="AF477" s="418"/>
      <c r="AG477" s="418"/>
      <c r="AH477" s="418">
        <f>ROUND(AH193-SUM(C193,D193),6)</f>
        <v>0</v>
      </c>
      <c r="AI477" s="418">
        <f>ROUND(AI193-SUM(E193,F193),6)</f>
        <v>0</v>
      </c>
      <c r="AJ477" s="418">
        <f>ROUND(AJ193-SUM(G193,H193),6)</f>
        <v>0</v>
      </c>
      <c r="AK477" s="418">
        <f>ROUND(AK193-SUM(I193,J193),6)</f>
        <v>0</v>
      </c>
      <c r="AL477" s="418">
        <f>ROUND(AL193-SUM(K193,L193),6)</f>
        <v>0</v>
      </c>
      <c r="AM477" s="419">
        <f>ROUND(AM193-SUM(M193,N193),6)</f>
        <v>0</v>
      </c>
      <c r="AN477" s="418">
        <f>ROUND(AN193-SUM(O193,P193),6)</f>
        <v>0</v>
      </c>
      <c r="AO477" s="418">
        <f>ROUND(AO193-SUM(Q193,R193),6)</f>
        <v>0</v>
      </c>
      <c r="AP477" s="418"/>
      <c r="AQ477" s="418"/>
      <c r="AR477" s="418"/>
      <c r="AS477" s="166"/>
    </row>
    <row r="478" spans="1:45" s="167" customFormat="1" hidden="1" outlineLevel="1" x14ac:dyDescent="0.35">
      <c r="A478" s="166" t="s">
        <v>951</v>
      </c>
      <c r="B478" s="524"/>
      <c r="C478" s="418"/>
      <c r="D478" s="418"/>
      <c r="E478" s="418"/>
      <c r="F478" s="418"/>
      <c r="G478" s="418"/>
      <c r="H478" s="418"/>
      <c r="I478" s="418"/>
      <c r="J478" s="418"/>
      <c r="K478" s="418"/>
      <c r="L478" s="418"/>
      <c r="M478" s="418"/>
      <c r="N478" s="418"/>
      <c r="O478" s="419"/>
      <c r="P478" s="418"/>
      <c r="Q478" s="418"/>
      <c r="R478" s="418"/>
      <c r="S478" s="418"/>
      <c r="T478" s="418"/>
      <c r="U478" s="418"/>
      <c r="V478" s="418"/>
      <c r="W478" s="418"/>
      <c r="X478" s="418"/>
      <c r="Y478" s="418"/>
      <c r="Z478" s="418"/>
      <c r="AA478" s="418"/>
      <c r="AB478" s="418"/>
      <c r="AC478" s="418"/>
      <c r="AD478" s="418"/>
      <c r="AE478" s="418"/>
      <c r="AF478" s="418"/>
      <c r="AG478" s="418"/>
      <c r="AH478" s="418">
        <f>ROUND(SUM(C202,D202)-INDEX(MO_RIS_NI_NONGAAP_Diluted,1,COLUMN()),6)</f>
        <v>0</v>
      </c>
      <c r="AI478" s="418">
        <f>ROUND(SUM(E202,F202)-INDEX(MO_RIS_NI_NONGAAP_Diluted,1,COLUMN()),6)</f>
        <v>0</v>
      </c>
      <c r="AJ478" s="418">
        <f>ROUND(SUM(G202,H202)-INDEX(MO_RIS_NI_NONGAAP_Diluted,1,COLUMN()),6)</f>
        <v>0</v>
      </c>
      <c r="AK478" s="418">
        <f>ROUND(SUM(I202,J202)-INDEX(MO_RIS_NI_NONGAAP_Diluted,1,COLUMN()),6)</f>
        <v>0</v>
      </c>
      <c r="AL478" s="418">
        <f>ROUND(SUM(K202,L202)-INDEX(MO_RIS_NI_NONGAAP_Diluted,1,COLUMN()),6)</f>
        <v>0</v>
      </c>
      <c r="AM478" s="419">
        <f>ROUND(SUM(M202,N202)-INDEX(MO_RIS_NI_NONGAAP_Diluted,1,COLUMN()),6)</f>
        <v>0</v>
      </c>
      <c r="AN478" s="418">
        <f>ROUND(SUM(O202,P202)-INDEX(MO_RIS_NI_NONGAAP_Diluted,1,COLUMN()),6)</f>
        <v>0</v>
      </c>
      <c r="AO478" s="418">
        <f>ROUND(SUM(Q202,R202)-INDEX(MO_RIS_NI_NONGAAP_Diluted,1,COLUMN()),6)</f>
        <v>0</v>
      </c>
      <c r="AP478" s="418"/>
      <c r="AQ478" s="418"/>
      <c r="AR478" s="418"/>
      <c r="AS478" s="166"/>
    </row>
    <row r="479" spans="1:45" s="167" customFormat="1" hidden="1" outlineLevel="1" x14ac:dyDescent="0.35">
      <c r="A479" s="166" t="s">
        <v>952</v>
      </c>
      <c r="B479" s="524"/>
      <c r="C479" s="418"/>
      <c r="D479" s="418"/>
      <c r="E479" s="418"/>
      <c r="F479" s="418"/>
      <c r="G479" s="418"/>
      <c r="H479" s="418"/>
      <c r="I479" s="418"/>
      <c r="J479" s="418"/>
      <c r="K479" s="418"/>
      <c r="L479" s="418"/>
      <c r="M479" s="418"/>
      <c r="N479" s="418"/>
      <c r="O479" s="419"/>
      <c r="P479" s="418"/>
      <c r="Q479" s="418"/>
      <c r="R479" s="418"/>
      <c r="S479" s="418"/>
      <c r="T479" s="418"/>
      <c r="U479" s="418"/>
      <c r="V479" s="418"/>
      <c r="W479" s="418"/>
      <c r="X479" s="418"/>
      <c r="Y479" s="418"/>
      <c r="Z479" s="418"/>
      <c r="AA479" s="418"/>
      <c r="AB479" s="418"/>
      <c r="AC479" s="418"/>
      <c r="AD479" s="418"/>
      <c r="AE479" s="418"/>
      <c r="AF479" s="418"/>
      <c r="AG479" s="418"/>
      <c r="AH479" s="418">
        <f ca="1">ROUND(SUM(C325,D325)-SUM(OFFSET(INDEX(MO_CFS_CFO_BeforeWC,1,COLUMN()),ROW(INDEX(MO_SubSection_CFS_CFO,1,COLUMN()))-ROW(INDEX(MO_CFS_CFO_BeforeWC,1,COLUMN())),0,ROW(INDEX(MO_CFS_CFO_BeforeWC,1,COLUMN()))-ROW(INDEX(MO_SubSection_CFS_CFO,1,COLUMN())),1)),6)</f>
        <v>0</v>
      </c>
      <c r="AI479" s="418">
        <f ca="1">ROUND(SUM(E325,F325)-SUM(OFFSET(INDEX(MO_CFS_CFO_BeforeWC,1,COLUMN()),ROW(INDEX(MO_SubSection_CFS_CFO,1,COLUMN()))-ROW(INDEX(MO_CFS_CFO_BeforeWC,1,COLUMN())),0,ROW(INDEX(MO_CFS_CFO_BeforeWC,1,COLUMN()))-ROW(INDEX(MO_SubSection_CFS_CFO,1,COLUMN())),1)),6)</f>
        <v>0</v>
      </c>
      <c r="AJ479" s="418">
        <f ca="1">ROUND(SUM(G325,H325)-SUM(OFFSET(INDEX(MO_CFS_CFO_BeforeWC,1,COLUMN()),ROW(INDEX(MO_SubSection_CFS_CFO,1,COLUMN()))-ROW(INDEX(MO_CFS_CFO_BeforeWC,1,COLUMN())),0,ROW(INDEX(MO_CFS_CFO_BeforeWC,1,COLUMN()))-ROW(INDEX(MO_SubSection_CFS_CFO,1,COLUMN())),1)),6)</f>
        <v>0</v>
      </c>
      <c r="AK479" s="418">
        <f ca="1">ROUND(SUM(I325,J325)-SUM(OFFSET(INDEX(MO_CFS_CFO_BeforeWC,1,COLUMN()),ROW(INDEX(MO_SubSection_CFS_CFO,1,COLUMN()))-ROW(INDEX(MO_CFS_CFO_BeforeWC,1,COLUMN())),0,ROW(INDEX(MO_CFS_CFO_BeforeWC,1,COLUMN()))-ROW(INDEX(MO_SubSection_CFS_CFO,1,COLUMN())),1)),6)</f>
        <v>0</v>
      </c>
      <c r="AL479" s="418">
        <f ca="1">ROUND(SUM(K325,L325)-SUM(OFFSET(INDEX(MO_CFS_CFO_BeforeWC,1,COLUMN()),ROW(INDEX(MO_SubSection_CFS_CFO,1,COLUMN()))-ROW(INDEX(MO_CFS_CFO_BeforeWC,1,COLUMN())),0,ROW(INDEX(MO_CFS_CFO_BeforeWC,1,COLUMN()))-ROW(INDEX(MO_SubSection_CFS_CFO,1,COLUMN())),1)),6)</f>
        <v>0</v>
      </c>
      <c r="AM479" s="419">
        <f ca="1">ROUND(SUM(M325,N325)-SUM(OFFSET(INDEX(MO_CFS_CFO_BeforeWC,1,COLUMN()),ROW(INDEX(MO_SubSection_CFS_CFO,1,COLUMN()))-ROW(INDEX(MO_CFS_CFO_BeforeWC,1,COLUMN())),0,ROW(INDEX(MO_CFS_CFO_BeforeWC,1,COLUMN()))-ROW(INDEX(MO_SubSection_CFS_CFO,1,COLUMN())),1)),6)</f>
        <v>0</v>
      </c>
      <c r="AN479" s="418">
        <f ca="1">ROUND(SUM(O325,P325)-SUM(OFFSET(INDEX(MO_CFS_CFO_BeforeWC,1,COLUMN()),ROW(INDEX(MO_SubSection_CFS_CFO,1,COLUMN()))-ROW(INDEX(MO_CFS_CFO_BeforeWC,1,COLUMN())),0,ROW(INDEX(MO_CFS_CFO_BeforeWC,1,COLUMN()))-ROW(INDEX(MO_SubSection_CFS_CFO,1,COLUMN())),1)),6)</f>
        <v>0</v>
      </c>
      <c r="AO479" s="418">
        <f ca="1">ROUND(SUM(Q325,R325)-SUM(OFFSET(INDEX(MO_CFS_CFO_BeforeWC,1,COLUMN()),ROW(INDEX(MO_SubSection_CFS_CFO,1,COLUMN()))-ROW(INDEX(MO_CFS_CFO_BeforeWC,1,COLUMN())),0,ROW(INDEX(MO_CFS_CFO_BeforeWC,1,COLUMN()))-ROW(INDEX(MO_SubSection_CFS_CFO,1,COLUMN())),1)),6)</f>
        <v>0</v>
      </c>
      <c r="AP479" s="418"/>
      <c r="AQ479" s="418"/>
      <c r="AR479" s="418"/>
      <c r="AS479" s="166"/>
    </row>
    <row r="480" spans="1:45" s="167" customFormat="1" hidden="1" outlineLevel="1" x14ac:dyDescent="0.35">
      <c r="A480" s="166" t="s">
        <v>953</v>
      </c>
      <c r="B480" s="524"/>
      <c r="C480" s="418"/>
      <c r="D480" s="418"/>
      <c r="E480" s="418"/>
      <c r="F480" s="418"/>
      <c r="G480" s="418"/>
      <c r="H480" s="418"/>
      <c r="I480" s="418"/>
      <c r="J480" s="418"/>
      <c r="K480" s="418"/>
      <c r="L480" s="418"/>
      <c r="M480" s="418"/>
      <c r="N480" s="418"/>
      <c r="O480" s="419"/>
      <c r="P480" s="418"/>
      <c r="Q480" s="418"/>
      <c r="R480" s="418"/>
      <c r="S480" s="418"/>
      <c r="T480" s="418"/>
      <c r="U480" s="418"/>
      <c r="V480" s="418"/>
      <c r="W480" s="418"/>
      <c r="X480" s="418"/>
      <c r="Y480" s="418"/>
      <c r="Z480" s="418"/>
      <c r="AA480" s="418"/>
      <c r="AB480" s="418"/>
      <c r="AC480" s="418"/>
      <c r="AD480" s="418"/>
      <c r="AE480" s="418"/>
      <c r="AF480" s="418"/>
      <c r="AG480" s="418"/>
      <c r="AH480" s="418">
        <f ca="1">ROUND(SUM(C329,D329)-SUM(OFFSET(INDEX(MO_CFS_CFO,1,COLUMN()),ROW(INDEX(MO_CFS_CFO_BeforeWC,1,COLUMN()))-ROW(INDEX(MO_CFS_CFO,1,COLUMN())),0,ROW(INDEX(MO_CFS_CFO,1,COLUMN()))-ROW(INDEX(MO_CFS_CFO_BeforeWC,1,COLUMN())),1)),6)</f>
        <v>0</v>
      </c>
      <c r="AI480" s="418">
        <f ca="1">ROUND(SUM(E329,F329)-SUM(OFFSET(INDEX(MO_CFS_CFO,1,COLUMN()),ROW(INDEX(MO_CFS_CFO_BeforeWC,1,COLUMN()))-ROW(INDEX(MO_CFS_CFO,1,COLUMN())),0,ROW(INDEX(MO_CFS_CFO,1,COLUMN()))-ROW(INDEX(MO_CFS_CFO_BeforeWC,1,COLUMN())),1)),6)</f>
        <v>0</v>
      </c>
      <c r="AJ480" s="418">
        <f ca="1">ROUND(SUM(G329,H329)-SUM(OFFSET(INDEX(MO_CFS_CFO,1,COLUMN()),ROW(INDEX(MO_CFS_CFO_BeforeWC,1,COLUMN()))-ROW(INDEX(MO_CFS_CFO,1,COLUMN())),0,ROW(INDEX(MO_CFS_CFO,1,COLUMN()))-ROW(INDEX(MO_CFS_CFO_BeforeWC,1,COLUMN())),1)),6)</f>
        <v>0</v>
      </c>
      <c r="AK480" s="418">
        <f ca="1">ROUND(SUM(I329,J329)-SUM(OFFSET(INDEX(MO_CFS_CFO,1,COLUMN()),ROW(INDEX(MO_CFS_CFO_BeforeWC,1,COLUMN()))-ROW(INDEX(MO_CFS_CFO,1,COLUMN())),0,ROW(INDEX(MO_CFS_CFO,1,COLUMN()))-ROW(INDEX(MO_CFS_CFO_BeforeWC,1,COLUMN())),1)),6)</f>
        <v>0</v>
      </c>
      <c r="AL480" s="418">
        <f ca="1">ROUND(SUM(K329,L329)-SUM(OFFSET(INDEX(MO_CFS_CFO,1,COLUMN()),ROW(INDEX(MO_CFS_CFO_BeforeWC,1,COLUMN()))-ROW(INDEX(MO_CFS_CFO,1,COLUMN())),0,ROW(INDEX(MO_CFS_CFO,1,COLUMN()))-ROW(INDEX(MO_CFS_CFO_BeforeWC,1,COLUMN())),1)),6)</f>
        <v>0</v>
      </c>
      <c r="AM480" s="419">
        <f ca="1">ROUND(SUM(M329,N329)-SUM(OFFSET(INDEX(MO_CFS_CFO,1,COLUMN()),ROW(INDEX(MO_CFS_CFO_BeforeWC,1,COLUMN()))-ROW(INDEX(MO_CFS_CFO,1,COLUMN())),0,ROW(INDEX(MO_CFS_CFO,1,COLUMN()))-ROW(INDEX(MO_CFS_CFO_BeforeWC,1,COLUMN())),1)),6)</f>
        <v>0</v>
      </c>
      <c r="AN480" s="418">
        <f ca="1">ROUND(SUM(O329,P329)-SUM(OFFSET(INDEX(MO_CFS_CFO,1,COLUMN()),ROW(INDEX(MO_CFS_CFO_BeforeWC,1,COLUMN()))-ROW(INDEX(MO_CFS_CFO,1,COLUMN())),0,ROW(INDEX(MO_CFS_CFO,1,COLUMN()))-ROW(INDEX(MO_CFS_CFO_BeforeWC,1,COLUMN())),1)),6)</f>
        <v>0</v>
      </c>
      <c r="AO480" s="418">
        <f ca="1">ROUND(SUM(Q329,R329)-SUM(OFFSET(INDEX(MO_CFS_CFO,1,COLUMN()),ROW(INDEX(MO_CFS_CFO_BeforeWC,1,COLUMN()))-ROW(INDEX(MO_CFS_CFO,1,COLUMN())),0,ROW(INDEX(MO_CFS_CFO,1,COLUMN()))-ROW(INDEX(MO_CFS_CFO_BeforeWC,1,COLUMN())),1)),6)</f>
        <v>0</v>
      </c>
      <c r="AP480" s="418"/>
      <c r="AQ480" s="418"/>
      <c r="AR480" s="418"/>
      <c r="AS480" s="166"/>
    </row>
    <row r="481" spans="1:45" s="167" customFormat="1" hidden="1" outlineLevel="1" x14ac:dyDescent="0.35">
      <c r="A481" s="166" t="s">
        <v>954</v>
      </c>
      <c r="B481" s="524"/>
      <c r="C481" s="418"/>
      <c r="D481" s="418"/>
      <c r="E481" s="418"/>
      <c r="F481" s="418"/>
      <c r="G481" s="418"/>
      <c r="H481" s="418"/>
      <c r="I481" s="418"/>
      <c r="J481" s="418"/>
      <c r="K481" s="418"/>
      <c r="L481" s="418"/>
      <c r="M481" s="418"/>
      <c r="N481" s="418"/>
      <c r="O481" s="419"/>
      <c r="P481" s="418"/>
      <c r="Q481" s="418"/>
      <c r="R481" s="418"/>
      <c r="S481" s="418"/>
      <c r="T481" s="418"/>
      <c r="U481" s="418"/>
      <c r="V481" s="418"/>
      <c r="W481" s="418"/>
      <c r="X481" s="418"/>
      <c r="Y481" s="418"/>
      <c r="Z481" s="418"/>
      <c r="AA481" s="418"/>
      <c r="AB481" s="418"/>
      <c r="AC481" s="418"/>
      <c r="AD481" s="418"/>
      <c r="AE481" s="418"/>
      <c r="AF481" s="418"/>
      <c r="AG481" s="418"/>
      <c r="AH481" s="418">
        <f ca="1">ROUND(SUM(C337,D337)-SUM(OFFSET(INDEX(MO_CFS_CFI,1,COLUMN()),ROW(INDEX(MO_SubSection_CFS_CFI,1,COLUMN()))-ROW(INDEX(MO_CFS_CFI,1,COLUMN())),0,ROW(INDEX(MO_CFS_CFI,1,COLUMN()))-ROW(INDEX(MO_SubSection_CFS_CFI,1,COLUMN())),1)),6)</f>
        <v>0</v>
      </c>
      <c r="AI481" s="418">
        <f ca="1">ROUND(SUM(E337,F337)-SUM(OFFSET(INDEX(MO_CFS_CFI,1,COLUMN()),ROW(INDEX(MO_SubSection_CFS_CFI,1,COLUMN()))-ROW(INDEX(MO_CFS_CFI,1,COLUMN())),0,ROW(INDEX(MO_CFS_CFI,1,COLUMN()))-ROW(INDEX(MO_SubSection_CFS_CFI,1,COLUMN())),1)),6)</f>
        <v>0</v>
      </c>
      <c r="AJ481" s="418">
        <f ca="1">ROUND(SUM(G337,H337)-SUM(OFFSET(INDEX(MO_CFS_CFI,1,COLUMN()),ROW(INDEX(MO_SubSection_CFS_CFI,1,COLUMN()))-ROW(INDEX(MO_CFS_CFI,1,COLUMN())),0,ROW(INDEX(MO_CFS_CFI,1,COLUMN()))-ROW(INDEX(MO_SubSection_CFS_CFI,1,COLUMN())),1)),6)</f>
        <v>0</v>
      </c>
      <c r="AK481" s="418">
        <f ca="1">ROUND(SUM(I337,J337)-SUM(OFFSET(INDEX(MO_CFS_CFI,1,COLUMN()),ROW(INDEX(MO_SubSection_CFS_CFI,1,COLUMN()))-ROW(INDEX(MO_CFS_CFI,1,COLUMN())),0,ROW(INDEX(MO_CFS_CFI,1,COLUMN()))-ROW(INDEX(MO_SubSection_CFS_CFI,1,COLUMN())),1)),6)</f>
        <v>0</v>
      </c>
      <c r="AL481" s="418">
        <f ca="1">ROUND(SUM(K337,L337)-SUM(OFFSET(INDEX(MO_CFS_CFI,1,COLUMN()),ROW(INDEX(MO_SubSection_CFS_CFI,1,COLUMN()))-ROW(INDEX(MO_CFS_CFI,1,COLUMN())),0,ROW(INDEX(MO_CFS_CFI,1,COLUMN()))-ROW(INDEX(MO_SubSection_CFS_CFI,1,COLUMN())),1)),6)</f>
        <v>0</v>
      </c>
      <c r="AM481" s="419">
        <f ca="1">ROUND(SUM(M337,N337)-SUM(OFFSET(INDEX(MO_CFS_CFI,1,COLUMN()),ROW(INDEX(MO_SubSection_CFS_CFI,1,COLUMN()))-ROW(INDEX(MO_CFS_CFI,1,COLUMN())),0,ROW(INDEX(MO_CFS_CFI,1,COLUMN()))-ROW(INDEX(MO_SubSection_CFS_CFI,1,COLUMN())),1)),6)</f>
        <v>0</v>
      </c>
      <c r="AN481" s="418">
        <f ca="1">ROUND(SUM(O337,P337)-SUM(OFFSET(INDEX(MO_CFS_CFI,1,COLUMN()),ROW(INDEX(MO_SubSection_CFS_CFI,1,COLUMN()))-ROW(INDEX(MO_CFS_CFI,1,COLUMN())),0,ROW(INDEX(MO_CFS_CFI,1,COLUMN()))-ROW(INDEX(MO_SubSection_CFS_CFI,1,COLUMN())),1)),6)</f>
        <v>0</v>
      </c>
      <c r="AO481" s="418" t="e">
        <f ca="1">ROUND(SUM(Q337,R337)-SUM(OFFSET(INDEX(MO_CFS_CFI,1,COLUMN()),ROW(INDEX(MO_SubSection_CFS_CFI,1,COLUMN()))-ROW(INDEX(MO_CFS_CFI,1,COLUMN())),0,ROW(INDEX(MO_CFS_CFI,1,COLUMN()))-ROW(INDEX(MO_SubSection_CFS_CFI,1,COLUMN())),1)),6)</f>
        <v>#REF!</v>
      </c>
      <c r="AP481" s="418"/>
      <c r="AQ481" s="418"/>
      <c r="AR481" s="418"/>
      <c r="AS481" s="166"/>
    </row>
    <row r="482" spans="1:45" s="167" customFormat="1" hidden="1" outlineLevel="1" x14ac:dyDescent="0.35">
      <c r="A482" s="166" t="s">
        <v>955</v>
      </c>
      <c r="B482" s="524"/>
      <c r="C482" s="418"/>
      <c r="D482" s="418"/>
      <c r="E482" s="418"/>
      <c r="F482" s="418"/>
      <c r="G482" s="418"/>
      <c r="H482" s="418"/>
      <c r="I482" s="418"/>
      <c r="J482" s="418"/>
      <c r="K482" s="418"/>
      <c r="L482" s="418"/>
      <c r="M482" s="418"/>
      <c r="N482" s="418"/>
      <c r="O482" s="419"/>
      <c r="P482" s="418"/>
      <c r="Q482" s="418"/>
      <c r="R482" s="418"/>
      <c r="S482" s="418"/>
      <c r="T482" s="418"/>
      <c r="U482" s="418"/>
      <c r="V482" s="418"/>
      <c r="W482" s="418"/>
      <c r="X482" s="418"/>
      <c r="Y482" s="418"/>
      <c r="Z482" s="418"/>
      <c r="AA482" s="418"/>
      <c r="AB482" s="418"/>
      <c r="AC482" s="418"/>
      <c r="AD482" s="418"/>
      <c r="AE482" s="418"/>
      <c r="AF482" s="418"/>
      <c r="AG482" s="418"/>
      <c r="AH482" s="418">
        <f ca="1">ROUND(SUM(C349,D349)-SUM(OFFSET(INDEX(MO_CFS_CFF,1,COLUMN()),ROW(INDEX(MO_SubSection_CFS_CFF,1,COLUMN()))-ROW(INDEX(MO_CFS_CFF,1,COLUMN())),0,ROW(INDEX(MO_CFS_CFF,1,COLUMN()))-ROW(INDEX(MO_SubSection_CFS_CFF,1,COLUMN())),1)),6)</f>
        <v>0</v>
      </c>
      <c r="AI482" s="418">
        <f ca="1">ROUND(SUM(E349,F349)-SUM(OFFSET(INDEX(MO_CFS_CFF,1,COLUMN()),ROW(INDEX(MO_SubSection_CFS_CFF,1,COLUMN()))-ROW(INDEX(MO_CFS_CFF,1,COLUMN())),0,ROW(INDEX(MO_CFS_CFF,1,COLUMN()))-ROW(INDEX(MO_SubSection_CFS_CFF,1,COLUMN())),1)),6)</f>
        <v>0</v>
      </c>
      <c r="AJ482" s="418">
        <f ca="1">ROUND(SUM(G349,H349)-SUM(OFFSET(INDEX(MO_CFS_CFF,1,COLUMN()),ROW(INDEX(MO_SubSection_CFS_CFF,1,COLUMN()))-ROW(INDEX(MO_CFS_CFF,1,COLUMN())),0,ROW(INDEX(MO_CFS_CFF,1,COLUMN()))-ROW(INDEX(MO_SubSection_CFS_CFF,1,COLUMN())),1)),6)</f>
        <v>0</v>
      </c>
      <c r="AK482" s="418">
        <f ca="1">ROUND(SUM(I349,J349)-SUM(OFFSET(INDEX(MO_CFS_CFF,1,COLUMN()),ROW(INDEX(MO_SubSection_CFS_CFF,1,COLUMN()))-ROW(INDEX(MO_CFS_CFF,1,COLUMN())),0,ROW(INDEX(MO_CFS_CFF,1,COLUMN()))-ROW(INDEX(MO_SubSection_CFS_CFF,1,COLUMN())),1)),6)</f>
        <v>0</v>
      </c>
      <c r="AL482" s="418">
        <f ca="1">ROUND(SUM(K349,L349)-SUM(OFFSET(INDEX(MO_CFS_CFF,1,COLUMN()),ROW(INDEX(MO_SubSection_CFS_CFF,1,COLUMN()))-ROW(INDEX(MO_CFS_CFF,1,COLUMN())),0,ROW(INDEX(MO_CFS_CFF,1,COLUMN()))-ROW(INDEX(MO_SubSection_CFS_CFF,1,COLUMN())),1)),6)</f>
        <v>0</v>
      </c>
      <c r="AM482" s="419">
        <f ca="1">ROUND(SUM(M349,N349)-SUM(OFFSET(INDEX(MO_CFS_CFF,1,COLUMN()),ROW(INDEX(MO_SubSection_CFS_CFF,1,COLUMN()))-ROW(INDEX(MO_CFS_CFF,1,COLUMN())),0,ROW(INDEX(MO_CFS_CFF,1,COLUMN()))-ROW(INDEX(MO_SubSection_CFS_CFF,1,COLUMN())),1)),6)</f>
        <v>0</v>
      </c>
      <c r="AN482" s="418" t="e">
        <f ca="1">ROUND(SUM(O349,P349)-SUM(OFFSET(INDEX(MO_CFS_CFF,1,COLUMN()),ROW(INDEX(MO_SubSection_CFS_CFF,1,COLUMN()))-ROW(INDEX(MO_CFS_CFF,1,COLUMN())),0,ROW(INDEX(MO_CFS_CFF,1,COLUMN()))-ROW(INDEX(MO_SubSection_CFS_CFF,1,COLUMN())),1)),6)</f>
        <v>#REF!</v>
      </c>
      <c r="AO482" s="418" t="e">
        <f ca="1">ROUND(SUM(Q349,R349)-SUM(OFFSET(INDEX(MO_CFS_CFF,1,COLUMN()),ROW(INDEX(MO_SubSection_CFS_CFF,1,COLUMN()))-ROW(INDEX(MO_CFS_CFF,1,COLUMN())),0,ROW(INDEX(MO_CFS_CFF,1,COLUMN()))-ROW(INDEX(MO_SubSection_CFS_CFF,1,COLUMN())),1)),6)</f>
        <v>#REF!</v>
      </c>
      <c r="AP482" s="418"/>
      <c r="AQ482" s="418"/>
      <c r="AR482" s="418"/>
      <c r="AS482" s="166"/>
    </row>
    <row r="483" spans="1:45" s="167" customFormat="1" hidden="1" outlineLevel="1" x14ac:dyDescent="0.35">
      <c r="A483" s="166" t="s">
        <v>956</v>
      </c>
      <c r="B483" s="524"/>
      <c r="C483" s="418"/>
      <c r="D483" s="418"/>
      <c r="E483" s="418"/>
      <c r="F483" s="418"/>
      <c r="G483" s="418"/>
      <c r="H483" s="418"/>
      <c r="I483" s="418"/>
      <c r="J483" s="418"/>
      <c r="K483" s="418"/>
      <c r="L483" s="418"/>
      <c r="M483" s="418"/>
      <c r="N483" s="418"/>
      <c r="O483" s="419"/>
      <c r="P483" s="418"/>
      <c r="Q483" s="418"/>
      <c r="R483" s="418"/>
      <c r="S483" s="418"/>
      <c r="T483" s="418"/>
      <c r="U483" s="418"/>
      <c r="V483" s="418"/>
      <c r="W483" s="418"/>
      <c r="X483" s="418"/>
      <c r="Y483" s="418"/>
      <c r="Z483" s="418"/>
      <c r="AA483" s="418"/>
      <c r="AB483" s="418"/>
      <c r="AC483" s="418"/>
      <c r="AD483" s="418"/>
      <c r="AE483" s="418"/>
      <c r="AF483" s="418"/>
      <c r="AG483" s="418"/>
      <c r="AH483" s="418">
        <f>ROUND(SUM(INDEX(MO_CFSum_Acquisition,0,COLUMN()),INDEX(MO_CFSum_Capex,0,COLUMN()),INDEX(MO_CFSum_Divestiture,0,COLUMN()),INDEX(MO_CFSum_Dividend,0,COLUMN()))-SUM(C230,D230,C231,D231,C232,D232)-SUM(C228,D228),6)</f>
        <v>0</v>
      </c>
      <c r="AI483" s="418">
        <f>ROUND(SUM(INDEX(MO_CFSum_Acquisition,0,COLUMN()),INDEX(MO_CFSum_Capex,0,COLUMN()),INDEX(MO_CFSum_Divestiture,0,COLUMN()),INDEX(MO_CFSum_Dividend,0,COLUMN()))-SUM(E230,F230,E231,F231,E232,F232)-SUM(E228,F228),6)</f>
        <v>0</v>
      </c>
      <c r="AJ483" s="418">
        <f>ROUND(SUM(INDEX(MO_CFSum_Acquisition,0,COLUMN()),INDEX(MO_CFSum_Capex,0,COLUMN()),INDEX(MO_CFSum_Divestiture,0,COLUMN()),INDEX(MO_CFSum_Dividend,0,COLUMN()))-SUM(G230,H230,G231,H231,G232,H232)-SUM(G228,H228),6)</f>
        <v>0</v>
      </c>
      <c r="AK483" s="418">
        <f>ROUND(SUM(INDEX(MO_CFSum_Acquisition,0,COLUMN()),INDEX(MO_CFSum_Capex,0,COLUMN()),INDEX(MO_CFSum_Divestiture,0,COLUMN()),INDEX(MO_CFSum_Dividend,0,COLUMN()))-SUM(I230,J230,I231,J231,I232,J232)-SUM(I228,J228),6)</f>
        <v>0</v>
      </c>
      <c r="AL483" s="418">
        <f>ROUND(SUM(INDEX(MO_CFSum_Acquisition,0,COLUMN()),INDEX(MO_CFSum_Capex,0,COLUMN()),INDEX(MO_CFSum_Divestiture,0,COLUMN()),INDEX(MO_CFSum_Dividend,0,COLUMN()))-SUM(K230,L230,K231,L231,K232,L232)-SUM(K228,L228),6)</f>
        <v>0</v>
      </c>
      <c r="AM483" s="419">
        <f>ROUND(SUM(INDEX(MO_CFSum_Acquisition,0,COLUMN()),INDEX(MO_CFSum_Capex,0,COLUMN()),INDEX(MO_CFSum_Divestiture,0,COLUMN()),INDEX(MO_CFSum_Dividend,0,COLUMN()))-SUM(M230,N230,M231,N231,M232,N232)-SUM(M228,N228),6)</f>
        <v>0</v>
      </c>
      <c r="AN483" s="418" t="e">
        <f>ROUND(SUM(INDEX(MO_CFSum_Acquisition,0,COLUMN()),INDEX(MO_CFSum_Capex,0,COLUMN()),INDEX(MO_CFSum_Divestiture,0,COLUMN()),INDEX(MO_CFSum_Dividend,0,COLUMN()))-SUM(O230,P230,O231,P231,O232,P232)-SUM(O228,P228),6)</f>
        <v>#REF!</v>
      </c>
      <c r="AO483" s="418" t="e">
        <f>ROUND(SUM(INDEX(MO_CFSum_Acquisition,0,COLUMN()),INDEX(MO_CFSum_Capex,0,COLUMN()),INDEX(MO_CFSum_Divestiture,0,COLUMN()),INDEX(MO_CFSum_Dividend,0,COLUMN()))-SUM(Q230,R230,Q231,R231,Q232,R232)-SUM(Q228,R228),6)</f>
        <v>#REF!</v>
      </c>
      <c r="AP483" s="418"/>
      <c r="AQ483" s="418"/>
      <c r="AR483" s="418"/>
      <c r="AS483" s="166"/>
    </row>
    <row r="484" spans="1:45" s="167" customFormat="1" collapsed="1" x14ac:dyDescent="0.35">
      <c r="A484" s="164"/>
      <c r="B484" s="524"/>
      <c r="C484" s="524"/>
      <c r="D484" s="524"/>
      <c r="E484" s="524"/>
      <c r="F484" s="524"/>
      <c r="G484" s="524"/>
      <c r="H484" s="524"/>
      <c r="I484" s="524"/>
      <c r="J484" s="524"/>
      <c r="K484" s="164"/>
      <c r="L484" s="524"/>
      <c r="M484" s="164"/>
      <c r="N484" s="524"/>
      <c r="O484" s="165"/>
      <c r="P484" s="164"/>
      <c r="Q484" s="164"/>
      <c r="R484" s="164"/>
      <c r="S484" s="164"/>
      <c r="T484" s="164"/>
      <c r="U484" s="164"/>
      <c r="V484" s="164"/>
      <c r="W484" s="164"/>
      <c r="X484" s="164"/>
      <c r="Y484" s="164"/>
      <c r="Z484" s="524"/>
      <c r="AA484" s="524"/>
      <c r="AB484" s="524"/>
      <c r="AC484" s="524"/>
      <c r="AD484" s="524"/>
      <c r="AE484" s="524"/>
      <c r="AF484" s="524"/>
      <c r="AG484" s="524"/>
      <c r="AH484" s="524"/>
      <c r="AI484" s="524"/>
      <c r="AJ484" s="524"/>
      <c r="AK484" s="524"/>
      <c r="AL484" s="524"/>
      <c r="AM484" s="525"/>
      <c r="AN484" s="164"/>
      <c r="AO484" s="164"/>
      <c r="AP484" s="164"/>
      <c r="AQ484" s="164"/>
      <c r="AR484" s="164"/>
      <c r="AS484" s="166"/>
    </row>
    <row r="485" spans="1:45" s="167" customFormat="1" x14ac:dyDescent="0.35">
      <c r="A485" s="679" t="s">
        <v>957</v>
      </c>
      <c r="B485" s="679"/>
      <c r="C485" s="679"/>
      <c r="D485" s="679"/>
      <c r="E485" s="679"/>
      <c r="F485" s="679"/>
      <c r="G485" s="679"/>
      <c r="H485" s="679"/>
      <c r="I485" s="679"/>
      <c r="J485" s="679"/>
      <c r="K485" s="679"/>
      <c r="L485" s="679"/>
      <c r="M485" s="679"/>
      <c r="N485" s="679"/>
      <c r="O485" s="679"/>
      <c r="P485" s="679"/>
      <c r="Q485" s="679"/>
      <c r="R485" s="679"/>
      <c r="S485" s="679"/>
      <c r="T485" s="679"/>
      <c r="U485" s="679"/>
      <c r="V485" s="679"/>
      <c r="W485" s="679"/>
      <c r="X485" s="679"/>
      <c r="Y485" s="679"/>
      <c r="Z485" s="679"/>
      <c r="AA485" s="679"/>
      <c r="AB485" s="679"/>
      <c r="AC485" s="679"/>
      <c r="AD485" s="679"/>
      <c r="AE485" s="679"/>
      <c r="AF485" s="679"/>
      <c r="AG485" s="679"/>
      <c r="AH485" s="679"/>
      <c r="AI485" s="679"/>
      <c r="AJ485" s="679"/>
      <c r="AK485" s="679"/>
      <c r="AL485" s="679"/>
      <c r="AM485" s="679"/>
      <c r="AN485" s="679"/>
      <c r="AO485" s="679"/>
      <c r="AP485" s="679"/>
      <c r="AQ485" s="679"/>
      <c r="AR485" s="679"/>
      <c r="AS485" s="166"/>
    </row>
    <row r="486" spans="1:45" s="167" customFormat="1" x14ac:dyDescent="0.35">
      <c r="A486" s="681"/>
      <c r="B486" s="164"/>
      <c r="C486" s="164"/>
      <c r="D486" s="164"/>
      <c r="E486" s="164"/>
      <c r="F486" s="164"/>
      <c r="G486" s="164"/>
      <c r="H486" s="164"/>
      <c r="I486" s="164"/>
      <c r="J486" s="164"/>
      <c r="K486" s="164"/>
      <c r="L486" s="164"/>
      <c r="M486" s="164"/>
      <c r="N486" s="164"/>
      <c r="O486" s="164"/>
      <c r="P486" s="164"/>
      <c r="Q486" s="164"/>
      <c r="R486" s="164"/>
      <c r="S486" s="164"/>
      <c r="T486" s="164"/>
      <c r="U486" s="164"/>
      <c r="V486" s="164"/>
      <c r="W486" s="164"/>
      <c r="X486" s="164"/>
      <c r="Y486" s="164"/>
      <c r="Z486" s="682"/>
      <c r="AA486" s="682"/>
      <c r="AB486" s="164"/>
      <c r="AC486" s="164"/>
      <c r="AD486" s="164"/>
      <c r="AE486" s="164"/>
      <c r="AF486" s="164"/>
      <c r="AG486" s="164"/>
      <c r="AH486" s="164"/>
      <c r="AI486" s="164"/>
      <c r="AJ486" s="164"/>
      <c r="AK486" s="164"/>
      <c r="AL486" s="164"/>
      <c r="AM486" s="164"/>
      <c r="AN486" s="164"/>
      <c r="AO486" s="164"/>
      <c r="AP486" s="164"/>
      <c r="AQ486" s="164"/>
      <c r="AR486" s="164"/>
      <c r="AS486" s="166"/>
    </row>
    <row r="487" spans="1:45" s="332" customFormat="1" x14ac:dyDescent="0.35">
      <c r="A487" s="683" t="s">
        <v>958</v>
      </c>
      <c r="B487" s="326"/>
      <c r="C487" s="326"/>
      <c r="D487" s="326"/>
      <c r="E487" s="326"/>
      <c r="F487" s="326"/>
      <c r="G487" s="326"/>
      <c r="H487" s="326"/>
      <c r="I487" s="326"/>
      <c r="J487" s="326"/>
      <c r="K487" s="326"/>
      <c r="L487" s="326"/>
      <c r="M487" s="326"/>
      <c r="N487" s="326"/>
      <c r="O487" s="326"/>
      <c r="P487" s="326"/>
      <c r="Q487" s="326"/>
      <c r="R487" s="326"/>
      <c r="S487" s="326"/>
      <c r="T487" s="326"/>
      <c r="U487" s="326"/>
      <c r="V487" s="326"/>
      <c r="W487" s="326"/>
      <c r="X487" s="326"/>
      <c r="Y487" s="326"/>
      <c r="Z487" s="684"/>
      <c r="AA487" s="684"/>
      <c r="AB487" s="326"/>
      <c r="AC487" s="326"/>
      <c r="AD487" s="326"/>
      <c r="AE487" s="326"/>
      <c r="AF487" s="326"/>
      <c r="AG487" s="326"/>
      <c r="AH487" s="326"/>
      <c r="AI487" s="326"/>
      <c r="AJ487" s="326"/>
      <c r="AK487" s="326"/>
      <c r="AL487" s="326"/>
      <c r="AM487" s="326"/>
      <c r="AN487" s="326"/>
      <c r="AO487" s="326"/>
      <c r="AP487" s="326"/>
      <c r="AQ487" s="326"/>
      <c r="AR487" s="326"/>
      <c r="AS487" s="331"/>
    </row>
    <row r="488" spans="1:45" s="332" customFormat="1" x14ac:dyDescent="0.35">
      <c r="A488" s="685" t="s">
        <v>959</v>
      </c>
      <c r="B488" s="326"/>
      <c r="C488" s="326"/>
      <c r="D488" s="326"/>
      <c r="E488" s="326"/>
      <c r="F488" s="326"/>
      <c r="G488" s="326"/>
      <c r="H488" s="326"/>
      <c r="I488" s="326"/>
      <c r="J488" s="326"/>
      <c r="K488" s="326"/>
      <c r="L488" s="326"/>
      <c r="M488" s="326"/>
      <c r="N488" s="326"/>
      <c r="O488" s="326"/>
      <c r="P488" s="326"/>
      <c r="Q488" s="326"/>
      <c r="R488" s="326"/>
      <c r="S488" s="326"/>
      <c r="T488" s="326"/>
      <c r="U488" s="326"/>
      <c r="V488" s="326"/>
      <c r="W488" s="326"/>
      <c r="X488" s="326"/>
      <c r="Y488" s="326"/>
      <c r="Z488" s="684"/>
      <c r="AA488" s="684"/>
      <c r="AB488" s="326"/>
      <c r="AC488" s="326"/>
      <c r="AD488" s="326"/>
      <c r="AE488" s="326"/>
      <c r="AF488" s="326"/>
      <c r="AG488" s="326"/>
      <c r="AH488" s="326"/>
      <c r="AI488" s="326"/>
      <c r="AJ488" s="326"/>
      <c r="AK488" s="326"/>
      <c r="AL488" s="326"/>
      <c r="AM488" s="326"/>
      <c r="AN488" s="326"/>
      <c r="AO488" s="326"/>
      <c r="AP488" s="326"/>
      <c r="AQ488" s="326"/>
      <c r="AR488" s="326"/>
      <c r="AS488" s="331"/>
    </row>
    <row r="489" spans="1:45" s="332" customFormat="1" x14ac:dyDescent="0.35">
      <c r="A489" s="686" t="s">
        <v>960</v>
      </c>
      <c r="B489" s="326"/>
      <c r="C489" s="326"/>
      <c r="D489" s="326"/>
      <c r="E489" s="326"/>
      <c r="F489" s="326"/>
      <c r="G489" s="326"/>
      <c r="H489" s="326"/>
      <c r="I489" s="326"/>
      <c r="J489" s="326"/>
      <c r="K489" s="326"/>
      <c r="L489" s="326"/>
      <c r="M489" s="326"/>
      <c r="N489" s="326"/>
      <c r="O489" s="326"/>
      <c r="P489" s="326"/>
      <c r="Q489" s="326"/>
      <c r="R489" s="326"/>
      <c r="S489" s="326"/>
      <c r="T489" s="326"/>
      <c r="U489" s="326"/>
      <c r="V489" s="326"/>
      <c r="W489" s="326"/>
      <c r="X489" s="326"/>
      <c r="Y489" s="326"/>
      <c r="Z489" s="684"/>
      <c r="AA489" s="684"/>
      <c r="AB489" s="326"/>
      <c r="AC489" s="326"/>
      <c r="AD489" s="326"/>
      <c r="AE489" s="326"/>
      <c r="AF489" s="326"/>
      <c r="AG489" s="326"/>
      <c r="AH489" s="326"/>
      <c r="AI489" s="326"/>
      <c r="AJ489" s="326"/>
      <c r="AK489" s="326"/>
      <c r="AL489" s="326"/>
      <c r="AM489" s="326"/>
      <c r="AN489" s="326"/>
      <c r="AO489" s="326"/>
      <c r="AP489" s="326"/>
      <c r="AQ489" s="326"/>
      <c r="AR489" s="326"/>
      <c r="AS489" s="331"/>
    </row>
    <row r="490" spans="1:45" s="332" customFormat="1" x14ac:dyDescent="0.35">
      <c r="A490" s="687" t="s">
        <v>961</v>
      </c>
      <c r="B490" s="326"/>
      <c r="C490" s="326"/>
      <c r="D490" s="326"/>
      <c r="E490" s="326"/>
      <c r="F490" s="326"/>
      <c r="G490" s="326"/>
      <c r="H490" s="326"/>
      <c r="I490" s="326"/>
      <c r="J490" s="326"/>
      <c r="K490" s="326"/>
      <c r="L490" s="326"/>
      <c r="M490" s="326"/>
      <c r="N490" s="326"/>
      <c r="O490" s="326"/>
      <c r="P490" s="326"/>
      <c r="Q490" s="326"/>
      <c r="R490" s="326"/>
      <c r="S490" s="326"/>
      <c r="T490" s="326"/>
      <c r="U490" s="326"/>
      <c r="V490" s="326"/>
      <c r="W490" s="326"/>
      <c r="X490" s="326"/>
      <c r="Y490" s="326"/>
      <c r="Z490" s="684"/>
      <c r="AA490" s="684"/>
      <c r="AB490" s="326"/>
      <c r="AC490" s="326"/>
      <c r="AD490" s="326"/>
      <c r="AE490" s="326"/>
      <c r="AF490" s="326"/>
      <c r="AG490" s="326"/>
      <c r="AH490" s="326"/>
      <c r="AI490" s="326"/>
      <c r="AJ490" s="326"/>
      <c r="AK490" s="326"/>
      <c r="AL490" s="326"/>
      <c r="AM490" s="326"/>
      <c r="AN490" s="326"/>
      <c r="AO490" s="326"/>
      <c r="AP490" s="326"/>
      <c r="AQ490" s="326"/>
      <c r="AR490" s="326"/>
      <c r="AS490" s="331"/>
    </row>
    <row r="491" spans="1:45" s="332" customFormat="1" x14ac:dyDescent="0.35">
      <c r="A491" s="688" t="s">
        <v>962</v>
      </c>
      <c r="B491" s="326"/>
      <c r="C491" s="326"/>
      <c r="D491" s="326"/>
      <c r="E491" s="326"/>
      <c r="F491" s="326"/>
      <c r="G491" s="326"/>
      <c r="H491" s="326"/>
      <c r="I491" s="326"/>
      <c r="J491" s="326"/>
      <c r="K491" s="326"/>
      <c r="L491" s="326"/>
      <c r="M491" s="326"/>
      <c r="N491" s="326"/>
      <c r="O491" s="326"/>
      <c r="P491" s="326"/>
      <c r="Q491" s="326"/>
      <c r="R491" s="326"/>
      <c r="S491" s="326"/>
      <c r="T491" s="326"/>
      <c r="U491" s="326"/>
      <c r="V491" s="326"/>
      <c r="W491" s="326"/>
      <c r="X491" s="326"/>
      <c r="Y491" s="326"/>
      <c r="Z491" s="684"/>
      <c r="AA491" s="684"/>
      <c r="AB491" s="326"/>
      <c r="AC491" s="326"/>
      <c r="AD491" s="326"/>
      <c r="AE491" s="326"/>
      <c r="AF491" s="326"/>
      <c r="AG491" s="326"/>
      <c r="AH491" s="326"/>
      <c r="AI491" s="326"/>
      <c r="AJ491" s="326"/>
      <c r="AK491" s="326"/>
      <c r="AL491" s="326"/>
      <c r="AM491" s="326"/>
      <c r="AN491" s="326"/>
      <c r="AO491" s="326"/>
      <c r="AP491" s="326"/>
      <c r="AQ491" s="326"/>
      <c r="AR491" s="326"/>
      <c r="AS491" s="331"/>
    </row>
    <row r="492" spans="1:45" s="332" customFormat="1" x14ac:dyDescent="0.35">
      <c r="A492" s="689" t="s">
        <v>963</v>
      </c>
      <c r="B492" s="326"/>
      <c r="C492" s="326"/>
      <c r="D492" s="326"/>
      <c r="E492" s="326"/>
      <c r="F492" s="326"/>
      <c r="G492" s="326"/>
      <c r="H492" s="326"/>
      <c r="I492" s="326"/>
      <c r="J492" s="326"/>
      <c r="K492" s="326"/>
      <c r="L492" s="326"/>
      <c r="M492" s="326"/>
      <c r="N492" s="326"/>
      <c r="O492" s="326"/>
      <c r="P492" s="326"/>
      <c r="Q492" s="326"/>
      <c r="R492" s="326"/>
      <c r="S492" s="326"/>
      <c r="T492" s="326"/>
      <c r="U492" s="326"/>
      <c r="V492" s="326"/>
      <c r="W492" s="326"/>
      <c r="X492" s="326"/>
      <c r="Y492" s="326"/>
      <c r="Z492" s="684"/>
      <c r="AA492" s="684"/>
      <c r="AB492" s="326"/>
      <c r="AC492" s="326"/>
      <c r="AD492" s="326"/>
      <c r="AE492" s="326"/>
      <c r="AF492" s="326"/>
      <c r="AG492" s="326"/>
      <c r="AH492" s="326"/>
      <c r="AI492" s="326"/>
      <c r="AJ492" s="326"/>
      <c r="AK492" s="326"/>
      <c r="AL492" s="326"/>
      <c r="AM492" s="326"/>
      <c r="AN492" s="326"/>
      <c r="AO492" s="326"/>
      <c r="AP492" s="326"/>
      <c r="AQ492" s="326"/>
      <c r="AR492" s="326"/>
      <c r="AS492" s="331"/>
    </row>
    <row r="493" spans="1:45" s="332" customFormat="1" x14ac:dyDescent="0.35">
      <c r="A493" s="681"/>
      <c r="B493" s="326"/>
      <c r="C493" s="326"/>
      <c r="D493" s="326"/>
      <c r="E493" s="326"/>
      <c r="F493" s="326"/>
      <c r="G493" s="326"/>
      <c r="H493" s="326"/>
      <c r="I493" s="326"/>
      <c r="J493" s="326"/>
      <c r="K493" s="326"/>
      <c r="L493" s="326"/>
      <c r="M493" s="326"/>
      <c r="N493" s="326"/>
      <c r="O493" s="326"/>
      <c r="P493" s="326"/>
      <c r="Q493" s="326"/>
      <c r="R493" s="326"/>
      <c r="S493" s="326"/>
      <c r="T493" s="326"/>
      <c r="U493" s="326"/>
      <c r="V493" s="326"/>
      <c r="W493" s="326"/>
      <c r="X493" s="326"/>
      <c r="Y493" s="326"/>
      <c r="Z493" s="684"/>
      <c r="AA493" s="684"/>
      <c r="AB493" s="326"/>
      <c r="AC493" s="326"/>
      <c r="AD493" s="326"/>
      <c r="AE493" s="326"/>
      <c r="AF493" s="326"/>
      <c r="AG493" s="326"/>
      <c r="AH493" s="326"/>
      <c r="AI493" s="326"/>
      <c r="AJ493" s="326"/>
      <c r="AK493" s="326"/>
      <c r="AL493" s="326"/>
      <c r="AM493" s="326"/>
      <c r="AN493" s="326"/>
      <c r="AO493" s="326"/>
      <c r="AP493" s="326"/>
      <c r="AQ493" s="326"/>
      <c r="AR493" s="326"/>
      <c r="AS493" s="331"/>
    </row>
    <row r="494" spans="1:45" x14ac:dyDescent="0.35">
      <c r="A494" s="690" t="s">
        <v>964</v>
      </c>
      <c r="B494" s="691"/>
      <c r="C494" s="170"/>
      <c r="D494" s="170"/>
      <c r="E494" s="170"/>
      <c r="F494" s="170"/>
      <c r="G494" s="170"/>
      <c r="H494" s="170"/>
      <c r="I494" s="170"/>
      <c r="J494" s="170"/>
      <c r="K494" s="170"/>
      <c r="L494" s="170"/>
      <c r="M494" s="170"/>
      <c r="N494" s="170"/>
      <c r="O494" s="170"/>
      <c r="P494" s="170"/>
      <c r="Q494" s="170"/>
      <c r="R494" s="170"/>
      <c r="S494" s="170"/>
      <c r="T494" s="170"/>
      <c r="U494" s="170"/>
      <c r="V494" s="170"/>
      <c r="W494" s="170"/>
      <c r="X494" s="170"/>
      <c r="Y494" s="170"/>
      <c r="Z494" s="170"/>
      <c r="AA494" s="170"/>
      <c r="AB494" s="170"/>
      <c r="AC494" s="170"/>
      <c r="AD494" s="170"/>
      <c r="AE494" s="170"/>
      <c r="AF494" s="170"/>
      <c r="AG494" s="170"/>
      <c r="AH494" s="170"/>
      <c r="AI494" s="170"/>
      <c r="AJ494" s="170"/>
      <c r="AK494" s="170"/>
      <c r="AL494" s="170"/>
      <c r="AM494" s="170"/>
      <c r="AN494" s="170"/>
      <c r="AO494" s="170"/>
      <c r="AP494" s="170"/>
      <c r="AQ494" s="170"/>
      <c r="AR494" s="170"/>
      <c r="AS494" s="171"/>
    </row>
    <row r="495" spans="1:45" s="332" customFormat="1" x14ac:dyDescent="0.35">
      <c r="A495" s="692" t="s">
        <v>965</v>
      </c>
      <c r="B495" s="693">
        <v>1</v>
      </c>
      <c r="C495" s="326"/>
      <c r="D495" s="326"/>
      <c r="E495" s="326"/>
      <c r="F495" s="326"/>
      <c r="G495" s="326"/>
      <c r="H495" s="326"/>
      <c r="I495" s="326"/>
      <c r="J495" s="326"/>
      <c r="K495" s="326"/>
      <c r="L495" s="326"/>
      <c r="M495" s="326"/>
      <c r="N495" s="326"/>
      <c r="O495" s="326"/>
      <c r="P495" s="326"/>
      <c r="Q495" s="326"/>
      <c r="R495" s="326"/>
      <c r="S495" s="326"/>
      <c r="T495" s="326"/>
      <c r="U495" s="326"/>
      <c r="V495" s="326"/>
      <c r="W495" s="326"/>
      <c r="X495" s="326"/>
      <c r="Y495" s="326"/>
      <c r="Z495" s="326"/>
      <c r="AA495" s="684"/>
      <c r="AB495" s="326"/>
      <c r="AC495" s="326"/>
      <c r="AD495" s="326"/>
      <c r="AE495" s="326"/>
      <c r="AF495" s="326"/>
      <c r="AG495" s="326"/>
      <c r="AH495" s="326"/>
      <c r="AI495" s="326"/>
      <c r="AJ495" s="326"/>
      <c r="AK495" s="326"/>
      <c r="AL495" s="326"/>
      <c r="AM495" s="326"/>
      <c r="AN495" s="326"/>
      <c r="AO495" s="326"/>
      <c r="AP495" s="326"/>
      <c r="AQ495" s="326"/>
      <c r="AR495" s="326"/>
      <c r="AS495" s="331"/>
    </row>
    <row r="496" spans="1:45" s="332" customFormat="1" x14ac:dyDescent="0.35">
      <c r="A496" s="692" t="s">
        <v>966</v>
      </c>
      <c r="B496" s="693">
        <v>2</v>
      </c>
      <c r="C496" s="326"/>
      <c r="D496" s="326"/>
      <c r="E496" s="326"/>
      <c r="F496" s="326"/>
      <c r="G496" s="326"/>
      <c r="H496" s="326"/>
      <c r="I496" s="326"/>
      <c r="J496" s="326"/>
      <c r="K496" s="326"/>
      <c r="L496" s="326"/>
      <c r="M496" s="326"/>
      <c r="N496" s="326"/>
      <c r="O496" s="326"/>
      <c r="P496" s="326"/>
      <c r="Q496" s="326"/>
      <c r="R496" s="326"/>
      <c r="S496" s="326"/>
      <c r="T496" s="326"/>
      <c r="U496" s="326"/>
      <c r="V496" s="326"/>
      <c r="W496" s="326"/>
      <c r="X496" s="326"/>
      <c r="Y496" s="326"/>
      <c r="Z496" s="326"/>
      <c r="AA496" s="684"/>
      <c r="AB496" s="326"/>
      <c r="AC496" s="326"/>
      <c r="AD496" s="326"/>
      <c r="AE496" s="326"/>
      <c r="AF496" s="326"/>
      <c r="AG496" s="326"/>
      <c r="AH496" s="326"/>
      <c r="AI496" s="326"/>
      <c r="AJ496" s="326"/>
      <c r="AK496" s="326"/>
      <c r="AL496" s="326"/>
      <c r="AM496" s="326"/>
      <c r="AN496" s="326"/>
      <c r="AO496" s="326"/>
      <c r="AP496" s="326"/>
      <c r="AQ496" s="326"/>
      <c r="AR496" s="326"/>
      <c r="AS496" s="331"/>
    </row>
    <row r="497" spans="1:45" s="332" customFormat="1" x14ac:dyDescent="0.35">
      <c r="A497" s="694" t="s">
        <v>837</v>
      </c>
      <c r="B497" s="695">
        <v>3</v>
      </c>
      <c r="C497" s="326"/>
      <c r="D497" s="326"/>
      <c r="E497" s="326"/>
      <c r="F497" s="326"/>
      <c r="G497" s="326"/>
      <c r="H497" s="326"/>
      <c r="I497" s="326"/>
      <c r="J497" s="326"/>
      <c r="K497" s="326"/>
      <c r="L497" s="326"/>
      <c r="M497" s="326"/>
      <c r="N497" s="326"/>
      <c r="O497" s="326"/>
      <c r="P497" s="326"/>
      <c r="Q497" s="326"/>
      <c r="R497" s="326"/>
      <c r="S497" s="326"/>
      <c r="T497" s="326"/>
      <c r="U497" s="326"/>
      <c r="V497" s="326"/>
      <c r="W497" s="326"/>
      <c r="X497" s="326"/>
      <c r="Y497" s="326"/>
      <c r="Z497" s="326"/>
      <c r="AA497" s="684"/>
      <c r="AB497" s="326"/>
      <c r="AC497" s="326"/>
      <c r="AD497" s="326"/>
      <c r="AE497" s="326"/>
      <c r="AF497" s="326"/>
      <c r="AG497" s="326"/>
      <c r="AH497" s="326"/>
      <c r="AI497" s="326"/>
      <c r="AJ497" s="326"/>
      <c r="AK497" s="326"/>
      <c r="AL497" s="326"/>
      <c r="AM497" s="326"/>
      <c r="AN497" s="326"/>
      <c r="AO497" s="326"/>
      <c r="AP497" s="326"/>
      <c r="AQ497" s="326"/>
      <c r="AR497" s="326"/>
      <c r="AS497" s="331"/>
    </row>
    <row r="498" spans="1:45" s="332" customFormat="1" x14ac:dyDescent="0.35">
      <c r="A498" s="681"/>
      <c r="B498" s="326"/>
      <c r="C498" s="326"/>
      <c r="D498" s="326"/>
      <c r="E498" s="326"/>
      <c r="F498" s="326"/>
      <c r="G498" s="326"/>
      <c r="H498" s="326"/>
      <c r="I498" s="326"/>
      <c r="J498" s="326"/>
      <c r="K498" s="326"/>
      <c r="L498" s="326"/>
      <c r="M498" s="326"/>
      <c r="N498" s="326"/>
      <c r="O498" s="326"/>
      <c r="P498" s="326"/>
      <c r="Q498" s="326"/>
      <c r="R498" s="326"/>
      <c r="S498" s="326"/>
      <c r="T498" s="326"/>
      <c r="U498" s="326"/>
      <c r="V498" s="326"/>
      <c r="W498" s="326"/>
      <c r="X498" s="326"/>
      <c r="Y498" s="326"/>
      <c r="Z498" s="684"/>
      <c r="AA498" s="684"/>
      <c r="AB498" s="326"/>
      <c r="AC498" s="326"/>
      <c r="AD498" s="326"/>
      <c r="AE498" s="326"/>
      <c r="AF498" s="326"/>
      <c r="AG498" s="326"/>
      <c r="AH498" s="326"/>
      <c r="AI498" s="326"/>
      <c r="AJ498" s="326"/>
      <c r="AK498" s="326"/>
      <c r="AL498" s="326"/>
      <c r="AM498" s="326"/>
      <c r="AN498" s="326"/>
      <c r="AO498" s="326"/>
      <c r="AP498" s="326"/>
      <c r="AQ498" s="326"/>
      <c r="AR498" s="326"/>
      <c r="AS498" s="331"/>
    </row>
    <row r="499" spans="1:45" s="332" customFormat="1" x14ac:dyDescent="0.35">
      <c r="A499" s="696" t="s">
        <v>967</v>
      </c>
      <c r="B499" s="326"/>
      <c r="C499" s="326"/>
      <c r="D499" s="326"/>
      <c r="E499" s="326"/>
      <c r="F499" s="326"/>
      <c r="G499" s="326"/>
      <c r="H499" s="326"/>
      <c r="I499" s="326"/>
      <c r="J499" s="326"/>
      <c r="K499" s="326"/>
      <c r="L499" s="326"/>
      <c r="M499" s="326"/>
      <c r="N499" s="326"/>
      <c r="O499" s="326"/>
      <c r="P499" s="326"/>
      <c r="Q499" s="326"/>
      <c r="R499" s="326"/>
      <c r="S499" s="326"/>
      <c r="T499" s="326"/>
      <c r="U499" s="326"/>
      <c r="V499" s="326"/>
      <c r="W499" s="326"/>
      <c r="X499" s="326"/>
      <c r="Y499" s="326"/>
      <c r="Z499" s="684"/>
      <c r="AA499" s="684"/>
      <c r="AB499" s="326"/>
      <c r="AC499" s="326"/>
      <c r="AD499" s="326"/>
      <c r="AE499" s="326"/>
      <c r="AF499" s="326"/>
      <c r="AG499" s="326"/>
      <c r="AH499" s="326"/>
      <c r="AI499" s="326"/>
      <c r="AJ499" s="326"/>
      <c r="AK499" s="326"/>
      <c r="AL499" s="326"/>
      <c r="AM499" s="326"/>
      <c r="AN499" s="326"/>
      <c r="AO499" s="326"/>
      <c r="AP499" s="326"/>
      <c r="AQ499" s="326"/>
      <c r="AR499" s="326"/>
      <c r="AS499" s="331"/>
    </row>
    <row r="500" spans="1:45" s="332" customFormat="1" x14ac:dyDescent="0.35">
      <c r="A500" s="697" t="str">
        <f>MO_RIS_REV</f>
        <v>Net Revenue</v>
      </c>
      <c r="B500" s="326"/>
      <c r="C500" s="326"/>
      <c r="D500" s="326"/>
      <c r="E500" s="326"/>
      <c r="F500" s="326"/>
      <c r="G500" s="326"/>
      <c r="H500" s="326"/>
      <c r="I500" s="326"/>
      <c r="J500" s="326"/>
      <c r="K500" s="326"/>
      <c r="L500" s="326"/>
      <c r="M500" s="326"/>
      <c r="N500" s="326"/>
      <c r="O500" s="326"/>
      <c r="P500" s="326"/>
      <c r="Q500" s="326"/>
      <c r="R500" s="326"/>
      <c r="S500" s="326"/>
      <c r="T500" s="326"/>
      <c r="U500" s="326"/>
      <c r="V500" s="326"/>
      <c r="W500" s="326"/>
      <c r="X500" s="326"/>
      <c r="Y500" s="326"/>
      <c r="Z500" s="684"/>
      <c r="AA500" s="684"/>
      <c r="AB500" s="326"/>
      <c r="AC500" s="326"/>
      <c r="AD500" s="326"/>
      <c r="AE500" s="326"/>
      <c r="AF500" s="326"/>
      <c r="AG500" s="326"/>
      <c r="AH500" s="326"/>
      <c r="AI500" s="326"/>
      <c r="AJ500" s="326"/>
      <c r="AK500" s="326"/>
      <c r="AL500" s="326"/>
      <c r="AM500" s="326"/>
      <c r="AN500" s="326"/>
      <c r="AO500" s="326"/>
      <c r="AP500" s="326"/>
      <c r="AQ500" s="326"/>
      <c r="AR500" s="326"/>
      <c r="AS500" s="331"/>
    </row>
    <row r="501" spans="1:45" s="332" customFormat="1" x14ac:dyDescent="0.35">
      <c r="A501" s="697" t="str">
        <f>MO_RIS_EBITDA_Adj</f>
        <v>Adjusted EBITDA</v>
      </c>
      <c r="B501" s="326"/>
      <c r="C501" s="326"/>
      <c r="D501" s="326"/>
      <c r="E501" s="326"/>
      <c r="F501" s="326"/>
      <c r="G501" s="326"/>
      <c r="H501" s="326"/>
      <c r="I501" s="326"/>
      <c r="J501" s="326"/>
      <c r="K501" s="326"/>
      <c r="L501" s="326"/>
      <c r="M501" s="326"/>
      <c r="N501" s="326"/>
      <c r="O501" s="326"/>
      <c r="P501" s="326"/>
      <c r="Q501" s="326"/>
      <c r="R501" s="326"/>
      <c r="S501" s="326"/>
      <c r="T501" s="326"/>
      <c r="U501" s="326"/>
      <c r="V501" s="326"/>
      <c r="W501" s="326"/>
      <c r="X501" s="326"/>
      <c r="Y501" s="326"/>
      <c r="Z501" s="684"/>
      <c r="AA501" s="684"/>
      <c r="AB501" s="326"/>
      <c r="AC501" s="326"/>
      <c r="AD501" s="326"/>
      <c r="AE501" s="326"/>
      <c r="AF501" s="326"/>
      <c r="AG501" s="326"/>
      <c r="AH501" s="326"/>
      <c r="AI501" s="326"/>
      <c r="AJ501" s="326"/>
      <c r="AK501" s="326"/>
      <c r="AL501" s="326"/>
      <c r="AM501" s="326"/>
      <c r="AN501" s="326"/>
      <c r="AO501" s="326"/>
      <c r="AP501" s="326"/>
      <c r="AQ501" s="326"/>
      <c r="AR501" s="326"/>
      <c r="AS501" s="331"/>
    </row>
    <row r="502" spans="1:45" s="332" customFormat="1" x14ac:dyDescent="0.35">
      <c r="A502" s="697" t="str">
        <f>MO_RIS_EBIT_Adj</f>
        <v>Adjusted EBIT</v>
      </c>
      <c r="B502" s="326"/>
      <c r="C502" s="326"/>
      <c r="D502" s="326"/>
      <c r="E502" s="326"/>
      <c r="F502" s="326"/>
      <c r="G502" s="326"/>
      <c r="H502" s="326"/>
      <c r="I502" s="326"/>
      <c r="J502" s="326"/>
      <c r="K502" s="326"/>
      <c r="L502" s="326"/>
      <c r="M502" s="326"/>
      <c r="N502" s="326"/>
      <c r="O502" s="326"/>
      <c r="P502" s="326"/>
      <c r="Q502" s="326"/>
      <c r="R502" s="326"/>
      <c r="S502" s="326"/>
      <c r="T502" s="326"/>
      <c r="U502" s="326"/>
      <c r="V502" s="326"/>
      <c r="W502" s="326"/>
      <c r="X502" s="326"/>
      <c r="Y502" s="326"/>
      <c r="Z502" s="684"/>
      <c r="AA502" s="684"/>
      <c r="AB502" s="326"/>
      <c r="AC502" s="326"/>
      <c r="AD502" s="326"/>
      <c r="AE502" s="326"/>
      <c r="AF502" s="326"/>
      <c r="AG502" s="326"/>
      <c r="AH502" s="326"/>
      <c r="AI502" s="326"/>
      <c r="AJ502" s="326"/>
      <c r="AK502" s="326"/>
      <c r="AL502" s="326"/>
      <c r="AM502" s="326"/>
      <c r="AN502" s="326"/>
      <c r="AO502" s="326"/>
      <c r="AP502" s="326"/>
      <c r="AQ502" s="326"/>
      <c r="AR502" s="326"/>
      <c r="AS502" s="331"/>
    </row>
    <row r="503" spans="1:45" s="332" customFormat="1" x14ac:dyDescent="0.35">
      <c r="A503" s="697" t="str">
        <f>MO_RIS_EPS_WAD_Adj</f>
        <v>Adjusted Earnings Per Share - WAD, p</v>
      </c>
      <c r="B503" s="326"/>
      <c r="C503" s="326"/>
      <c r="D503" s="326"/>
      <c r="E503" s="326"/>
      <c r="F503" s="326"/>
      <c r="G503" s="326"/>
      <c r="H503" s="326"/>
      <c r="I503" s="326"/>
      <c r="J503" s="326"/>
      <c r="K503" s="326"/>
      <c r="L503" s="326"/>
      <c r="M503" s="326"/>
      <c r="N503" s="326"/>
      <c r="O503" s="326"/>
      <c r="P503" s="326"/>
      <c r="Q503" s="326"/>
      <c r="R503" s="326"/>
      <c r="S503" s="326"/>
      <c r="T503" s="326"/>
      <c r="U503" s="326"/>
      <c r="V503" s="326"/>
      <c r="W503" s="326"/>
      <c r="X503" s="326"/>
      <c r="Y503" s="326"/>
      <c r="Z503" s="684"/>
      <c r="AA503" s="684"/>
      <c r="AB503" s="326"/>
      <c r="AC503" s="326"/>
      <c r="AD503" s="326"/>
      <c r="AE503" s="326"/>
      <c r="AF503" s="326"/>
      <c r="AG503" s="326"/>
      <c r="AH503" s="326"/>
      <c r="AI503" s="326"/>
      <c r="AJ503" s="326"/>
      <c r="AK503" s="326"/>
      <c r="AL503" s="326"/>
      <c r="AM503" s="326"/>
      <c r="AN503" s="326"/>
      <c r="AO503" s="326"/>
      <c r="AP503" s="326"/>
      <c r="AQ503" s="326"/>
      <c r="AR503" s="326"/>
      <c r="AS503" s="331"/>
    </row>
    <row r="504" spans="1:45" s="332" customFormat="1" x14ac:dyDescent="0.35">
      <c r="A504" s="697" t="str">
        <f>MO_VA_EV_ToEBITDA</f>
        <v>EV/EBITDA - Avg</v>
      </c>
      <c r="B504" s="326"/>
      <c r="C504" s="326"/>
      <c r="D504" s="326"/>
      <c r="E504" s="326"/>
      <c r="F504" s="326"/>
      <c r="G504" s="326"/>
      <c r="H504" s="326"/>
      <c r="I504" s="326"/>
      <c r="J504" s="326"/>
      <c r="K504" s="326"/>
      <c r="L504" s="326"/>
      <c r="M504" s="326"/>
      <c r="N504" s="326"/>
      <c r="O504" s="326"/>
      <c r="P504" s="326"/>
      <c r="Q504" s="326"/>
      <c r="R504" s="326"/>
      <c r="S504" s="326"/>
      <c r="T504" s="326"/>
      <c r="U504" s="326"/>
      <c r="V504" s="326"/>
      <c r="W504" s="326"/>
      <c r="X504" s="326"/>
      <c r="Y504" s="326"/>
      <c r="Z504" s="684"/>
      <c r="AA504" s="684"/>
      <c r="AB504" s="326"/>
      <c r="AC504" s="326"/>
      <c r="AD504" s="326"/>
      <c r="AE504" s="326"/>
      <c r="AF504" s="326"/>
      <c r="AG504" s="326"/>
      <c r="AH504" s="326"/>
      <c r="AI504" s="326"/>
      <c r="AJ504" s="326"/>
      <c r="AK504" s="326"/>
      <c r="AL504" s="326"/>
      <c r="AM504" s="326"/>
      <c r="AN504" s="326"/>
      <c r="AO504" s="326"/>
      <c r="AP504" s="326"/>
      <c r="AQ504" s="326"/>
      <c r="AR504" s="326"/>
      <c r="AS504" s="331"/>
    </row>
    <row r="505" spans="1:45" s="332" customFormat="1" x14ac:dyDescent="0.35">
      <c r="A505" s="697" t="str">
        <f>MO_VA_P_ToE</f>
        <v>P/E - Avg</v>
      </c>
      <c r="B505" s="326"/>
      <c r="C505" s="326"/>
      <c r="D505" s="326"/>
      <c r="E505" s="326"/>
      <c r="F505" s="326"/>
      <c r="G505" s="326"/>
      <c r="H505" s="326"/>
      <c r="I505" s="326"/>
      <c r="J505" s="326"/>
      <c r="K505" s="326"/>
      <c r="L505" s="326"/>
      <c r="M505" s="326"/>
      <c r="N505" s="326"/>
      <c r="O505" s="326"/>
      <c r="P505" s="326"/>
      <c r="Q505" s="326"/>
      <c r="R505" s="326"/>
      <c r="S505" s="326"/>
      <c r="T505" s="326"/>
      <c r="U505" s="326"/>
      <c r="V505" s="326"/>
      <c r="W505" s="326"/>
      <c r="X505" s="326"/>
      <c r="Y505" s="326"/>
      <c r="Z505" s="684"/>
      <c r="AA505" s="684"/>
      <c r="AB505" s="326"/>
      <c r="AC505" s="326"/>
      <c r="AD505" s="326"/>
      <c r="AE505" s="326"/>
      <c r="AF505" s="326"/>
      <c r="AG505" s="326"/>
      <c r="AH505" s="326"/>
      <c r="AI505" s="326"/>
      <c r="AJ505" s="326"/>
      <c r="AK505" s="326"/>
      <c r="AL505" s="326"/>
      <c r="AM505" s="326"/>
      <c r="AN505" s="326"/>
      <c r="AO505" s="326"/>
      <c r="AP505" s="326"/>
      <c r="AQ505" s="326"/>
      <c r="AR505" s="326"/>
      <c r="AS505" s="331"/>
    </row>
    <row r="506" spans="1:45" s="332" customFormat="1" x14ac:dyDescent="0.35">
      <c r="A506" s="698"/>
      <c r="B506" s="326"/>
      <c r="C506" s="326"/>
      <c r="D506" s="326"/>
      <c r="E506" s="326"/>
      <c r="F506" s="326"/>
      <c r="G506" s="326"/>
      <c r="H506" s="326"/>
      <c r="I506" s="326"/>
      <c r="J506" s="326"/>
      <c r="K506" s="326"/>
      <c r="L506" s="326"/>
      <c r="M506" s="326"/>
      <c r="N506" s="326"/>
      <c r="O506" s="326"/>
      <c r="P506" s="326"/>
      <c r="Q506" s="326"/>
      <c r="R506" s="326"/>
      <c r="S506" s="326"/>
      <c r="T506" s="326"/>
      <c r="U506" s="326"/>
      <c r="V506" s="326"/>
      <c r="W506" s="326"/>
      <c r="X506" s="326"/>
      <c r="Y506" s="326"/>
      <c r="Z506" s="684"/>
      <c r="AA506" s="684"/>
      <c r="AB506" s="326"/>
      <c r="AC506" s="326"/>
      <c r="AD506" s="326"/>
      <c r="AE506" s="326"/>
      <c r="AF506" s="326"/>
      <c r="AG506" s="326"/>
      <c r="AH506" s="326"/>
      <c r="AI506" s="326"/>
      <c r="AJ506" s="326"/>
      <c r="AK506" s="326"/>
      <c r="AL506" s="326"/>
      <c r="AM506" s="326"/>
      <c r="AN506" s="326"/>
      <c r="AO506" s="326"/>
      <c r="AP506" s="326"/>
      <c r="AQ506" s="326"/>
      <c r="AR506" s="326"/>
      <c r="AS506" s="331"/>
    </row>
    <row r="507" spans="1:45" s="332" customFormat="1" x14ac:dyDescent="0.35">
      <c r="A507" s="681"/>
      <c r="B507" s="326"/>
      <c r="C507" s="326"/>
      <c r="D507" s="326"/>
      <c r="E507" s="326"/>
      <c r="F507" s="326"/>
      <c r="G507" s="326"/>
      <c r="H507" s="326"/>
      <c r="I507" s="326"/>
      <c r="J507" s="326"/>
      <c r="K507" s="326"/>
      <c r="L507" s="326"/>
      <c r="M507" s="326"/>
      <c r="N507" s="326"/>
      <c r="O507" s="326"/>
      <c r="P507" s="326"/>
      <c r="Q507" s="326"/>
      <c r="R507" s="326"/>
      <c r="S507" s="326"/>
      <c r="T507" s="326"/>
      <c r="U507" s="326"/>
      <c r="V507" s="326"/>
      <c r="W507" s="326"/>
      <c r="X507" s="326"/>
      <c r="Y507" s="326"/>
      <c r="Z507" s="684"/>
      <c r="AA507" s="684"/>
      <c r="AB507" s="326"/>
      <c r="AC507" s="326"/>
      <c r="AD507" s="326"/>
      <c r="AE507" s="326"/>
      <c r="AF507" s="326"/>
      <c r="AG507" s="326"/>
      <c r="AH507" s="326"/>
      <c r="AI507" s="326"/>
      <c r="AJ507" s="326"/>
      <c r="AK507" s="326"/>
      <c r="AL507" s="326"/>
      <c r="AM507" s="326"/>
      <c r="AN507" s="326"/>
      <c r="AO507" s="326"/>
      <c r="AP507" s="326"/>
      <c r="AQ507" s="326"/>
      <c r="AR507" s="326"/>
      <c r="AS507" s="331"/>
    </row>
    <row r="508" spans="1:45" s="332" customFormat="1" x14ac:dyDescent="0.35">
      <c r="A508" s="699" t="s">
        <v>968</v>
      </c>
      <c r="B508" s="326"/>
      <c r="C508" s="326"/>
      <c r="D508" s="326"/>
      <c r="E508" s="326"/>
      <c r="F508" s="326"/>
      <c r="G508" s="326"/>
      <c r="H508" s="326"/>
      <c r="I508" s="326"/>
      <c r="J508" s="326"/>
      <c r="K508" s="326"/>
      <c r="L508" s="326"/>
      <c r="M508" s="326"/>
      <c r="N508" s="326"/>
      <c r="O508" s="326"/>
      <c r="P508" s="326"/>
      <c r="Q508" s="326"/>
      <c r="R508" s="326"/>
      <c r="S508" s="326"/>
      <c r="T508" s="326"/>
      <c r="U508" s="326"/>
      <c r="V508" s="326"/>
      <c r="W508" s="326"/>
      <c r="X508" s="326"/>
      <c r="Y508" s="326"/>
      <c r="Z508" s="684"/>
      <c r="AA508" s="684"/>
      <c r="AB508" s="326"/>
      <c r="AC508" s="326"/>
      <c r="AD508" s="326"/>
      <c r="AE508" s="326"/>
      <c r="AF508" s="326"/>
      <c r="AG508" s="326"/>
      <c r="AH508" s="326"/>
      <c r="AI508" s="326"/>
      <c r="AJ508" s="326"/>
      <c r="AK508" s="326"/>
      <c r="AL508" s="326"/>
      <c r="AM508" s="326"/>
      <c r="AN508" s="326"/>
      <c r="AO508" s="326"/>
      <c r="AP508" s="326"/>
      <c r="AQ508" s="326"/>
      <c r="AR508" s="326"/>
      <c r="AS508" s="331"/>
    </row>
    <row r="509" spans="1:45" s="332" customFormat="1" x14ac:dyDescent="0.35">
      <c r="A509" s="700" t="s">
        <v>969</v>
      </c>
      <c r="B509" s="326"/>
      <c r="C509" s="326"/>
      <c r="D509" s="326"/>
      <c r="E509" s="326"/>
      <c r="F509" s="326"/>
      <c r="G509" s="326"/>
      <c r="H509" s="326"/>
      <c r="I509" s="326"/>
      <c r="J509" s="326"/>
      <c r="K509" s="326"/>
      <c r="L509" s="326"/>
      <c r="M509" s="326"/>
      <c r="N509" s="326"/>
      <c r="O509" s="326"/>
      <c r="P509" s="326"/>
      <c r="Q509" s="326"/>
      <c r="R509" s="326"/>
      <c r="S509" s="326"/>
      <c r="T509" s="326"/>
      <c r="U509" s="326"/>
      <c r="V509" s="326"/>
      <c r="W509" s="326"/>
      <c r="X509" s="326"/>
      <c r="Y509" s="326"/>
      <c r="Z509" s="684"/>
      <c r="AA509" s="684"/>
      <c r="AB509" s="326"/>
      <c r="AC509" s="326"/>
      <c r="AD509" s="326"/>
      <c r="AE509" s="326"/>
      <c r="AF509" s="326"/>
      <c r="AG509" s="326"/>
      <c r="AH509" s="326"/>
      <c r="AI509" s="326"/>
      <c r="AJ509" s="326"/>
      <c r="AK509" s="326"/>
      <c r="AL509" s="326"/>
      <c r="AM509" s="326"/>
      <c r="AN509" s="326"/>
      <c r="AO509" s="326"/>
      <c r="AP509" s="326"/>
      <c r="AQ509" s="326"/>
      <c r="AR509" s="326"/>
      <c r="AS509" s="331"/>
    </row>
    <row r="510" spans="1:45" s="332" customFormat="1" x14ac:dyDescent="0.35">
      <c r="A510" s="700" t="s">
        <v>970</v>
      </c>
      <c r="B510" s="326"/>
      <c r="C510" s="326"/>
      <c r="D510" s="326"/>
      <c r="E510" s="326"/>
      <c r="F510" s="326"/>
      <c r="G510" s="326"/>
      <c r="H510" s="326"/>
      <c r="I510" s="326"/>
      <c r="J510" s="326"/>
      <c r="K510" s="326"/>
      <c r="L510" s="326"/>
      <c r="M510" s="326"/>
      <c r="N510" s="326"/>
      <c r="O510" s="326"/>
      <c r="P510" s="326"/>
      <c r="Q510" s="326"/>
      <c r="R510" s="326"/>
      <c r="S510" s="326"/>
      <c r="T510" s="326"/>
      <c r="U510" s="326"/>
      <c r="V510" s="326"/>
      <c r="W510" s="326"/>
      <c r="X510" s="326"/>
      <c r="Y510" s="326"/>
      <c r="Z510" s="684"/>
      <c r="AA510" s="684"/>
      <c r="AB510" s="326"/>
      <c r="AC510" s="326"/>
      <c r="AD510" s="326"/>
      <c r="AE510" s="326"/>
      <c r="AF510" s="326"/>
      <c r="AG510" s="326"/>
      <c r="AH510" s="326"/>
      <c r="AI510" s="326"/>
      <c r="AJ510" s="326"/>
      <c r="AK510" s="326"/>
      <c r="AL510" s="326"/>
      <c r="AM510" s="326"/>
      <c r="AN510" s="326"/>
      <c r="AO510" s="326"/>
      <c r="AP510" s="326"/>
      <c r="AQ510" s="326"/>
      <c r="AR510" s="326"/>
      <c r="AS510" s="331"/>
    </row>
    <row r="511" spans="1:45" s="332" customFormat="1" x14ac:dyDescent="0.35">
      <c r="A511" s="700" t="s">
        <v>971</v>
      </c>
      <c r="B511" s="326"/>
      <c r="C511" s="326"/>
      <c r="D511" s="326"/>
      <c r="E511" s="326"/>
      <c r="F511" s="326"/>
      <c r="G511" s="326"/>
      <c r="H511" s="326"/>
      <c r="I511" s="326"/>
      <c r="J511" s="326"/>
      <c r="K511" s="326"/>
      <c r="L511" s="326"/>
      <c r="M511" s="326"/>
      <c r="N511" s="326"/>
      <c r="O511" s="326"/>
      <c r="P511" s="326"/>
      <c r="Q511" s="326"/>
      <c r="R511" s="326"/>
      <c r="S511" s="326"/>
      <c r="T511" s="326"/>
      <c r="U511" s="326"/>
      <c r="V511" s="326"/>
      <c r="W511" s="326"/>
      <c r="X511" s="326"/>
      <c r="Y511" s="326"/>
      <c r="Z511" s="684"/>
      <c r="AA511" s="684"/>
      <c r="AB511" s="326"/>
      <c r="AC511" s="326"/>
      <c r="AD511" s="326"/>
      <c r="AE511" s="326"/>
      <c r="AF511" s="326"/>
      <c r="AG511" s="326"/>
      <c r="AH511" s="326"/>
      <c r="AI511" s="326"/>
      <c r="AJ511" s="326"/>
      <c r="AK511" s="326"/>
      <c r="AL511" s="326"/>
      <c r="AM511" s="326"/>
      <c r="AN511" s="326"/>
      <c r="AO511" s="326"/>
      <c r="AP511" s="326"/>
      <c r="AQ511" s="326"/>
      <c r="AR511" s="326"/>
      <c r="AS511" s="331"/>
    </row>
    <row r="512" spans="1:45" s="332" customFormat="1" x14ac:dyDescent="0.35">
      <c r="A512" s="700" t="s">
        <v>972</v>
      </c>
      <c r="B512" s="326"/>
      <c r="C512" s="326"/>
      <c r="D512" s="326"/>
      <c r="E512" s="326"/>
      <c r="F512" s="326"/>
      <c r="G512" s="326"/>
      <c r="H512" s="326"/>
      <c r="I512" s="326"/>
      <c r="J512" s="326"/>
      <c r="K512" s="326"/>
      <c r="L512" s="326"/>
      <c r="M512" s="326"/>
      <c r="N512" s="326"/>
      <c r="O512" s="326"/>
      <c r="P512" s="326"/>
      <c r="Q512" s="326"/>
      <c r="R512" s="326"/>
      <c r="S512" s="326"/>
      <c r="T512" s="326"/>
      <c r="U512" s="326"/>
      <c r="V512" s="326"/>
      <c r="W512" s="326"/>
      <c r="X512" s="326"/>
      <c r="Y512" s="326"/>
      <c r="Z512" s="684"/>
      <c r="AA512" s="684"/>
      <c r="AB512" s="326"/>
      <c r="AC512" s="326"/>
      <c r="AD512" s="326"/>
      <c r="AE512" s="326"/>
      <c r="AF512" s="326"/>
      <c r="AG512" s="326"/>
      <c r="AH512" s="326"/>
      <c r="AI512" s="326"/>
      <c r="AJ512" s="326"/>
      <c r="AK512" s="326"/>
      <c r="AL512" s="326"/>
      <c r="AM512" s="326"/>
      <c r="AN512" s="326"/>
      <c r="AO512" s="326"/>
      <c r="AP512" s="326"/>
      <c r="AQ512" s="326"/>
      <c r="AR512" s="326"/>
      <c r="AS512" s="331"/>
    </row>
    <row r="513" spans="1:45" s="332" customFormat="1" x14ac:dyDescent="0.35">
      <c r="A513" s="700" t="s">
        <v>973</v>
      </c>
      <c r="B513" s="326"/>
      <c r="C513" s="326"/>
      <c r="D513" s="326"/>
      <c r="E513" s="326"/>
      <c r="F513" s="326"/>
      <c r="G513" s="326"/>
      <c r="H513" s="326"/>
      <c r="I513" s="326"/>
      <c r="J513" s="326"/>
      <c r="K513" s="326"/>
      <c r="L513" s="326"/>
      <c r="M513" s="326"/>
      <c r="N513" s="326"/>
      <c r="O513" s="326"/>
      <c r="P513" s="326"/>
      <c r="Q513" s="326"/>
      <c r="R513" s="326"/>
      <c r="S513" s="326"/>
      <c r="T513" s="326"/>
      <c r="U513" s="326"/>
      <c r="V513" s="326"/>
      <c r="W513" s="326"/>
      <c r="X513" s="326"/>
      <c r="Y513" s="326"/>
      <c r="Z513" s="684"/>
      <c r="AA513" s="684"/>
      <c r="AB513" s="326"/>
      <c r="AC513" s="326"/>
      <c r="AD513" s="326"/>
      <c r="AE513" s="326"/>
      <c r="AF513" s="326"/>
      <c r="AG513" s="326"/>
      <c r="AH513" s="326"/>
      <c r="AI513" s="326"/>
      <c r="AJ513" s="326"/>
      <c r="AK513" s="326"/>
      <c r="AL513" s="326"/>
      <c r="AM513" s="326"/>
      <c r="AN513" s="326"/>
      <c r="AO513" s="326"/>
      <c r="AP513" s="326"/>
      <c r="AQ513" s="326"/>
      <c r="AR513" s="326"/>
      <c r="AS513" s="331"/>
    </row>
    <row r="514" spans="1:45" s="332" customFormat="1" x14ac:dyDescent="0.35">
      <c r="A514" s="700" t="s">
        <v>974</v>
      </c>
      <c r="B514" s="326"/>
      <c r="C514" s="326"/>
      <c r="D514" s="326"/>
      <c r="E514" s="326"/>
      <c r="F514" s="326"/>
      <c r="G514" s="326"/>
      <c r="H514" s="326"/>
      <c r="I514" s="326"/>
      <c r="J514" s="326"/>
      <c r="K514" s="326"/>
      <c r="L514" s="326"/>
      <c r="M514" s="326"/>
      <c r="N514" s="326"/>
      <c r="O514" s="326"/>
      <c r="P514" s="326"/>
      <c r="Q514" s="326"/>
      <c r="R514" s="326"/>
      <c r="S514" s="326"/>
      <c r="T514" s="326"/>
      <c r="U514" s="326"/>
      <c r="V514" s="326"/>
      <c r="W514" s="326"/>
      <c r="X514" s="326"/>
      <c r="Y514" s="326"/>
      <c r="Z514" s="684"/>
      <c r="AA514" s="684"/>
      <c r="AB514" s="326"/>
      <c r="AC514" s="326"/>
      <c r="AD514" s="326"/>
      <c r="AE514" s="326"/>
      <c r="AF514" s="326"/>
      <c r="AG514" s="326"/>
      <c r="AH514" s="326"/>
      <c r="AI514" s="326"/>
      <c r="AJ514" s="326"/>
      <c r="AK514" s="326"/>
      <c r="AL514" s="326"/>
      <c r="AM514" s="326"/>
      <c r="AN514" s="326"/>
      <c r="AO514" s="326"/>
      <c r="AP514" s="326"/>
      <c r="AQ514" s="326"/>
      <c r="AR514" s="326"/>
      <c r="AS514" s="331"/>
    </row>
    <row r="515" spans="1:45" s="332" customFormat="1" x14ac:dyDescent="0.35">
      <c r="A515" s="698"/>
      <c r="B515" s="326"/>
      <c r="C515" s="326"/>
      <c r="D515" s="326"/>
      <c r="E515" s="326"/>
      <c r="F515" s="326"/>
      <c r="G515" s="326"/>
      <c r="H515" s="326"/>
      <c r="I515" s="326"/>
      <c r="J515" s="326"/>
      <c r="K515" s="326"/>
      <c r="L515" s="326"/>
      <c r="M515" s="326"/>
      <c r="N515" s="326"/>
      <c r="O515" s="326"/>
      <c r="P515" s="326"/>
      <c r="Q515" s="326"/>
      <c r="R515" s="326"/>
      <c r="S515" s="326"/>
      <c r="T515" s="326"/>
      <c r="U515" s="326"/>
      <c r="V515" s="326"/>
      <c r="W515" s="326"/>
      <c r="X515" s="326"/>
      <c r="Y515" s="326"/>
      <c r="Z515" s="684"/>
      <c r="AA515" s="684"/>
      <c r="AB515" s="326"/>
      <c r="AC515" s="326"/>
      <c r="AD515" s="326"/>
      <c r="AE515" s="326"/>
      <c r="AF515" s="326"/>
      <c r="AG515" s="326"/>
      <c r="AH515" s="326"/>
      <c r="AI515" s="326"/>
      <c r="AJ515" s="326"/>
      <c r="AK515" s="326"/>
      <c r="AL515" s="326"/>
      <c r="AM515" s="326"/>
      <c r="AN515" s="326"/>
      <c r="AO515" s="326"/>
      <c r="AP515" s="326"/>
      <c r="AQ515" s="326"/>
      <c r="AR515" s="326"/>
      <c r="AS515" s="331"/>
    </row>
    <row r="516" spans="1:45" s="332" customFormat="1" x14ac:dyDescent="0.35">
      <c r="A516" s="681"/>
      <c r="B516" s="326"/>
      <c r="C516" s="326"/>
      <c r="D516" s="326"/>
      <c r="E516" s="326"/>
      <c r="F516" s="326"/>
      <c r="G516" s="326"/>
      <c r="H516" s="326"/>
      <c r="I516" s="326"/>
      <c r="J516" s="326"/>
      <c r="K516" s="326"/>
      <c r="L516" s="326"/>
      <c r="M516" s="326"/>
      <c r="N516" s="326"/>
      <c r="O516" s="326"/>
      <c r="P516" s="326"/>
      <c r="Q516" s="326"/>
      <c r="R516" s="326"/>
      <c r="S516" s="326"/>
      <c r="T516" s="326"/>
      <c r="U516" s="326"/>
      <c r="V516" s="326"/>
      <c r="W516" s="326"/>
      <c r="X516" s="326"/>
      <c r="Y516" s="326"/>
      <c r="Z516" s="684"/>
      <c r="AA516" s="684"/>
      <c r="AB516" s="326"/>
      <c r="AC516" s="326"/>
      <c r="AD516" s="326"/>
      <c r="AE516" s="326"/>
      <c r="AF516" s="326"/>
      <c r="AG516" s="326"/>
      <c r="AH516" s="326"/>
      <c r="AI516" s="326"/>
      <c r="AJ516" s="326"/>
      <c r="AK516" s="326"/>
      <c r="AL516" s="326"/>
      <c r="AM516" s="326"/>
      <c r="AN516" s="326"/>
      <c r="AO516" s="326"/>
      <c r="AP516" s="326"/>
      <c r="AQ516" s="326"/>
      <c r="AR516" s="326"/>
      <c r="AS516" s="331"/>
    </row>
    <row r="517" spans="1:45" s="167" customFormat="1" x14ac:dyDescent="0.35">
      <c r="A517" s="690" t="s">
        <v>975</v>
      </c>
      <c r="B517" s="255"/>
      <c r="C517" s="255"/>
      <c r="D517" s="255"/>
      <c r="E517" s="255"/>
      <c r="F517" s="255"/>
      <c r="G517" s="255"/>
      <c r="H517" s="255"/>
      <c r="I517" s="255"/>
      <c r="J517" s="255"/>
      <c r="K517" s="255"/>
      <c r="L517" s="255"/>
      <c r="M517" s="255"/>
      <c r="N517" s="255"/>
      <c r="O517" s="255"/>
      <c r="P517" s="255" t="str">
        <f>P5</f>
        <v>H2-2023</v>
      </c>
      <c r="Q517" s="255" t="str">
        <f>Q5</f>
        <v>H1-2024</v>
      </c>
      <c r="R517" s="255" t="str">
        <f>R5</f>
        <v>H2-2024</v>
      </c>
      <c r="S517" s="255"/>
      <c r="T517" s="255"/>
      <c r="U517" s="255"/>
      <c r="V517" s="255"/>
      <c r="W517" s="255"/>
      <c r="X517" s="255"/>
      <c r="Y517" s="255"/>
      <c r="Z517" s="255"/>
      <c r="AA517" s="255"/>
      <c r="AB517" s="255"/>
      <c r="AC517" s="255"/>
      <c r="AD517" s="255"/>
      <c r="AE517" s="255"/>
      <c r="AF517" s="255"/>
      <c r="AG517" s="255"/>
      <c r="AH517" s="255"/>
      <c r="AI517" s="255"/>
      <c r="AJ517" s="255"/>
      <c r="AK517" s="255"/>
      <c r="AL517" s="255"/>
      <c r="AM517" s="255"/>
      <c r="AN517" s="255" t="str">
        <f>AN5</f>
        <v>FY2023</v>
      </c>
      <c r="AO517" s="255" t="str">
        <f>AO5</f>
        <v>FY2024</v>
      </c>
      <c r="AP517" s="255" t="str">
        <f>AP5</f>
        <v>FY2025</v>
      </c>
      <c r="AQ517" s="255" t="str">
        <f>AQ5</f>
        <v>FY2026</v>
      </c>
      <c r="AR517" s="701" t="str">
        <f>AR5</f>
        <v>FY2027</v>
      </c>
      <c r="AS517" s="166"/>
    </row>
    <row r="518" spans="1:45" s="167" customFormat="1" x14ac:dyDescent="0.35">
      <c r="A518" s="702" t="s">
        <v>976</v>
      </c>
      <c r="B518" s="307"/>
      <c r="C518" s="307"/>
      <c r="D518" s="307"/>
      <c r="E518" s="307"/>
      <c r="F518" s="307"/>
      <c r="G518" s="307"/>
      <c r="H518" s="307"/>
      <c r="I518" s="307"/>
      <c r="J518" s="307"/>
      <c r="K518" s="307"/>
      <c r="L518" s="307"/>
      <c r="M518" s="307"/>
      <c r="N518" s="307"/>
      <c r="O518" s="307"/>
      <c r="P518" s="307" t="e">
        <f>IF(MO.DataSourceIndex=3,_xlfn.IFS(LEFT(P517,2)="FY","ANNUAL",LEFT(P517,1)="Q","QUARTERLY",LEFT(P517,1)="H",""),_xlfn.IFS(LEFT(P517,2)="FY","FY",LEFT(P517,1)="Q","FQ",LEFT(P517,1)="H","FH"))</f>
        <v>#REF!</v>
      </c>
      <c r="Q518" s="307" t="e">
        <f>IF(MO.DataSourceIndex=3,_xlfn.IFS(LEFT(Q517,2)="FY","ANNUAL",LEFT(Q517,1)="Q","QUARTERLY",LEFT(Q517,1)="H",""),_xlfn.IFS(LEFT(Q517,2)="FY","FY",LEFT(Q517,1)="Q","FQ",LEFT(Q517,1)="H","FH"))</f>
        <v>#REF!</v>
      </c>
      <c r="R518" s="307" t="e">
        <f>IF(MO.DataSourceIndex=3,_xlfn.IFS(LEFT(R517,2)="FY","ANNUAL",LEFT(R517,1)="Q","QUARTERLY",LEFT(R517,1)="H",""),_xlfn.IFS(LEFT(R517,2)="FY","FY",LEFT(R517,1)="Q","FQ",LEFT(R517,1)="H","FH"))</f>
        <v>#REF!</v>
      </c>
      <c r="S518" s="307"/>
      <c r="T518" s="307"/>
      <c r="U518" s="307"/>
      <c r="V518" s="307"/>
      <c r="W518" s="307"/>
      <c r="X518" s="307"/>
      <c r="Y518" s="307"/>
      <c r="Z518" s="307"/>
      <c r="AA518" s="307"/>
      <c r="AB518" s="307"/>
      <c r="AC518" s="307"/>
      <c r="AD518" s="307"/>
      <c r="AE518" s="307"/>
      <c r="AF518" s="307"/>
      <c r="AG518" s="307"/>
      <c r="AH518" s="307"/>
      <c r="AI518" s="307"/>
      <c r="AJ518" s="307"/>
      <c r="AK518" s="307"/>
      <c r="AL518" s="307"/>
      <c r="AM518" s="307"/>
      <c r="AN518" s="307" t="e">
        <f>IF(MO.DataSourceIndex=3,_xlfn.IFS(LEFT(AN517,2)="FY","ANNUAL",LEFT(AN517,1)="Q","QUARTERLY",LEFT(AN517,1)="H",""),_xlfn.IFS(LEFT(AN517,2)="FY","FY",LEFT(AN517,1)="Q","FQ",LEFT(AN517,1)="H","FH"))</f>
        <v>#REF!</v>
      </c>
      <c r="AO518" s="307" t="e">
        <f>IF(MO.DataSourceIndex=3,_xlfn.IFS(LEFT(AO517,2)="FY","ANNUAL",LEFT(AO517,1)="Q","QUARTERLY",LEFT(AO517,1)="H",""),_xlfn.IFS(LEFT(AO517,2)="FY","FY",LEFT(AO517,1)="Q","FQ",LEFT(AO517,1)="H","FH"))</f>
        <v>#REF!</v>
      </c>
      <c r="AP518" s="307" t="e">
        <f>IF(MO.DataSourceIndex=3,_xlfn.IFS(LEFT(AP517,2)="FY","ANNUAL",LEFT(AP517,1)="Q","QUARTERLY",LEFT(AP517,1)="H",""),_xlfn.IFS(LEFT(AP517,2)="FY","FY",LEFT(AP517,1)="Q","FQ",LEFT(AP517,1)="H","FH"))</f>
        <v>#REF!</v>
      </c>
      <c r="AQ518" s="307" t="e">
        <f>IF(MO.DataSourceIndex=3,_xlfn.IFS(LEFT(AQ517,2)="FY","ANNUAL",LEFT(AQ517,1)="Q","QUARTERLY",LEFT(AQ517,1)="H",""),_xlfn.IFS(LEFT(AQ517,2)="FY","FY",LEFT(AQ517,1)="Q","FQ",LEFT(AQ517,1)="H","FH"))</f>
        <v>#REF!</v>
      </c>
      <c r="AR518" s="703" t="e">
        <f>IF(MO.DataSourceIndex=3,_xlfn.IFS(LEFT(AR517,2)="FY","ANNUAL",LEFT(AR517,1)="Q","QUARTERLY",LEFT(AR517,1)="H",""),_xlfn.IFS(LEFT(AR517,2)="FY","FY",LEFT(AR517,1)="Q","FQ",LEFT(AR517,1)="H","FH"))</f>
        <v>#REF!</v>
      </c>
      <c r="AS518" s="166"/>
    </row>
    <row r="519" spans="1:45" s="167" customFormat="1" x14ac:dyDescent="0.35">
      <c r="A519" s="702" t="s">
        <v>977</v>
      </c>
      <c r="B519" s="307"/>
      <c r="C519" s="307"/>
      <c r="D519" s="307"/>
      <c r="E519" s="307"/>
      <c r="F519" s="307"/>
      <c r="G519" s="307"/>
      <c r="H519" s="307"/>
      <c r="I519" s="307"/>
      <c r="J519" s="307"/>
      <c r="K519" s="307"/>
      <c r="L519" s="307"/>
      <c r="M519" s="307"/>
      <c r="N519" s="307"/>
      <c r="O519" s="307"/>
      <c r="P519" s="307" t="e">
        <f ca="1">IF(MO.DataSourceIndex=3,_xlfn.IFS(INDEX(MO_SNA_ConsensusEstimatePeriodType,,COLUMN())="ANNUAL",COUNTIF(OFFSET(INDEX(MO_SNA_ConsensusEstimatePeriodType,,1),,,,COLUMN()),"ANNUAL"),INDEX(MO_SNA_ConsensusEstimatePeriodType,,COLUMN())="","",INDEX(MO_SNA_ConsensusEstimatePeriodType,,COLUMN())="QUARTERLY",COUNTIF(OFFSET(INDEX(MO_SNA_ConsensusEstimatePeriodType,,1),,,,COLUMN()),"QUARTERLY")),_xlfn.IFS(INDEX(MO_SNA_ConsensusEstimatePeriodType,,COLUMN())="FY",COUNTIF(OFFSET(INDEX(MO_SNA_ConsensusEstimatePeriodType,,1),,,,COLUMN()),"FY"),INDEX(MO_SNA_ConsensusEstimatePeriodType,,COLUMN())="FH",COUNTIF(OFFSET(INDEX(MO_SNA_ConsensusEstimatePeriodType,,1),,,,COLUMN()),"FH"),INDEX(MO_SNA_ConsensusEstimatePeriodType,,COLUMN())="FQ",COUNTIF(OFFSET(INDEX(MO_SNA_ConsensusEstimatePeriodType,,1),,,,COLUMN()),"FQ")))</f>
        <v>#REF!</v>
      </c>
      <c r="Q519" s="307" t="e">
        <f ca="1">IF(MO.DataSourceIndex=3,_xlfn.IFS(INDEX(MO_SNA_ConsensusEstimatePeriodType,,COLUMN())="ANNUAL",COUNTIF(OFFSET(INDEX(MO_SNA_ConsensusEstimatePeriodType,,1),,,,COLUMN()),"ANNUAL"),INDEX(MO_SNA_ConsensusEstimatePeriodType,,COLUMN())="","",INDEX(MO_SNA_ConsensusEstimatePeriodType,,COLUMN())="QUARTERLY",COUNTIF(OFFSET(INDEX(MO_SNA_ConsensusEstimatePeriodType,,1),,,,COLUMN()),"QUARTERLY")),_xlfn.IFS(INDEX(MO_SNA_ConsensusEstimatePeriodType,,COLUMN())="FY",COUNTIF(OFFSET(INDEX(MO_SNA_ConsensusEstimatePeriodType,,1),,,,COLUMN()),"FY"),INDEX(MO_SNA_ConsensusEstimatePeriodType,,COLUMN())="FH",COUNTIF(OFFSET(INDEX(MO_SNA_ConsensusEstimatePeriodType,,1),,,,COLUMN()),"FH"),INDEX(MO_SNA_ConsensusEstimatePeriodType,,COLUMN())="FQ",COUNTIF(OFFSET(INDEX(MO_SNA_ConsensusEstimatePeriodType,,1),,,,COLUMN()),"FQ")))</f>
        <v>#REF!</v>
      </c>
      <c r="R519" s="307" t="e">
        <f ca="1">IF(MO.DataSourceIndex=3,_xlfn.IFS(INDEX(MO_SNA_ConsensusEstimatePeriodType,,COLUMN())="ANNUAL",COUNTIF(OFFSET(INDEX(MO_SNA_ConsensusEstimatePeriodType,,1),,,,COLUMN()),"ANNUAL"),INDEX(MO_SNA_ConsensusEstimatePeriodType,,COLUMN())="","",INDEX(MO_SNA_ConsensusEstimatePeriodType,,COLUMN())="QUARTERLY",COUNTIF(OFFSET(INDEX(MO_SNA_ConsensusEstimatePeriodType,,1),,,,COLUMN()),"QUARTERLY")),_xlfn.IFS(INDEX(MO_SNA_ConsensusEstimatePeriodType,,COLUMN())="FY",COUNTIF(OFFSET(INDEX(MO_SNA_ConsensusEstimatePeriodType,,1),,,,COLUMN()),"FY"),INDEX(MO_SNA_ConsensusEstimatePeriodType,,COLUMN())="FH",COUNTIF(OFFSET(INDEX(MO_SNA_ConsensusEstimatePeriodType,,1),,,,COLUMN()),"FH"),INDEX(MO_SNA_ConsensusEstimatePeriodType,,COLUMN())="FQ",COUNTIF(OFFSET(INDEX(MO_SNA_ConsensusEstimatePeriodType,,1),,,,COLUMN()),"FQ")))</f>
        <v>#REF!</v>
      </c>
      <c r="S519" s="307"/>
      <c r="T519" s="307"/>
      <c r="U519" s="307"/>
      <c r="V519" s="307"/>
      <c r="W519" s="307"/>
      <c r="X519" s="307"/>
      <c r="Y519" s="307"/>
      <c r="Z519" s="307"/>
      <c r="AA519" s="307"/>
      <c r="AB519" s="307"/>
      <c r="AC519" s="307"/>
      <c r="AD519" s="307"/>
      <c r="AE519" s="307"/>
      <c r="AF519" s="307"/>
      <c r="AG519" s="307"/>
      <c r="AH519" s="307"/>
      <c r="AI519" s="307"/>
      <c r="AJ519" s="307"/>
      <c r="AK519" s="307"/>
      <c r="AL519" s="307"/>
      <c r="AM519" s="307"/>
      <c r="AN519" s="307" t="e">
        <f ca="1">IF(MO.DataSourceIndex=3,_xlfn.IFS(INDEX(MO_SNA_ConsensusEstimatePeriodType,,COLUMN())="ANNUAL",COUNTIF(OFFSET(INDEX(MO_SNA_ConsensusEstimatePeriodType,,1),,,,COLUMN()),"ANNUAL"),INDEX(MO_SNA_ConsensusEstimatePeriodType,,COLUMN())="","",INDEX(MO_SNA_ConsensusEstimatePeriodType,,COLUMN())="QUARTERLY",COUNTIF(OFFSET(INDEX(MO_SNA_ConsensusEstimatePeriodType,,1),,,,COLUMN()),"QUARTERLY")),_xlfn.IFS(INDEX(MO_SNA_ConsensusEstimatePeriodType,,COLUMN())="FY",COUNTIF(OFFSET(INDEX(MO_SNA_ConsensusEstimatePeriodType,,1),,,,COLUMN()),"FY"),INDEX(MO_SNA_ConsensusEstimatePeriodType,,COLUMN())="FH",COUNTIF(OFFSET(INDEX(MO_SNA_ConsensusEstimatePeriodType,,1),,,,COLUMN()),"FH"),INDEX(MO_SNA_ConsensusEstimatePeriodType,,COLUMN())="FQ",COUNTIF(OFFSET(INDEX(MO_SNA_ConsensusEstimatePeriodType,,1),,,,COLUMN()),"FQ")))</f>
        <v>#REF!</v>
      </c>
      <c r="AO519" s="307" t="e">
        <f ca="1">IF(MO.DataSourceIndex=3,_xlfn.IFS(INDEX(MO_SNA_ConsensusEstimatePeriodType,,COLUMN())="ANNUAL",COUNTIF(OFFSET(INDEX(MO_SNA_ConsensusEstimatePeriodType,,1),,,,COLUMN()),"ANNUAL"),INDEX(MO_SNA_ConsensusEstimatePeriodType,,COLUMN())="","",INDEX(MO_SNA_ConsensusEstimatePeriodType,,COLUMN())="QUARTERLY",COUNTIF(OFFSET(INDEX(MO_SNA_ConsensusEstimatePeriodType,,1),,,,COLUMN()),"QUARTERLY")),_xlfn.IFS(INDEX(MO_SNA_ConsensusEstimatePeriodType,,COLUMN())="FY",COUNTIF(OFFSET(INDEX(MO_SNA_ConsensusEstimatePeriodType,,1),,,,COLUMN()),"FY"),INDEX(MO_SNA_ConsensusEstimatePeriodType,,COLUMN())="FH",COUNTIF(OFFSET(INDEX(MO_SNA_ConsensusEstimatePeriodType,,1),,,,COLUMN()),"FH"),INDEX(MO_SNA_ConsensusEstimatePeriodType,,COLUMN())="FQ",COUNTIF(OFFSET(INDEX(MO_SNA_ConsensusEstimatePeriodType,,1),,,,COLUMN()),"FQ")))</f>
        <v>#REF!</v>
      </c>
      <c r="AP519" s="307" t="e">
        <f ca="1">IF(MO.DataSourceIndex=3,_xlfn.IFS(INDEX(MO_SNA_ConsensusEstimatePeriodType,,COLUMN())="ANNUAL",COUNTIF(OFFSET(INDEX(MO_SNA_ConsensusEstimatePeriodType,,1),,,,COLUMN()),"ANNUAL"),INDEX(MO_SNA_ConsensusEstimatePeriodType,,COLUMN())="","",INDEX(MO_SNA_ConsensusEstimatePeriodType,,COLUMN())="QUARTERLY",COUNTIF(OFFSET(INDEX(MO_SNA_ConsensusEstimatePeriodType,,1),,,,COLUMN()),"QUARTERLY")),_xlfn.IFS(INDEX(MO_SNA_ConsensusEstimatePeriodType,,COLUMN())="FY",COUNTIF(OFFSET(INDEX(MO_SNA_ConsensusEstimatePeriodType,,1),,,,COLUMN()),"FY"),INDEX(MO_SNA_ConsensusEstimatePeriodType,,COLUMN())="FH",COUNTIF(OFFSET(INDEX(MO_SNA_ConsensusEstimatePeriodType,,1),,,,COLUMN()),"FH"),INDEX(MO_SNA_ConsensusEstimatePeriodType,,COLUMN())="FQ",COUNTIF(OFFSET(INDEX(MO_SNA_ConsensusEstimatePeriodType,,1),,,,COLUMN()),"FQ")))</f>
        <v>#REF!</v>
      </c>
      <c r="AQ519" s="307" t="e">
        <f ca="1">IF(MO.DataSourceIndex=3,_xlfn.IFS(INDEX(MO_SNA_ConsensusEstimatePeriodType,,COLUMN())="ANNUAL",COUNTIF(OFFSET(INDEX(MO_SNA_ConsensusEstimatePeriodType,,1),,,,COLUMN()),"ANNUAL"),INDEX(MO_SNA_ConsensusEstimatePeriodType,,COLUMN())="","",INDEX(MO_SNA_ConsensusEstimatePeriodType,,COLUMN())="QUARTERLY",COUNTIF(OFFSET(INDEX(MO_SNA_ConsensusEstimatePeriodType,,1),,,,COLUMN()),"QUARTERLY")),_xlfn.IFS(INDEX(MO_SNA_ConsensusEstimatePeriodType,,COLUMN())="FY",COUNTIF(OFFSET(INDEX(MO_SNA_ConsensusEstimatePeriodType,,1),,,,COLUMN()),"FY"),INDEX(MO_SNA_ConsensusEstimatePeriodType,,COLUMN())="FH",COUNTIF(OFFSET(INDEX(MO_SNA_ConsensusEstimatePeriodType,,1),,,,COLUMN()),"FH"),INDEX(MO_SNA_ConsensusEstimatePeriodType,,COLUMN())="FQ",COUNTIF(OFFSET(INDEX(MO_SNA_ConsensusEstimatePeriodType,,1),,,,COLUMN()),"FQ")))</f>
        <v>#REF!</v>
      </c>
      <c r="AR519" s="703" t="e">
        <f ca="1">IF(MO.DataSourceIndex=3,_xlfn.IFS(INDEX(MO_SNA_ConsensusEstimatePeriodType,,COLUMN())="ANNUAL",COUNTIF(OFFSET(INDEX(MO_SNA_ConsensusEstimatePeriodType,,1),,,,COLUMN()),"ANNUAL"),INDEX(MO_SNA_ConsensusEstimatePeriodType,,COLUMN())="","",INDEX(MO_SNA_ConsensusEstimatePeriodType,,COLUMN())="QUARTERLY",COUNTIF(OFFSET(INDEX(MO_SNA_ConsensusEstimatePeriodType,,1),,,,COLUMN()),"QUARTERLY")),_xlfn.IFS(INDEX(MO_SNA_ConsensusEstimatePeriodType,,COLUMN())="FY",COUNTIF(OFFSET(INDEX(MO_SNA_ConsensusEstimatePeriodType,,1),,,,COLUMN()),"FY"),INDEX(MO_SNA_ConsensusEstimatePeriodType,,COLUMN())="FH",COUNTIF(OFFSET(INDEX(MO_SNA_ConsensusEstimatePeriodType,,1),,,,COLUMN()),"FH"),INDEX(MO_SNA_ConsensusEstimatePeriodType,,COLUMN())="FQ",COUNTIF(OFFSET(INDEX(MO_SNA_ConsensusEstimatePeriodType,,1),,,,COLUMN()),"FQ")))</f>
        <v>#REF!</v>
      </c>
      <c r="AS519" s="166"/>
    </row>
    <row r="520" spans="1:45" s="167" customFormat="1" x14ac:dyDescent="0.35">
      <c r="A520" s="692" t="str">
        <f>A120</f>
        <v>Consensus Estimates - Gross Margin, %</v>
      </c>
      <c r="B520" s="164"/>
      <c r="C520" s="164"/>
      <c r="D520" s="164"/>
      <c r="E520" s="164"/>
      <c r="F520" s="164"/>
      <c r="G520" s="164"/>
      <c r="H520" s="164"/>
      <c r="I520" s="164"/>
      <c r="J520" s="164"/>
      <c r="K520" s="164"/>
      <c r="L520" s="164"/>
      <c r="M520" s="164"/>
      <c r="N520" s="164"/>
      <c r="O520" s="164"/>
      <c r="P520" s="164" t="str">
        <f>IFERROR(CHOOSE(MO.DataSourceIndex,BDP(MO.Ticker.Bloomberg&amp;" EQUITY","BEST_GROSS_MARGIN","BEST_FPERIOD_OVERRIDE="&amp;INDEX(tb_ConsensusEstimate,3,COLUMN())&amp;INDEX(tb_ConsensusEstimate,2,COLUMN())),_xll.ciqfunctions.udf.CIQ(MO.Ticker.CapIQ,"IQ_GROSS_MARGIN_EST","IQ_"&amp;INDEX(tb_ConsensusEstimate,2,COLUMN())&amp;"+"&amp;INDEX(tb_ConsensusEstimate,3,COLUMN())),FDS(MO.Ticker.FactSet,"FE_ESTIMATE(GROSSINCOME,MEAN,"&amp;INDEX(tb_ConsensusEstimate,2,COLUMN())&amp;",+"&amp;INDEX(tb_ConsensusEstimate,3,COLUMN())&amp;",NOW,,,'')")/FDS(MO.Ticker.FactSet,"FE_ESTIMATE(SALES,MEAN,"&amp;INDEX(tb_ConsensusEstimate,2,COLUMN())&amp;",+"&amp;INDEX(tb_ConsensusEstimate,3,COLUMN())&amp;",NOW,,,'')")*100,_xll.TR(MO.Ticker.Thomson,"ZAV(TR.GPMMean)","Period="&amp;INDEX(tb_ConsensusEstimate,2,COLUMN())&amp;INDEX(tb_ConsensusEstimate,3,COLUMN())))/100,"N/A")</f>
        <v>N/A</v>
      </c>
      <c r="Q520" s="164" t="str">
        <f>IFERROR(CHOOSE(MO.DataSourceIndex,BDP(MO.Ticker.Bloomberg&amp;" EQUITY","BEST_GROSS_MARGIN","BEST_FPERIOD_OVERRIDE="&amp;INDEX(tb_ConsensusEstimate,3,COLUMN())&amp;INDEX(tb_ConsensusEstimate,2,COLUMN())),_xll.ciqfunctions.udf.CIQ(MO.Ticker.CapIQ,"IQ_GROSS_MARGIN_EST","IQ_"&amp;INDEX(tb_ConsensusEstimate,2,COLUMN())&amp;"+"&amp;INDEX(tb_ConsensusEstimate,3,COLUMN())),FDS(MO.Ticker.FactSet,"FE_ESTIMATE(GROSSINCOME,MEAN,"&amp;INDEX(tb_ConsensusEstimate,2,COLUMN())&amp;",+"&amp;INDEX(tb_ConsensusEstimate,3,COLUMN())&amp;",NOW,,,'')")/FDS(MO.Ticker.FactSet,"FE_ESTIMATE(SALES,MEAN,"&amp;INDEX(tb_ConsensusEstimate,2,COLUMN())&amp;",+"&amp;INDEX(tb_ConsensusEstimate,3,COLUMN())&amp;",NOW,,,'')")*100,_xll.TR(MO.Ticker.Thomson,"ZAV(TR.GPMMean)","Period="&amp;INDEX(tb_ConsensusEstimate,2,COLUMN())&amp;INDEX(tb_ConsensusEstimate,3,COLUMN())))/100,"N/A")</f>
        <v>N/A</v>
      </c>
      <c r="R520" s="164" t="str">
        <f>IFERROR(CHOOSE(MO.DataSourceIndex,BDP(MO.Ticker.Bloomberg&amp;" EQUITY","BEST_GROSS_MARGIN","BEST_FPERIOD_OVERRIDE="&amp;INDEX(tb_ConsensusEstimate,3,COLUMN())&amp;INDEX(tb_ConsensusEstimate,2,COLUMN())),_xll.ciqfunctions.udf.CIQ(MO.Ticker.CapIQ,"IQ_GROSS_MARGIN_EST","IQ_"&amp;INDEX(tb_ConsensusEstimate,2,COLUMN())&amp;"+"&amp;INDEX(tb_ConsensusEstimate,3,COLUMN())),FDS(MO.Ticker.FactSet,"FE_ESTIMATE(GROSSINCOME,MEAN,"&amp;INDEX(tb_ConsensusEstimate,2,COLUMN())&amp;",+"&amp;INDEX(tb_ConsensusEstimate,3,COLUMN())&amp;",NOW,,,'')")/FDS(MO.Ticker.FactSet,"FE_ESTIMATE(SALES,MEAN,"&amp;INDEX(tb_ConsensusEstimate,2,COLUMN())&amp;",+"&amp;INDEX(tb_ConsensusEstimate,3,COLUMN())&amp;",NOW,,,'')")*100,_xll.TR(MO.Ticker.Thomson,"ZAV(TR.GPMMean)","Period="&amp;INDEX(tb_ConsensusEstimate,2,COLUMN())&amp;INDEX(tb_ConsensusEstimate,3,COLUMN())))/100,"N/A")</f>
        <v>N/A</v>
      </c>
      <c r="S520" s="164"/>
      <c r="T520" s="164"/>
      <c r="U520" s="164"/>
      <c r="V520" s="164"/>
      <c r="W520" s="164"/>
      <c r="X520" s="164"/>
      <c r="Y520" s="164"/>
      <c r="Z520" s="164"/>
      <c r="AA520" s="682"/>
      <c r="AB520" s="682"/>
      <c r="AC520" s="682"/>
      <c r="AD520" s="682"/>
      <c r="AE520" s="164"/>
      <c r="AF520" s="164"/>
      <c r="AG520" s="164"/>
      <c r="AH520" s="164"/>
      <c r="AI520" s="164"/>
      <c r="AJ520" s="164"/>
      <c r="AK520" s="164"/>
      <c r="AL520" s="164"/>
      <c r="AM520" s="164"/>
      <c r="AN520" s="164" t="str">
        <f>IFERROR(CHOOSE(MO.DataSourceIndex,BDP(MO.Ticker.Bloomberg&amp;" EQUITY","BEST_GROSS_MARGIN","BEST_FPERIOD_OVERRIDE="&amp;INDEX(tb_ConsensusEstimate,3,COLUMN())&amp;INDEX(tb_ConsensusEstimate,2,COLUMN())),_xll.ciqfunctions.udf.CIQ(MO.Ticker.CapIQ,"IQ_GROSS_MARGIN_EST","IQ_"&amp;INDEX(tb_ConsensusEstimate,2,COLUMN())&amp;"+"&amp;INDEX(tb_ConsensusEstimate,3,COLUMN())),FDS(MO.Ticker.FactSet,"FE_ESTIMATE(GROSSINCOME,MEAN,"&amp;INDEX(tb_ConsensusEstimate,2,COLUMN())&amp;",+"&amp;INDEX(tb_ConsensusEstimate,3,COLUMN())&amp;",NOW,,,'')")/FDS(MO.Ticker.FactSet,"FE_ESTIMATE(SALES,MEAN,"&amp;INDEX(tb_ConsensusEstimate,2,COLUMN())&amp;",+"&amp;INDEX(tb_ConsensusEstimate,3,COLUMN())&amp;",NOW,,,'')")*100,_xll.TR(MO.Ticker.Thomson,"ZAV(TR.GPMMean)","Period="&amp;INDEX(tb_ConsensusEstimate,2,COLUMN())&amp;INDEX(tb_ConsensusEstimate,3,COLUMN())))/100,"N/A")</f>
        <v>N/A</v>
      </c>
      <c r="AO520" s="164" t="str">
        <f>IFERROR(CHOOSE(MO.DataSourceIndex,BDP(MO.Ticker.Bloomberg&amp;" EQUITY","BEST_GROSS_MARGIN","BEST_FPERIOD_OVERRIDE="&amp;INDEX(tb_ConsensusEstimate,3,COLUMN())&amp;INDEX(tb_ConsensusEstimate,2,COLUMN())),_xll.ciqfunctions.udf.CIQ(MO.Ticker.CapIQ,"IQ_GROSS_MARGIN_EST","IQ_"&amp;INDEX(tb_ConsensusEstimate,2,COLUMN())&amp;"+"&amp;INDEX(tb_ConsensusEstimate,3,COLUMN())),FDS(MO.Ticker.FactSet,"FE_ESTIMATE(GROSSINCOME,MEAN,"&amp;INDEX(tb_ConsensusEstimate,2,COLUMN())&amp;",+"&amp;INDEX(tb_ConsensusEstimate,3,COLUMN())&amp;",NOW,,,'')")/FDS(MO.Ticker.FactSet,"FE_ESTIMATE(SALES,MEAN,"&amp;INDEX(tb_ConsensusEstimate,2,COLUMN())&amp;",+"&amp;INDEX(tb_ConsensusEstimate,3,COLUMN())&amp;",NOW,,,'')")*100,_xll.TR(MO.Ticker.Thomson,"ZAV(TR.GPMMean)","Period="&amp;INDEX(tb_ConsensusEstimate,2,COLUMN())&amp;INDEX(tb_ConsensusEstimate,3,COLUMN())))/100,"N/A")</f>
        <v>N/A</v>
      </c>
      <c r="AP520" s="164" t="str">
        <f>IFERROR(CHOOSE(MO.DataSourceIndex,BDP(MO.Ticker.Bloomberg&amp;" EQUITY","BEST_GROSS_MARGIN","BEST_FPERIOD_OVERRIDE="&amp;INDEX(tb_ConsensusEstimate,3,COLUMN())&amp;INDEX(tb_ConsensusEstimate,2,COLUMN())),_xll.ciqfunctions.udf.CIQ(MO.Ticker.CapIQ,"IQ_GROSS_MARGIN_EST","IQ_"&amp;INDEX(tb_ConsensusEstimate,2,COLUMN())&amp;"+"&amp;INDEX(tb_ConsensusEstimate,3,COLUMN())),FDS(MO.Ticker.FactSet,"FE_ESTIMATE(GROSSINCOME,MEAN,"&amp;INDEX(tb_ConsensusEstimate,2,COLUMN())&amp;",+"&amp;INDEX(tb_ConsensusEstimate,3,COLUMN())&amp;",NOW,,,'')")/FDS(MO.Ticker.FactSet,"FE_ESTIMATE(SALES,MEAN,"&amp;INDEX(tb_ConsensusEstimate,2,COLUMN())&amp;",+"&amp;INDEX(tb_ConsensusEstimate,3,COLUMN())&amp;",NOW,,,'')")*100,_xll.TR(MO.Ticker.Thomson,"ZAV(TR.GPMMean)","Period="&amp;INDEX(tb_ConsensusEstimate,2,COLUMN())&amp;INDEX(tb_ConsensusEstimate,3,COLUMN())))/100,"N/A")</f>
        <v>N/A</v>
      </c>
      <c r="AQ520" s="164" t="str">
        <f>IFERROR(CHOOSE(MO.DataSourceIndex,BDP(MO.Ticker.Bloomberg&amp;" EQUITY","BEST_GROSS_MARGIN","BEST_FPERIOD_OVERRIDE="&amp;INDEX(tb_ConsensusEstimate,3,COLUMN())&amp;INDEX(tb_ConsensusEstimate,2,COLUMN())),_xll.ciqfunctions.udf.CIQ(MO.Ticker.CapIQ,"IQ_GROSS_MARGIN_EST","IQ_"&amp;INDEX(tb_ConsensusEstimate,2,COLUMN())&amp;"+"&amp;INDEX(tb_ConsensusEstimate,3,COLUMN())),FDS(MO.Ticker.FactSet,"FE_ESTIMATE(GROSSINCOME,MEAN,"&amp;INDEX(tb_ConsensusEstimate,2,COLUMN())&amp;",+"&amp;INDEX(tb_ConsensusEstimate,3,COLUMN())&amp;",NOW,,,'')")/FDS(MO.Ticker.FactSet,"FE_ESTIMATE(SALES,MEAN,"&amp;INDEX(tb_ConsensusEstimate,2,COLUMN())&amp;",+"&amp;INDEX(tb_ConsensusEstimate,3,COLUMN())&amp;",NOW,,,'')")*100,_xll.TR(MO.Ticker.Thomson,"ZAV(TR.GPMMean)","Period="&amp;INDEX(tb_ConsensusEstimate,2,COLUMN())&amp;INDEX(tb_ConsensusEstimate,3,COLUMN())))/100,"N/A")</f>
        <v>N/A</v>
      </c>
      <c r="AR520" s="704" t="str">
        <f>IFERROR(CHOOSE(MO.DataSourceIndex,BDP(MO.Ticker.Bloomberg&amp;" EQUITY","BEST_GROSS_MARGIN","BEST_FPERIOD_OVERRIDE="&amp;INDEX(tb_ConsensusEstimate,3,COLUMN())&amp;INDEX(tb_ConsensusEstimate,2,COLUMN())),_xll.ciqfunctions.udf.CIQ(MO.Ticker.CapIQ,"IQ_GROSS_MARGIN_EST","IQ_"&amp;INDEX(tb_ConsensusEstimate,2,COLUMN())&amp;"+"&amp;INDEX(tb_ConsensusEstimate,3,COLUMN())),FDS(MO.Ticker.FactSet,"FE_ESTIMATE(GROSSINCOME,MEAN,"&amp;INDEX(tb_ConsensusEstimate,2,COLUMN())&amp;",+"&amp;INDEX(tb_ConsensusEstimate,3,COLUMN())&amp;",NOW,,,'')")/FDS(MO.Ticker.FactSet,"FE_ESTIMATE(SALES,MEAN,"&amp;INDEX(tb_ConsensusEstimate,2,COLUMN())&amp;",+"&amp;INDEX(tb_ConsensusEstimate,3,COLUMN())&amp;",NOW,,,'')")*100,_xll.TR(MO.Ticker.Thomson,"ZAV(TR.GPMMean)","Period="&amp;INDEX(tb_ConsensusEstimate,2,COLUMN())&amp;INDEX(tb_ConsensusEstimate,3,COLUMN())))/100,"N/A")</f>
        <v>N/A</v>
      </c>
      <c r="AS520" s="166"/>
    </row>
    <row r="521" spans="1:45" s="167" customFormat="1" x14ac:dyDescent="0.35">
      <c r="A521" s="692" t="str">
        <f>$A$172</f>
        <v>Consensus Estimates - Net Revenue</v>
      </c>
      <c r="B521" s="164"/>
      <c r="C521" s="164"/>
      <c r="D521" s="164"/>
      <c r="E521" s="164"/>
      <c r="F521" s="164"/>
      <c r="G521" s="164"/>
      <c r="H521" s="164"/>
      <c r="I521" s="164"/>
      <c r="J521" s="164"/>
      <c r="K521" s="164"/>
      <c r="L521" s="164"/>
      <c r="M521" s="164"/>
      <c r="N521" s="164"/>
      <c r="O521" s="164"/>
      <c r="P521" s="164" t="str">
        <f>IFERROR(CHOOSE(MO.DataSourceIndex,BDP(MO.Ticker.Bloomberg&amp;" EQUITY","BEST_SALES","BEST_FPERIOD_OVERRIDE="&amp;INDEX(tb_ConsensusEstimate,3,COLUMN())&amp;INDEX(tb_ConsensusEstimate,2,COLUMN())),_xll.ciqfunctions.udf.CIQ(MO.Ticker.CapIQ,"IQ_REVENUE_EST","IQ_"&amp;INDEX(tb_ConsensusEstimate,2,COLUMN())&amp;"+"&amp;INDEX(tb_ConsensusEstimate,3,COLUMN())),FDS(MO.Ticker.FactSet,"FE_ESTIMATE(SALES,MEAN,"&amp;INDEX(tb_ConsensusEstimate,2,COLUMN())&amp;",+"&amp;INDEX(tb_ConsensusEstimate,3,COLUMN())&amp;",NOW"&amp;",,,'CURRENCY="&amp;HP.ReportCurrency&amp;"')"),_xll.TR(MO.Ticker.Thomson,"ZAV(TR.RevenueMean(Scale=6))","Period="&amp;INDEX(tb_ConsensusEstimate,2,COLUMN())&amp;INDEX(tb_ConsensusEstimate,3,COLUMN()))),"N/A")</f>
        <v>N/A</v>
      </c>
      <c r="Q521" s="164" t="str">
        <f>IFERROR(CHOOSE(MO.DataSourceIndex,BDP(MO.Ticker.Bloomberg&amp;" EQUITY","BEST_SALES","BEST_FPERIOD_OVERRIDE="&amp;INDEX(tb_ConsensusEstimate,3,COLUMN())&amp;INDEX(tb_ConsensusEstimate,2,COLUMN())),_xll.ciqfunctions.udf.CIQ(MO.Ticker.CapIQ,"IQ_REVENUE_EST","IQ_"&amp;INDEX(tb_ConsensusEstimate,2,COLUMN())&amp;"+"&amp;INDEX(tb_ConsensusEstimate,3,COLUMN())),FDS(MO.Ticker.FactSet,"FE_ESTIMATE(SALES,MEAN,"&amp;INDEX(tb_ConsensusEstimate,2,COLUMN())&amp;",+"&amp;INDEX(tb_ConsensusEstimate,3,COLUMN())&amp;",NOW"&amp;",,,'CURRENCY="&amp;HP.ReportCurrency&amp;"')"),_xll.TR(MO.Ticker.Thomson,"ZAV(TR.RevenueMean(Scale=6))","Period="&amp;INDEX(tb_ConsensusEstimate,2,COLUMN())&amp;INDEX(tb_ConsensusEstimate,3,COLUMN()))),"N/A")</f>
        <v>N/A</v>
      </c>
      <c r="R521" s="164" t="str">
        <f>IFERROR(CHOOSE(MO.DataSourceIndex,BDP(MO.Ticker.Bloomberg&amp;" EQUITY","BEST_SALES","BEST_FPERIOD_OVERRIDE="&amp;INDEX(tb_ConsensusEstimate,3,COLUMN())&amp;INDEX(tb_ConsensusEstimate,2,COLUMN())),_xll.ciqfunctions.udf.CIQ(MO.Ticker.CapIQ,"IQ_REVENUE_EST","IQ_"&amp;INDEX(tb_ConsensusEstimate,2,COLUMN())&amp;"+"&amp;INDEX(tb_ConsensusEstimate,3,COLUMN())),FDS(MO.Ticker.FactSet,"FE_ESTIMATE(SALES,MEAN,"&amp;INDEX(tb_ConsensusEstimate,2,COLUMN())&amp;",+"&amp;INDEX(tb_ConsensusEstimate,3,COLUMN())&amp;",NOW"&amp;",,,'CURRENCY="&amp;HP.ReportCurrency&amp;"')"),_xll.TR(MO.Ticker.Thomson,"ZAV(TR.RevenueMean(Scale=6))","Period="&amp;INDEX(tb_ConsensusEstimate,2,COLUMN())&amp;INDEX(tb_ConsensusEstimate,3,COLUMN()))),"N/A")</f>
        <v>N/A</v>
      </c>
      <c r="S521" s="164"/>
      <c r="T521" s="164"/>
      <c r="U521" s="164"/>
      <c r="V521" s="164"/>
      <c r="W521" s="164"/>
      <c r="X521" s="164"/>
      <c r="Y521" s="164"/>
      <c r="Z521" s="164"/>
      <c r="AA521" s="682"/>
      <c r="AB521" s="682"/>
      <c r="AC521" s="682"/>
      <c r="AD521" s="682"/>
      <c r="AE521" s="164"/>
      <c r="AF521" s="164"/>
      <c r="AG521" s="164"/>
      <c r="AH521" s="164"/>
      <c r="AI521" s="164"/>
      <c r="AJ521" s="164"/>
      <c r="AK521" s="164"/>
      <c r="AL521" s="164"/>
      <c r="AM521" s="164"/>
      <c r="AN521" s="164" t="str">
        <f>IFERROR(CHOOSE(MO.DataSourceIndex,BDP(MO.Ticker.Bloomberg&amp;" EQUITY","BEST_SALES","BEST_FPERIOD_OVERRIDE="&amp;INDEX(tb_ConsensusEstimate,3,COLUMN())&amp;INDEX(tb_ConsensusEstimate,2,COLUMN())),_xll.ciqfunctions.udf.CIQ(MO.Ticker.CapIQ,"IQ_REVENUE_EST","IQ_"&amp;INDEX(tb_ConsensusEstimate,2,COLUMN())&amp;"+"&amp;INDEX(tb_ConsensusEstimate,3,COLUMN())),FDS(MO.Ticker.FactSet,"FE_ESTIMATE(SALES,MEAN,"&amp;INDEX(tb_ConsensusEstimate,2,COLUMN())&amp;",+"&amp;INDEX(tb_ConsensusEstimate,3,COLUMN())&amp;",NOW"&amp;",,,'CURRENCY="&amp;HP.ReportCurrency&amp;"')"),_xll.TR(MO.Ticker.Thomson,"ZAV(TR.RevenueMean(Scale=6))","Period="&amp;INDEX(tb_ConsensusEstimate,2,COLUMN())&amp;INDEX(tb_ConsensusEstimate,3,COLUMN()))),"N/A")</f>
        <v>N/A</v>
      </c>
      <c r="AO521" s="164" t="str">
        <f>IFERROR(CHOOSE(MO.DataSourceIndex,BDP(MO.Ticker.Bloomberg&amp;" EQUITY","BEST_SALES","BEST_FPERIOD_OVERRIDE="&amp;INDEX(tb_ConsensusEstimate,3,COLUMN())&amp;INDEX(tb_ConsensusEstimate,2,COLUMN())),_xll.ciqfunctions.udf.CIQ(MO.Ticker.CapIQ,"IQ_REVENUE_EST","IQ_"&amp;INDEX(tb_ConsensusEstimate,2,COLUMN())&amp;"+"&amp;INDEX(tb_ConsensusEstimate,3,COLUMN())),FDS(MO.Ticker.FactSet,"FE_ESTIMATE(SALES,MEAN,"&amp;INDEX(tb_ConsensusEstimate,2,COLUMN())&amp;",+"&amp;INDEX(tb_ConsensusEstimate,3,COLUMN())&amp;",NOW"&amp;",,,'CURRENCY="&amp;HP.ReportCurrency&amp;"')"),_xll.TR(MO.Ticker.Thomson,"ZAV(TR.RevenueMean(Scale=6))","Period="&amp;INDEX(tb_ConsensusEstimate,2,COLUMN())&amp;INDEX(tb_ConsensusEstimate,3,COLUMN()))),"N/A")</f>
        <v>N/A</v>
      </c>
      <c r="AP521" s="164" t="str">
        <f>IFERROR(CHOOSE(MO.DataSourceIndex,BDP(MO.Ticker.Bloomberg&amp;" EQUITY","BEST_SALES","BEST_FPERIOD_OVERRIDE="&amp;INDEX(tb_ConsensusEstimate,3,COLUMN())&amp;INDEX(tb_ConsensusEstimate,2,COLUMN())),_xll.ciqfunctions.udf.CIQ(MO.Ticker.CapIQ,"IQ_REVENUE_EST","IQ_"&amp;INDEX(tb_ConsensusEstimate,2,COLUMN())&amp;"+"&amp;INDEX(tb_ConsensusEstimate,3,COLUMN())),FDS(MO.Ticker.FactSet,"FE_ESTIMATE(SALES,MEAN,"&amp;INDEX(tb_ConsensusEstimate,2,COLUMN())&amp;",+"&amp;INDEX(tb_ConsensusEstimate,3,COLUMN())&amp;",NOW"&amp;",,,'CURRENCY="&amp;HP.ReportCurrency&amp;"')"),_xll.TR(MO.Ticker.Thomson,"ZAV(TR.RevenueMean(Scale=6))","Period="&amp;INDEX(tb_ConsensusEstimate,2,COLUMN())&amp;INDEX(tb_ConsensusEstimate,3,COLUMN()))),"N/A")</f>
        <v>N/A</v>
      </c>
      <c r="AQ521" s="164" t="str">
        <f>IFERROR(CHOOSE(MO.DataSourceIndex,BDP(MO.Ticker.Bloomberg&amp;" EQUITY","BEST_SALES","BEST_FPERIOD_OVERRIDE="&amp;INDEX(tb_ConsensusEstimate,3,COLUMN())&amp;INDEX(tb_ConsensusEstimate,2,COLUMN())),_xll.ciqfunctions.udf.CIQ(MO.Ticker.CapIQ,"IQ_REVENUE_EST","IQ_"&amp;INDEX(tb_ConsensusEstimate,2,COLUMN())&amp;"+"&amp;INDEX(tb_ConsensusEstimate,3,COLUMN())),FDS(MO.Ticker.FactSet,"FE_ESTIMATE(SALES,MEAN,"&amp;INDEX(tb_ConsensusEstimate,2,COLUMN())&amp;",+"&amp;INDEX(tb_ConsensusEstimate,3,COLUMN())&amp;",NOW"&amp;",,,'CURRENCY="&amp;HP.ReportCurrency&amp;"')"),_xll.TR(MO.Ticker.Thomson,"ZAV(TR.RevenueMean(Scale=6))","Period="&amp;INDEX(tb_ConsensusEstimate,2,COLUMN())&amp;INDEX(tb_ConsensusEstimate,3,COLUMN()))),"N/A")</f>
        <v>N/A</v>
      </c>
      <c r="AR521" s="704" t="str">
        <f>IFERROR(CHOOSE(MO.DataSourceIndex,BDP(MO.Ticker.Bloomberg&amp;" EQUITY","BEST_SALES","BEST_FPERIOD_OVERRIDE="&amp;INDEX(tb_ConsensusEstimate,3,COLUMN())&amp;INDEX(tb_ConsensusEstimate,2,COLUMN())),_xll.ciqfunctions.udf.CIQ(MO.Ticker.CapIQ,"IQ_REVENUE_EST","IQ_"&amp;INDEX(tb_ConsensusEstimate,2,COLUMN())&amp;"+"&amp;INDEX(tb_ConsensusEstimate,3,COLUMN())),FDS(MO.Ticker.FactSet,"FE_ESTIMATE(SALES,MEAN,"&amp;INDEX(tb_ConsensusEstimate,2,COLUMN())&amp;",+"&amp;INDEX(tb_ConsensusEstimate,3,COLUMN())&amp;",NOW"&amp;",,,'CURRENCY="&amp;HP.ReportCurrency&amp;"')"),_xll.TR(MO.Ticker.Thomson,"ZAV(TR.RevenueMean(Scale=6))","Period="&amp;INDEX(tb_ConsensusEstimate,2,COLUMN())&amp;INDEX(tb_ConsensusEstimate,3,COLUMN()))),"N/A")</f>
        <v>N/A</v>
      </c>
      <c r="AS521" s="166"/>
    </row>
    <row r="522" spans="1:45" s="167" customFormat="1" x14ac:dyDescent="0.35">
      <c r="A522" s="692" t="str">
        <f>$A$186</f>
        <v>Consensus Estimates - Adjusted EBITDA</v>
      </c>
      <c r="B522" s="164"/>
      <c r="C522" s="164"/>
      <c r="D522" s="164"/>
      <c r="E522" s="164"/>
      <c r="F522" s="164"/>
      <c r="G522" s="164"/>
      <c r="H522" s="164"/>
      <c r="I522" s="164"/>
      <c r="J522" s="164"/>
      <c r="K522" s="164"/>
      <c r="L522" s="164"/>
      <c r="M522" s="164"/>
      <c r="N522" s="164"/>
      <c r="O522" s="164"/>
      <c r="P522" s="164" t="str">
        <f>IFERROR(CHOOSE(MO.DataSourceIndex,BDP(MO.Ticker.Bloomberg&amp;" EQUITY","BEST_EBITDA","BEST_FPERIOD_OVERRIDE="&amp;INDEX(tb_ConsensusEstimate,3,COLUMN())&amp;INDEX(tb_ConsensusEstimate,2,COLUMN())),_xll.ciqfunctions.udf.CIQ(MO.Ticker.CapIQ,"IQ_EBITDA_EST","IQ_"&amp;INDEX(tb_ConsensusEstimate,2,COLUMN())&amp;"+"&amp;INDEX(tb_ConsensusEstimate,3,COLUMN())),FDS(MO.Ticker.FactSet,"FE_ESTIMATE(EBITDA,MEAN,"&amp;INDEX(tb_ConsensusEstimate,2,COLUMN())&amp;",+"&amp;INDEX(tb_ConsensusEstimate,3,COLUMN())&amp;",NOW"&amp;",,,'CURRENCY="&amp;HP.ReportCurrency&amp;"')"),_xll.TR(MO.Ticker.Thomson,"ZAV(TR.EBITDAMean(Scale=6))","Period="&amp;INDEX(tb_ConsensusEstimate,2,COLUMN())&amp;INDEX(tb_ConsensusEstimate,3,COLUMN()))),"N/A")</f>
        <v>N/A</v>
      </c>
      <c r="Q522" s="164" t="str">
        <f>IFERROR(CHOOSE(MO.DataSourceIndex,BDP(MO.Ticker.Bloomberg&amp;" EQUITY","BEST_EBITDA","BEST_FPERIOD_OVERRIDE="&amp;INDEX(tb_ConsensusEstimate,3,COLUMN())&amp;INDEX(tb_ConsensusEstimate,2,COLUMN())),_xll.ciqfunctions.udf.CIQ(MO.Ticker.CapIQ,"IQ_EBITDA_EST","IQ_"&amp;INDEX(tb_ConsensusEstimate,2,COLUMN())&amp;"+"&amp;INDEX(tb_ConsensusEstimate,3,COLUMN())),FDS(MO.Ticker.FactSet,"FE_ESTIMATE(EBITDA,MEAN,"&amp;INDEX(tb_ConsensusEstimate,2,COLUMN())&amp;",+"&amp;INDEX(tb_ConsensusEstimate,3,COLUMN())&amp;",NOW"&amp;",,,'CURRENCY="&amp;HP.ReportCurrency&amp;"')"),_xll.TR(MO.Ticker.Thomson,"ZAV(TR.EBITDAMean(Scale=6))","Period="&amp;INDEX(tb_ConsensusEstimate,2,COLUMN())&amp;INDEX(tb_ConsensusEstimate,3,COLUMN()))),"N/A")</f>
        <v>N/A</v>
      </c>
      <c r="R522" s="164" t="str">
        <f>IFERROR(CHOOSE(MO.DataSourceIndex,BDP(MO.Ticker.Bloomberg&amp;" EQUITY","BEST_EBITDA","BEST_FPERIOD_OVERRIDE="&amp;INDEX(tb_ConsensusEstimate,3,COLUMN())&amp;INDEX(tb_ConsensusEstimate,2,COLUMN())),_xll.ciqfunctions.udf.CIQ(MO.Ticker.CapIQ,"IQ_EBITDA_EST","IQ_"&amp;INDEX(tb_ConsensusEstimate,2,COLUMN())&amp;"+"&amp;INDEX(tb_ConsensusEstimate,3,COLUMN())),FDS(MO.Ticker.FactSet,"FE_ESTIMATE(EBITDA,MEAN,"&amp;INDEX(tb_ConsensusEstimate,2,COLUMN())&amp;",+"&amp;INDEX(tb_ConsensusEstimate,3,COLUMN())&amp;",NOW"&amp;",,,'CURRENCY="&amp;HP.ReportCurrency&amp;"')"),_xll.TR(MO.Ticker.Thomson,"ZAV(TR.EBITDAMean(Scale=6))","Period="&amp;INDEX(tb_ConsensusEstimate,2,COLUMN())&amp;INDEX(tb_ConsensusEstimate,3,COLUMN()))),"N/A")</f>
        <v>N/A</v>
      </c>
      <c r="S522" s="164"/>
      <c r="T522" s="164"/>
      <c r="U522" s="164"/>
      <c r="V522" s="164"/>
      <c r="W522" s="164"/>
      <c r="X522" s="164"/>
      <c r="Y522" s="164"/>
      <c r="Z522" s="164"/>
      <c r="AA522" s="682"/>
      <c r="AB522" s="682"/>
      <c r="AC522" s="682"/>
      <c r="AD522" s="682"/>
      <c r="AE522" s="164"/>
      <c r="AF522" s="164"/>
      <c r="AG522" s="164"/>
      <c r="AH522" s="164"/>
      <c r="AI522" s="164"/>
      <c r="AJ522" s="164"/>
      <c r="AK522" s="164"/>
      <c r="AL522" s="164"/>
      <c r="AM522" s="164"/>
      <c r="AN522" s="164" t="str">
        <f>IFERROR(CHOOSE(MO.DataSourceIndex,BDP(MO.Ticker.Bloomberg&amp;" EQUITY","BEST_EBITDA","BEST_FPERIOD_OVERRIDE="&amp;INDEX(tb_ConsensusEstimate,3,COLUMN())&amp;INDEX(tb_ConsensusEstimate,2,COLUMN())),_xll.ciqfunctions.udf.CIQ(MO.Ticker.CapIQ,"IQ_EBITDA_EST","IQ_"&amp;INDEX(tb_ConsensusEstimate,2,COLUMN())&amp;"+"&amp;INDEX(tb_ConsensusEstimate,3,COLUMN())),FDS(MO.Ticker.FactSet,"FE_ESTIMATE(EBITDA,MEAN,"&amp;INDEX(tb_ConsensusEstimate,2,COLUMN())&amp;",+"&amp;INDEX(tb_ConsensusEstimate,3,COLUMN())&amp;",NOW"&amp;",,,'CURRENCY="&amp;HP.ReportCurrency&amp;"')"),_xll.TR(MO.Ticker.Thomson,"ZAV(TR.EBITDAMean(Scale=6))","Period="&amp;INDEX(tb_ConsensusEstimate,2,COLUMN())&amp;INDEX(tb_ConsensusEstimate,3,COLUMN()))),"N/A")</f>
        <v>N/A</v>
      </c>
      <c r="AO522" s="164" t="str">
        <f>IFERROR(CHOOSE(MO.DataSourceIndex,BDP(MO.Ticker.Bloomberg&amp;" EQUITY","BEST_EBITDA","BEST_FPERIOD_OVERRIDE="&amp;INDEX(tb_ConsensusEstimate,3,COLUMN())&amp;INDEX(tb_ConsensusEstimate,2,COLUMN())),_xll.ciqfunctions.udf.CIQ(MO.Ticker.CapIQ,"IQ_EBITDA_EST","IQ_"&amp;INDEX(tb_ConsensusEstimate,2,COLUMN())&amp;"+"&amp;INDEX(tb_ConsensusEstimate,3,COLUMN())),FDS(MO.Ticker.FactSet,"FE_ESTIMATE(EBITDA,MEAN,"&amp;INDEX(tb_ConsensusEstimate,2,COLUMN())&amp;",+"&amp;INDEX(tb_ConsensusEstimate,3,COLUMN())&amp;",NOW"&amp;",,,'CURRENCY="&amp;HP.ReportCurrency&amp;"')"),_xll.TR(MO.Ticker.Thomson,"ZAV(TR.EBITDAMean(Scale=6))","Period="&amp;INDEX(tb_ConsensusEstimate,2,COLUMN())&amp;INDEX(tb_ConsensusEstimate,3,COLUMN()))),"N/A")</f>
        <v>N/A</v>
      </c>
      <c r="AP522" s="164" t="str">
        <f>IFERROR(CHOOSE(MO.DataSourceIndex,BDP(MO.Ticker.Bloomberg&amp;" EQUITY","BEST_EBITDA","BEST_FPERIOD_OVERRIDE="&amp;INDEX(tb_ConsensusEstimate,3,COLUMN())&amp;INDEX(tb_ConsensusEstimate,2,COLUMN())),_xll.ciqfunctions.udf.CIQ(MO.Ticker.CapIQ,"IQ_EBITDA_EST","IQ_"&amp;INDEX(tb_ConsensusEstimate,2,COLUMN())&amp;"+"&amp;INDEX(tb_ConsensusEstimate,3,COLUMN())),FDS(MO.Ticker.FactSet,"FE_ESTIMATE(EBITDA,MEAN,"&amp;INDEX(tb_ConsensusEstimate,2,COLUMN())&amp;",+"&amp;INDEX(tb_ConsensusEstimate,3,COLUMN())&amp;",NOW"&amp;",,,'CURRENCY="&amp;HP.ReportCurrency&amp;"')"),_xll.TR(MO.Ticker.Thomson,"ZAV(TR.EBITDAMean(Scale=6))","Period="&amp;INDEX(tb_ConsensusEstimate,2,COLUMN())&amp;INDEX(tb_ConsensusEstimate,3,COLUMN()))),"N/A")</f>
        <v>N/A</v>
      </c>
      <c r="AQ522" s="164" t="str">
        <f>IFERROR(CHOOSE(MO.DataSourceIndex,BDP(MO.Ticker.Bloomberg&amp;" EQUITY","BEST_EBITDA","BEST_FPERIOD_OVERRIDE="&amp;INDEX(tb_ConsensusEstimate,3,COLUMN())&amp;INDEX(tb_ConsensusEstimate,2,COLUMN())),_xll.ciqfunctions.udf.CIQ(MO.Ticker.CapIQ,"IQ_EBITDA_EST","IQ_"&amp;INDEX(tb_ConsensusEstimate,2,COLUMN())&amp;"+"&amp;INDEX(tb_ConsensusEstimate,3,COLUMN())),FDS(MO.Ticker.FactSet,"FE_ESTIMATE(EBITDA,MEAN,"&amp;INDEX(tb_ConsensusEstimate,2,COLUMN())&amp;",+"&amp;INDEX(tb_ConsensusEstimate,3,COLUMN())&amp;",NOW"&amp;",,,'CURRENCY="&amp;HP.ReportCurrency&amp;"')"),_xll.TR(MO.Ticker.Thomson,"ZAV(TR.EBITDAMean(Scale=6))","Period="&amp;INDEX(tb_ConsensusEstimate,2,COLUMN())&amp;INDEX(tb_ConsensusEstimate,3,COLUMN()))),"N/A")</f>
        <v>N/A</v>
      </c>
      <c r="AR522" s="704" t="str">
        <f>IFERROR(CHOOSE(MO.DataSourceIndex,BDP(MO.Ticker.Bloomberg&amp;" EQUITY","BEST_EBITDA","BEST_FPERIOD_OVERRIDE="&amp;INDEX(tb_ConsensusEstimate,3,COLUMN())&amp;INDEX(tb_ConsensusEstimate,2,COLUMN())),_xll.ciqfunctions.udf.CIQ(MO.Ticker.CapIQ,"IQ_EBITDA_EST","IQ_"&amp;INDEX(tb_ConsensusEstimate,2,COLUMN())&amp;"+"&amp;INDEX(tb_ConsensusEstimate,3,COLUMN())),FDS(MO.Ticker.FactSet,"FE_ESTIMATE(EBITDA,MEAN,"&amp;INDEX(tb_ConsensusEstimate,2,COLUMN())&amp;",+"&amp;INDEX(tb_ConsensusEstimate,3,COLUMN())&amp;",NOW"&amp;",,,'CURRENCY="&amp;HP.ReportCurrency&amp;"')"),_xll.TR(MO.Ticker.Thomson,"ZAV(TR.EBITDAMean(Scale=6))","Period="&amp;INDEX(tb_ConsensusEstimate,2,COLUMN())&amp;INDEX(tb_ConsensusEstimate,3,COLUMN()))),"N/A")</f>
        <v>N/A</v>
      </c>
      <c r="AS522" s="166"/>
    </row>
    <row r="523" spans="1:45" s="167" customFormat="1" x14ac:dyDescent="0.35">
      <c r="A523" s="692" t="str">
        <f>$A$180</f>
        <v>Consensus Estimates - Adjusted EBIT</v>
      </c>
      <c r="B523" s="164"/>
      <c r="C523" s="164"/>
      <c r="D523" s="164"/>
      <c r="E523" s="164"/>
      <c r="F523" s="164"/>
      <c r="G523" s="164"/>
      <c r="H523" s="164"/>
      <c r="I523" s="164"/>
      <c r="J523" s="164"/>
      <c r="K523" s="164"/>
      <c r="L523" s="164"/>
      <c r="M523" s="164"/>
      <c r="N523" s="164"/>
      <c r="O523" s="164"/>
      <c r="P523" s="164" t="str">
        <f>IFERROR(CHOOSE(MO.DataSourceIndex,BDP(MO.Ticker.Bloomberg&amp;" EQUITY","BEST_EBIT","BEST_FPERIOD_OVERRIDE="&amp;INDEX(tb_ConsensusEstimate,3,COLUMN())&amp;INDEX(tb_ConsensusEstimate,2,COLUMN())),_xll.ciqfunctions.udf.CIQ(MO.Ticker.CapIQ,"IQ_EBIT_EST","IQ_"&amp;INDEX(tb_ConsensusEstimate,2,COLUMN())&amp;"+"&amp;INDEX(tb_ConsensusEstimate,3,COLUMN())),FDS(MO.Ticker.FactSet,"FE_ESTIMATE(EBIT,MEAN,"&amp;INDEX(tb_ConsensusEstimate,2,COLUMN())&amp;",+"&amp;INDEX(tb_ConsensusEstimate,3,COLUMN())&amp;",NOW"&amp;",,,'CURRENCY="&amp;HP.ReportCurrency&amp;"')"),_xll.TR(MO.Ticker.Thomson,"ZAV(TR.EBITMean(Scale=6))","Period="&amp;INDEX(tb_ConsensusEstimate,2,COLUMN())&amp;INDEX(tb_ConsensusEstimate,3,COLUMN()))),"N/A")</f>
        <v>N/A</v>
      </c>
      <c r="Q523" s="164" t="str">
        <f>IFERROR(CHOOSE(MO.DataSourceIndex,BDP(MO.Ticker.Bloomberg&amp;" EQUITY","BEST_EBIT","BEST_FPERIOD_OVERRIDE="&amp;INDEX(tb_ConsensusEstimate,3,COLUMN())&amp;INDEX(tb_ConsensusEstimate,2,COLUMN())),_xll.ciqfunctions.udf.CIQ(MO.Ticker.CapIQ,"IQ_EBIT_EST","IQ_"&amp;INDEX(tb_ConsensusEstimate,2,COLUMN())&amp;"+"&amp;INDEX(tb_ConsensusEstimate,3,COLUMN())),FDS(MO.Ticker.FactSet,"FE_ESTIMATE(EBIT,MEAN,"&amp;INDEX(tb_ConsensusEstimate,2,COLUMN())&amp;",+"&amp;INDEX(tb_ConsensusEstimate,3,COLUMN())&amp;",NOW"&amp;",,,'CURRENCY="&amp;HP.ReportCurrency&amp;"')"),_xll.TR(MO.Ticker.Thomson,"ZAV(TR.EBITMean(Scale=6))","Period="&amp;INDEX(tb_ConsensusEstimate,2,COLUMN())&amp;INDEX(tb_ConsensusEstimate,3,COLUMN()))),"N/A")</f>
        <v>N/A</v>
      </c>
      <c r="R523" s="164" t="str">
        <f>IFERROR(CHOOSE(MO.DataSourceIndex,BDP(MO.Ticker.Bloomberg&amp;" EQUITY","BEST_EBIT","BEST_FPERIOD_OVERRIDE="&amp;INDEX(tb_ConsensusEstimate,3,COLUMN())&amp;INDEX(tb_ConsensusEstimate,2,COLUMN())),_xll.ciqfunctions.udf.CIQ(MO.Ticker.CapIQ,"IQ_EBIT_EST","IQ_"&amp;INDEX(tb_ConsensusEstimate,2,COLUMN())&amp;"+"&amp;INDEX(tb_ConsensusEstimate,3,COLUMN())),FDS(MO.Ticker.FactSet,"FE_ESTIMATE(EBIT,MEAN,"&amp;INDEX(tb_ConsensusEstimate,2,COLUMN())&amp;",+"&amp;INDEX(tb_ConsensusEstimate,3,COLUMN())&amp;",NOW"&amp;",,,'CURRENCY="&amp;HP.ReportCurrency&amp;"')"),_xll.TR(MO.Ticker.Thomson,"ZAV(TR.EBITMean(Scale=6))","Period="&amp;INDEX(tb_ConsensusEstimate,2,COLUMN())&amp;INDEX(tb_ConsensusEstimate,3,COLUMN()))),"N/A")</f>
        <v>N/A</v>
      </c>
      <c r="S523" s="164"/>
      <c r="T523" s="164"/>
      <c r="U523" s="164"/>
      <c r="V523" s="164"/>
      <c r="W523" s="164"/>
      <c r="X523" s="164"/>
      <c r="Y523" s="164"/>
      <c r="Z523" s="164"/>
      <c r="AA523" s="682"/>
      <c r="AB523" s="682"/>
      <c r="AC523" s="682"/>
      <c r="AD523" s="682"/>
      <c r="AE523" s="164"/>
      <c r="AF523" s="164"/>
      <c r="AG523" s="164"/>
      <c r="AH523" s="164"/>
      <c r="AI523" s="164"/>
      <c r="AJ523" s="164"/>
      <c r="AK523" s="164"/>
      <c r="AL523" s="164"/>
      <c r="AM523" s="164"/>
      <c r="AN523" s="164" t="str">
        <f>IFERROR(CHOOSE(MO.DataSourceIndex,BDP(MO.Ticker.Bloomberg&amp;" EQUITY","BEST_EBIT","BEST_FPERIOD_OVERRIDE="&amp;INDEX(tb_ConsensusEstimate,3,COLUMN())&amp;INDEX(tb_ConsensusEstimate,2,COLUMN())),_xll.ciqfunctions.udf.CIQ(MO.Ticker.CapIQ,"IQ_EBIT_EST","IQ_"&amp;INDEX(tb_ConsensusEstimate,2,COLUMN())&amp;"+"&amp;INDEX(tb_ConsensusEstimate,3,COLUMN())),FDS(MO.Ticker.FactSet,"FE_ESTIMATE(EBIT,MEAN,"&amp;INDEX(tb_ConsensusEstimate,2,COLUMN())&amp;",+"&amp;INDEX(tb_ConsensusEstimate,3,COLUMN())&amp;",NOW"&amp;",,,'CURRENCY="&amp;HP.ReportCurrency&amp;"')"),_xll.TR(MO.Ticker.Thomson,"ZAV(TR.EBITMean(Scale=6))","Period="&amp;INDEX(tb_ConsensusEstimate,2,COLUMN())&amp;INDEX(tb_ConsensusEstimate,3,COLUMN()))),"N/A")</f>
        <v>N/A</v>
      </c>
      <c r="AO523" s="164" t="str">
        <f>IFERROR(CHOOSE(MO.DataSourceIndex,BDP(MO.Ticker.Bloomberg&amp;" EQUITY","BEST_EBIT","BEST_FPERIOD_OVERRIDE="&amp;INDEX(tb_ConsensusEstimate,3,COLUMN())&amp;INDEX(tb_ConsensusEstimate,2,COLUMN())),_xll.ciqfunctions.udf.CIQ(MO.Ticker.CapIQ,"IQ_EBIT_EST","IQ_"&amp;INDEX(tb_ConsensusEstimate,2,COLUMN())&amp;"+"&amp;INDEX(tb_ConsensusEstimate,3,COLUMN())),FDS(MO.Ticker.FactSet,"FE_ESTIMATE(EBIT,MEAN,"&amp;INDEX(tb_ConsensusEstimate,2,COLUMN())&amp;",+"&amp;INDEX(tb_ConsensusEstimate,3,COLUMN())&amp;",NOW"&amp;",,,'CURRENCY="&amp;HP.ReportCurrency&amp;"')"),_xll.TR(MO.Ticker.Thomson,"ZAV(TR.EBITMean(Scale=6))","Period="&amp;INDEX(tb_ConsensusEstimate,2,COLUMN())&amp;INDEX(tb_ConsensusEstimate,3,COLUMN()))),"N/A")</f>
        <v>N/A</v>
      </c>
      <c r="AP523" s="164" t="str">
        <f>IFERROR(CHOOSE(MO.DataSourceIndex,BDP(MO.Ticker.Bloomberg&amp;" EQUITY","BEST_EBIT","BEST_FPERIOD_OVERRIDE="&amp;INDEX(tb_ConsensusEstimate,3,COLUMN())&amp;INDEX(tb_ConsensusEstimate,2,COLUMN())),_xll.ciqfunctions.udf.CIQ(MO.Ticker.CapIQ,"IQ_EBIT_EST","IQ_"&amp;INDEX(tb_ConsensusEstimate,2,COLUMN())&amp;"+"&amp;INDEX(tb_ConsensusEstimate,3,COLUMN())),FDS(MO.Ticker.FactSet,"FE_ESTIMATE(EBIT,MEAN,"&amp;INDEX(tb_ConsensusEstimate,2,COLUMN())&amp;",+"&amp;INDEX(tb_ConsensusEstimate,3,COLUMN())&amp;",NOW"&amp;",,,'CURRENCY="&amp;HP.ReportCurrency&amp;"')"),_xll.TR(MO.Ticker.Thomson,"ZAV(TR.EBITMean(Scale=6))","Period="&amp;INDEX(tb_ConsensusEstimate,2,COLUMN())&amp;INDEX(tb_ConsensusEstimate,3,COLUMN()))),"N/A")</f>
        <v>N/A</v>
      </c>
      <c r="AQ523" s="164" t="str">
        <f>IFERROR(CHOOSE(MO.DataSourceIndex,BDP(MO.Ticker.Bloomberg&amp;" EQUITY","BEST_EBIT","BEST_FPERIOD_OVERRIDE="&amp;INDEX(tb_ConsensusEstimate,3,COLUMN())&amp;INDEX(tb_ConsensusEstimate,2,COLUMN())),_xll.ciqfunctions.udf.CIQ(MO.Ticker.CapIQ,"IQ_EBIT_EST","IQ_"&amp;INDEX(tb_ConsensusEstimate,2,COLUMN())&amp;"+"&amp;INDEX(tb_ConsensusEstimate,3,COLUMN())),FDS(MO.Ticker.FactSet,"FE_ESTIMATE(EBIT,MEAN,"&amp;INDEX(tb_ConsensusEstimate,2,COLUMN())&amp;",+"&amp;INDEX(tb_ConsensusEstimate,3,COLUMN())&amp;",NOW"&amp;",,,'CURRENCY="&amp;HP.ReportCurrency&amp;"')"),_xll.TR(MO.Ticker.Thomson,"ZAV(TR.EBITMean(Scale=6))","Period="&amp;INDEX(tb_ConsensusEstimate,2,COLUMN())&amp;INDEX(tb_ConsensusEstimate,3,COLUMN()))),"N/A")</f>
        <v>N/A</v>
      </c>
      <c r="AR523" s="704" t="str">
        <f>IFERROR(CHOOSE(MO.DataSourceIndex,BDP(MO.Ticker.Bloomberg&amp;" EQUITY","BEST_EBIT","BEST_FPERIOD_OVERRIDE="&amp;INDEX(tb_ConsensusEstimate,3,COLUMN())&amp;INDEX(tb_ConsensusEstimate,2,COLUMN())),_xll.ciqfunctions.udf.CIQ(MO.Ticker.CapIQ,"IQ_EBIT_EST","IQ_"&amp;INDEX(tb_ConsensusEstimate,2,COLUMN())&amp;"+"&amp;INDEX(tb_ConsensusEstimate,3,COLUMN())),FDS(MO.Ticker.FactSet,"FE_ESTIMATE(EBIT,MEAN,"&amp;INDEX(tb_ConsensusEstimate,2,COLUMN())&amp;",+"&amp;INDEX(tb_ConsensusEstimate,3,COLUMN())&amp;",NOW"&amp;",,,'CURRENCY="&amp;HP.ReportCurrency&amp;"')"),_xll.TR(MO.Ticker.Thomson,"ZAV(TR.EBITMean(Scale=6))","Period="&amp;INDEX(tb_ConsensusEstimate,2,COLUMN())&amp;INDEX(tb_ConsensusEstimate,3,COLUMN()))),"N/A")</f>
        <v>N/A</v>
      </c>
      <c r="AS523" s="166"/>
    </row>
    <row r="524" spans="1:45" s="167" customFormat="1" x14ac:dyDescent="0.35">
      <c r="A524" s="692" t="str">
        <f>$A$211</f>
        <v>Consensus Estimates - Adjusted Earnings Per Share - WAD, p</v>
      </c>
      <c r="B524" s="164"/>
      <c r="C524" s="164"/>
      <c r="D524" s="164"/>
      <c r="E524" s="164"/>
      <c r="F524" s="164"/>
      <c r="G524" s="164"/>
      <c r="H524" s="164"/>
      <c r="I524" s="164"/>
      <c r="J524" s="164"/>
      <c r="K524" s="164"/>
      <c r="L524" s="164"/>
      <c r="M524" s="164"/>
      <c r="N524" s="164"/>
      <c r="O524" s="164"/>
      <c r="P524" s="164" t="str">
        <f>IFERROR(CHOOSE(MO.DataSourceIndex,BDP(MO.Ticker.Bloomberg&amp;" EQUITY","BEST_EPS","BEST_FPERIOD_OVERRIDE="&amp;INDEX(tb_ConsensusEstimate,3,COLUMN())&amp;INDEX(tb_ConsensusEstimate,2,COLUMN()))*100,_xll.ciqfunctions.udf.CIQ(MO.Ticker.CapIQ,"IQ_EPS_NORM_EST","IQ_"&amp;INDEX(tb_ConsensusEstimate,2,COLUMN())&amp;"+"&amp;INDEX(tb_ConsensusEstimate,3,COLUMN()))*100,FDS(MO.Ticker.FactSet,"FE_ESTIMATE(EPS,MEAN,"&amp;INDEX(tb_ConsensusEstimate,2,COLUMN())&amp;",+"&amp;INDEX(tb_ConsensusEstimate,3,COLUMN())&amp;",NOW,,,'')")*100,_xll.TR(MO.Ticker.Thomson,"ZAV(TR.EPSMean)","Period="&amp;INDEX(tb_ConsensusEstimate,2,COLUMN())&amp;INDEX(tb_ConsensusEstimate,3,COLUMN())))*100,"N/A")</f>
        <v>N/A</v>
      </c>
      <c r="Q524" s="164" t="str">
        <f>IFERROR(CHOOSE(MO.DataSourceIndex,BDP(MO.Ticker.Bloomberg&amp;" EQUITY","BEST_EPS","BEST_FPERIOD_OVERRIDE="&amp;INDEX(tb_ConsensusEstimate,3,COLUMN())&amp;INDEX(tb_ConsensusEstimate,2,COLUMN()))*100,_xll.ciqfunctions.udf.CIQ(MO.Ticker.CapIQ,"IQ_EPS_NORM_EST","IQ_"&amp;INDEX(tb_ConsensusEstimate,2,COLUMN())&amp;"+"&amp;INDEX(tb_ConsensusEstimate,3,COLUMN()))*100,FDS(MO.Ticker.FactSet,"FE_ESTIMATE(EPS,MEAN,"&amp;INDEX(tb_ConsensusEstimate,2,COLUMN())&amp;",+"&amp;INDEX(tb_ConsensusEstimate,3,COLUMN())&amp;",NOW,,,'')")*100,_xll.TR(MO.Ticker.Thomson,"ZAV(TR.EPSMean)","Period="&amp;INDEX(tb_ConsensusEstimate,2,COLUMN())&amp;INDEX(tb_ConsensusEstimate,3,COLUMN())))*100,"N/A")</f>
        <v>N/A</v>
      </c>
      <c r="R524" s="164" t="str">
        <f>IFERROR(CHOOSE(MO.DataSourceIndex,BDP(MO.Ticker.Bloomberg&amp;" EQUITY","BEST_EPS","BEST_FPERIOD_OVERRIDE="&amp;INDEX(tb_ConsensusEstimate,3,COLUMN())&amp;INDEX(tb_ConsensusEstimate,2,COLUMN()))*100,_xll.ciqfunctions.udf.CIQ(MO.Ticker.CapIQ,"IQ_EPS_NORM_EST","IQ_"&amp;INDEX(tb_ConsensusEstimate,2,COLUMN())&amp;"+"&amp;INDEX(tb_ConsensusEstimate,3,COLUMN()))*100,FDS(MO.Ticker.FactSet,"FE_ESTIMATE(EPS,MEAN,"&amp;INDEX(tb_ConsensusEstimate,2,COLUMN())&amp;",+"&amp;INDEX(tb_ConsensusEstimate,3,COLUMN())&amp;",NOW,,,'')")*100,_xll.TR(MO.Ticker.Thomson,"ZAV(TR.EPSMean)","Period="&amp;INDEX(tb_ConsensusEstimate,2,COLUMN())&amp;INDEX(tb_ConsensusEstimate,3,COLUMN())))*100,"N/A")</f>
        <v>N/A</v>
      </c>
      <c r="S524" s="164"/>
      <c r="T524" s="164"/>
      <c r="U524" s="164"/>
      <c r="V524" s="164"/>
      <c r="W524" s="164"/>
      <c r="X524" s="164"/>
      <c r="Y524" s="164"/>
      <c r="Z524" s="164"/>
      <c r="AA524" s="705"/>
      <c r="AB524" s="705"/>
      <c r="AC524" s="705"/>
      <c r="AD524" s="705"/>
      <c r="AE524" s="164"/>
      <c r="AF524" s="164"/>
      <c r="AG524" s="164"/>
      <c r="AH524" s="164"/>
      <c r="AI524" s="164"/>
      <c r="AJ524" s="164"/>
      <c r="AK524" s="164"/>
      <c r="AL524" s="164"/>
      <c r="AM524" s="164"/>
      <c r="AN524" s="164" t="str">
        <f>IFERROR(CHOOSE(MO.DataSourceIndex,BDP(MO.Ticker.Bloomberg&amp;" EQUITY","BEST_EPS","BEST_FPERIOD_OVERRIDE="&amp;INDEX(tb_ConsensusEstimate,3,COLUMN())&amp;INDEX(tb_ConsensusEstimate,2,COLUMN()))*100,_xll.ciqfunctions.udf.CIQ(MO.Ticker.CapIQ,"IQ_EPS_NORM_EST","IQ_"&amp;INDEX(tb_ConsensusEstimate,2,COLUMN())&amp;"+"&amp;INDEX(tb_ConsensusEstimate,3,COLUMN()))*100,FDS(MO.Ticker.FactSet,"FE_ESTIMATE(EPS,MEAN,"&amp;INDEX(tb_ConsensusEstimate,2,COLUMN())&amp;",+"&amp;INDEX(tb_ConsensusEstimate,3,COLUMN())&amp;",NOW,,,'')")*100,_xll.TR(MO.Ticker.Thomson,"ZAV(TR.EPSMean)","Period="&amp;INDEX(tb_ConsensusEstimate,2,COLUMN())&amp;INDEX(tb_ConsensusEstimate,3,COLUMN())))*100,"N/A")</f>
        <v>N/A</v>
      </c>
      <c r="AO524" s="164" t="str">
        <f>IFERROR(CHOOSE(MO.DataSourceIndex,BDP(MO.Ticker.Bloomberg&amp;" EQUITY","BEST_EPS","BEST_FPERIOD_OVERRIDE="&amp;INDEX(tb_ConsensusEstimate,3,COLUMN())&amp;INDEX(tb_ConsensusEstimate,2,COLUMN()))*100,_xll.ciqfunctions.udf.CIQ(MO.Ticker.CapIQ,"IQ_EPS_NORM_EST","IQ_"&amp;INDEX(tb_ConsensusEstimate,2,COLUMN())&amp;"+"&amp;INDEX(tb_ConsensusEstimate,3,COLUMN()))*100,FDS(MO.Ticker.FactSet,"FE_ESTIMATE(EPS,MEAN,"&amp;INDEX(tb_ConsensusEstimate,2,COLUMN())&amp;",+"&amp;INDEX(tb_ConsensusEstimate,3,COLUMN())&amp;",NOW,,,'')")*100,_xll.TR(MO.Ticker.Thomson,"ZAV(TR.EPSMean)","Period="&amp;INDEX(tb_ConsensusEstimate,2,COLUMN())&amp;INDEX(tb_ConsensusEstimate,3,COLUMN())))*100,"N/A")</f>
        <v>N/A</v>
      </c>
      <c r="AP524" s="164" t="str">
        <f>IFERROR(CHOOSE(MO.DataSourceIndex,BDP(MO.Ticker.Bloomberg&amp;" EQUITY","BEST_EPS","BEST_FPERIOD_OVERRIDE="&amp;INDEX(tb_ConsensusEstimate,3,COLUMN())&amp;INDEX(tb_ConsensusEstimate,2,COLUMN()))*100,_xll.ciqfunctions.udf.CIQ(MO.Ticker.CapIQ,"IQ_EPS_NORM_EST","IQ_"&amp;INDEX(tb_ConsensusEstimate,2,COLUMN())&amp;"+"&amp;INDEX(tb_ConsensusEstimate,3,COLUMN()))*100,FDS(MO.Ticker.FactSet,"FE_ESTIMATE(EPS,MEAN,"&amp;INDEX(tb_ConsensusEstimate,2,COLUMN())&amp;",+"&amp;INDEX(tb_ConsensusEstimate,3,COLUMN())&amp;",NOW,,,'')")*100,_xll.TR(MO.Ticker.Thomson,"ZAV(TR.EPSMean)","Period="&amp;INDEX(tb_ConsensusEstimate,2,COLUMN())&amp;INDEX(tb_ConsensusEstimate,3,COLUMN())))*100,"N/A")</f>
        <v>N/A</v>
      </c>
      <c r="AQ524" s="164" t="str">
        <f>IFERROR(CHOOSE(MO.DataSourceIndex,BDP(MO.Ticker.Bloomberg&amp;" EQUITY","BEST_EPS","BEST_FPERIOD_OVERRIDE="&amp;INDEX(tb_ConsensusEstimate,3,COLUMN())&amp;INDEX(tb_ConsensusEstimate,2,COLUMN()))*100,_xll.ciqfunctions.udf.CIQ(MO.Ticker.CapIQ,"IQ_EPS_NORM_EST","IQ_"&amp;INDEX(tb_ConsensusEstimate,2,COLUMN())&amp;"+"&amp;INDEX(tb_ConsensusEstimate,3,COLUMN()))*100,FDS(MO.Ticker.FactSet,"FE_ESTIMATE(EPS,MEAN,"&amp;INDEX(tb_ConsensusEstimate,2,COLUMN())&amp;",+"&amp;INDEX(tb_ConsensusEstimate,3,COLUMN())&amp;",NOW,,,'')")*100,_xll.TR(MO.Ticker.Thomson,"ZAV(TR.EPSMean)","Period="&amp;INDEX(tb_ConsensusEstimate,2,COLUMN())&amp;INDEX(tb_ConsensusEstimate,3,COLUMN())))*100,"N/A")</f>
        <v>N/A</v>
      </c>
      <c r="AR524" s="704" t="str">
        <f>IFERROR(CHOOSE(MO.DataSourceIndex,BDP(MO.Ticker.Bloomberg&amp;" EQUITY","BEST_EPS","BEST_FPERIOD_OVERRIDE="&amp;INDEX(tb_ConsensusEstimate,3,COLUMN())&amp;INDEX(tb_ConsensusEstimate,2,COLUMN()))*100,_xll.ciqfunctions.udf.CIQ(MO.Ticker.CapIQ,"IQ_EPS_NORM_EST","IQ_"&amp;INDEX(tb_ConsensusEstimate,2,COLUMN())&amp;"+"&amp;INDEX(tb_ConsensusEstimate,3,COLUMN()))*100,FDS(MO.Ticker.FactSet,"FE_ESTIMATE(EPS,MEAN,"&amp;INDEX(tb_ConsensusEstimate,2,COLUMN())&amp;",+"&amp;INDEX(tb_ConsensusEstimate,3,COLUMN())&amp;",NOW,,,'')")*100,_xll.TR(MO.Ticker.Thomson,"ZAV(TR.EPSMean)","Period="&amp;INDEX(tb_ConsensusEstimate,2,COLUMN())&amp;INDEX(tb_ConsensusEstimate,3,COLUMN())))*100,"N/A")</f>
        <v>N/A</v>
      </c>
      <c r="AS524" s="166"/>
    </row>
    <row r="525" spans="1:45" s="167" customFormat="1" x14ac:dyDescent="0.35">
      <c r="A525" s="692" t="str">
        <f>$A$227</f>
        <v>Consensus Estimates - Cash Flow Per Diluted Share, p</v>
      </c>
      <c r="B525" s="164"/>
      <c r="C525" s="164"/>
      <c r="D525" s="164"/>
      <c r="E525" s="164"/>
      <c r="F525" s="164"/>
      <c r="G525" s="164"/>
      <c r="H525" s="164"/>
      <c r="I525" s="164"/>
      <c r="J525" s="164"/>
      <c r="K525" s="164"/>
      <c r="L525" s="164"/>
      <c r="M525" s="164"/>
      <c r="N525" s="164"/>
      <c r="O525" s="164"/>
      <c r="P525" s="164" t="str">
        <f>IFERROR(CHOOSE(MO.DataSourceIndex,BDP(MO.Ticker.Bloomberg&amp;" EQUITY","BEST_CPS","BEST_FPERIOD_OVERRIDE="&amp;INDEX(tb_ConsensusEstimate,3,COLUMN())&amp;INDEX(tb_ConsensusEstimate,2,COLUMN()))*100,_xll.ciqfunctions.udf.CIQ(MO.Ticker.CapIQ,"IQ_CFPS_EST","IQ_"&amp;INDEX(tb_ConsensusEstimate,2,COLUMN())&amp;"+"&amp;INDEX(tb_ConsensusEstimate,3,COLUMN()))*100,FDS(MO.Ticker.FactSet,"FE_ESTIMATE(CFPS,MEAN,"&amp;INDEX(tb_ConsensusEstimate,2,COLUMN())&amp;",+"&amp;INDEX(tb_ConsensusEstimate,3,COLUMN())&amp;",NOW,,,'')")*100,_xll.TR(MO.Ticker.Thomson,"ZAV(TR.CFPSMean)","Period="&amp;INDEX(tb_ConsensusEstimate,2,COLUMN())&amp;INDEX(tb_ConsensusEstimate,3,COLUMN())))*100,"N/A")</f>
        <v>N/A</v>
      </c>
      <c r="Q525" s="164" t="str">
        <f>IFERROR(CHOOSE(MO.DataSourceIndex,BDP(MO.Ticker.Bloomberg&amp;" EQUITY","BEST_CPS","BEST_FPERIOD_OVERRIDE="&amp;INDEX(tb_ConsensusEstimate,3,COLUMN())&amp;INDEX(tb_ConsensusEstimate,2,COLUMN()))*100,_xll.ciqfunctions.udf.CIQ(MO.Ticker.CapIQ,"IQ_CFPS_EST","IQ_"&amp;INDEX(tb_ConsensusEstimate,2,COLUMN())&amp;"+"&amp;INDEX(tb_ConsensusEstimate,3,COLUMN()))*100,FDS(MO.Ticker.FactSet,"FE_ESTIMATE(CFPS,MEAN,"&amp;INDEX(tb_ConsensusEstimate,2,COLUMN())&amp;",+"&amp;INDEX(tb_ConsensusEstimate,3,COLUMN())&amp;",NOW,,,'')")*100,_xll.TR(MO.Ticker.Thomson,"ZAV(TR.CFPSMean)","Period="&amp;INDEX(tb_ConsensusEstimate,2,COLUMN())&amp;INDEX(tb_ConsensusEstimate,3,COLUMN())))*100,"N/A")</f>
        <v>N/A</v>
      </c>
      <c r="R525" s="164" t="str">
        <f>IFERROR(CHOOSE(MO.DataSourceIndex,BDP(MO.Ticker.Bloomberg&amp;" EQUITY","BEST_CPS","BEST_FPERIOD_OVERRIDE="&amp;INDEX(tb_ConsensusEstimate,3,COLUMN())&amp;INDEX(tb_ConsensusEstimate,2,COLUMN()))*100,_xll.ciqfunctions.udf.CIQ(MO.Ticker.CapIQ,"IQ_CFPS_EST","IQ_"&amp;INDEX(tb_ConsensusEstimate,2,COLUMN())&amp;"+"&amp;INDEX(tb_ConsensusEstimate,3,COLUMN()))*100,FDS(MO.Ticker.FactSet,"FE_ESTIMATE(CFPS,MEAN,"&amp;INDEX(tb_ConsensusEstimate,2,COLUMN())&amp;",+"&amp;INDEX(tb_ConsensusEstimate,3,COLUMN())&amp;",NOW,,,'')")*100,_xll.TR(MO.Ticker.Thomson,"ZAV(TR.CFPSMean)","Period="&amp;INDEX(tb_ConsensusEstimate,2,COLUMN())&amp;INDEX(tb_ConsensusEstimate,3,COLUMN())))*100,"N/A")</f>
        <v>N/A</v>
      </c>
      <c r="S525" s="164"/>
      <c r="T525" s="164"/>
      <c r="U525" s="164"/>
      <c r="V525" s="164"/>
      <c r="W525" s="164"/>
      <c r="X525" s="164"/>
      <c r="Y525" s="164"/>
      <c r="Z525" s="164"/>
      <c r="AA525" s="705"/>
      <c r="AB525" s="705"/>
      <c r="AC525" s="705"/>
      <c r="AD525" s="705"/>
      <c r="AE525" s="164"/>
      <c r="AF525" s="164"/>
      <c r="AG525" s="164"/>
      <c r="AH525" s="164"/>
      <c r="AI525" s="164"/>
      <c r="AJ525" s="164"/>
      <c r="AK525" s="164"/>
      <c r="AL525" s="164"/>
      <c r="AM525" s="164"/>
      <c r="AN525" s="164" t="str">
        <f>IFERROR(CHOOSE(MO.DataSourceIndex,BDP(MO.Ticker.Bloomberg&amp;" EQUITY","BEST_CPS","BEST_FPERIOD_OVERRIDE="&amp;INDEX(tb_ConsensusEstimate,3,COLUMN())&amp;INDEX(tb_ConsensusEstimate,2,COLUMN()))*100,_xll.ciqfunctions.udf.CIQ(MO.Ticker.CapIQ,"IQ_CFPS_EST","IQ_"&amp;INDEX(tb_ConsensusEstimate,2,COLUMN())&amp;"+"&amp;INDEX(tb_ConsensusEstimate,3,COLUMN()))*100,FDS(MO.Ticker.FactSet,"FE_ESTIMATE(CFPS,MEAN,"&amp;INDEX(tb_ConsensusEstimate,2,COLUMN())&amp;",+"&amp;INDEX(tb_ConsensusEstimate,3,COLUMN())&amp;",NOW,,,'')")*100,_xll.TR(MO.Ticker.Thomson,"ZAV(TR.CFPSMean)","Period="&amp;INDEX(tb_ConsensusEstimate,2,COLUMN())&amp;INDEX(tb_ConsensusEstimate,3,COLUMN())))*100,"N/A")</f>
        <v>N/A</v>
      </c>
      <c r="AO525" s="164" t="str">
        <f>IFERROR(CHOOSE(MO.DataSourceIndex,BDP(MO.Ticker.Bloomberg&amp;" EQUITY","BEST_CPS","BEST_FPERIOD_OVERRIDE="&amp;INDEX(tb_ConsensusEstimate,3,COLUMN())&amp;INDEX(tb_ConsensusEstimate,2,COLUMN()))*100,_xll.ciqfunctions.udf.CIQ(MO.Ticker.CapIQ,"IQ_CFPS_EST","IQ_"&amp;INDEX(tb_ConsensusEstimate,2,COLUMN())&amp;"+"&amp;INDEX(tb_ConsensusEstimate,3,COLUMN()))*100,FDS(MO.Ticker.FactSet,"FE_ESTIMATE(CFPS,MEAN,"&amp;INDEX(tb_ConsensusEstimate,2,COLUMN())&amp;",+"&amp;INDEX(tb_ConsensusEstimate,3,COLUMN())&amp;",NOW,,,'')")*100,_xll.TR(MO.Ticker.Thomson,"ZAV(TR.CFPSMean)","Period="&amp;INDEX(tb_ConsensusEstimate,2,COLUMN())&amp;INDEX(tb_ConsensusEstimate,3,COLUMN())))*100,"N/A")</f>
        <v>N/A</v>
      </c>
      <c r="AP525" s="164" t="str">
        <f>IFERROR(CHOOSE(MO.DataSourceIndex,BDP(MO.Ticker.Bloomberg&amp;" EQUITY","BEST_CPS","BEST_FPERIOD_OVERRIDE="&amp;INDEX(tb_ConsensusEstimate,3,COLUMN())&amp;INDEX(tb_ConsensusEstimate,2,COLUMN()))*100,_xll.ciqfunctions.udf.CIQ(MO.Ticker.CapIQ,"IQ_CFPS_EST","IQ_"&amp;INDEX(tb_ConsensusEstimate,2,COLUMN())&amp;"+"&amp;INDEX(tb_ConsensusEstimate,3,COLUMN()))*100,FDS(MO.Ticker.FactSet,"FE_ESTIMATE(CFPS,MEAN,"&amp;INDEX(tb_ConsensusEstimate,2,COLUMN())&amp;",+"&amp;INDEX(tb_ConsensusEstimate,3,COLUMN())&amp;",NOW,,,'')")*100,_xll.TR(MO.Ticker.Thomson,"ZAV(TR.CFPSMean)","Period="&amp;INDEX(tb_ConsensusEstimate,2,COLUMN())&amp;INDEX(tb_ConsensusEstimate,3,COLUMN())))*100,"N/A")</f>
        <v>N/A</v>
      </c>
      <c r="AQ525" s="164" t="str">
        <f>IFERROR(CHOOSE(MO.DataSourceIndex,BDP(MO.Ticker.Bloomberg&amp;" EQUITY","BEST_CPS","BEST_FPERIOD_OVERRIDE="&amp;INDEX(tb_ConsensusEstimate,3,COLUMN())&amp;INDEX(tb_ConsensusEstimate,2,COLUMN()))*100,_xll.ciqfunctions.udf.CIQ(MO.Ticker.CapIQ,"IQ_CFPS_EST","IQ_"&amp;INDEX(tb_ConsensusEstimate,2,COLUMN())&amp;"+"&amp;INDEX(tb_ConsensusEstimate,3,COLUMN()))*100,FDS(MO.Ticker.FactSet,"FE_ESTIMATE(CFPS,MEAN,"&amp;INDEX(tb_ConsensusEstimate,2,COLUMN())&amp;",+"&amp;INDEX(tb_ConsensusEstimate,3,COLUMN())&amp;",NOW,,,'')")*100,_xll.TR(MO.Ticker.Thomson,"ZAV(TR.CFPSMean)","Period="&amp;INDEX(tb_ConsensusEstimate,2,COLUMN())&amp;INDEX(tb_ConsensusEstimate,3,COLUMN())))*100,"N/A")</f>
        <v>N/A</v>
      </c>
      <c r="AR525" s="704" t="str">
        <f>IFERROR(CHOOSE(MO.DataSourceIndex,BDP(MO.Ticker.Bloomberg&amp;" EQUITY","BEST_CPS","BEST_FPERIOD_OVERRIDE="&amp;INDEX(tb_ConsensusEstimate,3,COLUMN())&amp;INDEX(tb_ConsensusEstimate,2,COLUMN()))*100,_xll.ciqfunctions.udf.CIQ(MO.Ticker.CapIQ,"IQ_CFPS_EST","IQ_"&amp;INDEX(tb_ConsensusEstimate,2,COLUMN())&amp;"+"&amp;INDEX(tb_ConsensusEstimate,3,COLUMN()))*100,FDS(MO.Ticker.FactSet,"FE_ESTIMATE(CFPS,MEAN,"&amp;INDEX(tb_ConsensusEstimate,2,COLUMN())&amp;",+"&amp;INDEX(tb_ConsensusEstimate,3,COLUMN())&amp;",NOW,,,'')")*100,_xll.TR(MO.Ticker.Thomson,"ZAV(TR.CFPSMean)","Period="&amp;INDEX(tb_ConsensusEstimate,2,COLUMN())&amp;INDEX(tb_ConsensusEstimate,3,COLUMN())))*100,"N/A")</f>
        <v>N/A</v>
      </c>
      <c r="AS525" s="166"/>
    </row>
    <row r="526" spans="1:45" s="167" customFormat="1" x14ac:dyDescent="0.35">
      <c r="A526" s="692" t="str">
        <f>A229</f>
        <v>Consensus Estimates - Capex</v>
      </c>
      <c r="B526" s="164"/>
      <c r="C526" s="164"/>
      <c r="D526" s="164"/>
      <c r="E526" s="164"/>
      <c r="F526" s="164"/>
      <c r="G526" s="164"/>
      <c r="H526" s="164"/>
      <c r="I526" s="164"/>
      <c r="J526" s="164"/>
      <c r="K526" s="164"/>
      <c r="L526" s="164"/>
      <c r="M526" s="164"/>
      <c r="N526" s="164"/>
      <c r="O526" s="164"/>
      <c r="P526" s="164" t="str">
        <f>IFERROR(CHOOSE(MO.DataSourceIndex,BDP(MO.Ticker.Bloomberg&amp;" EQUITY","BEST_CAPEX","BEST_FPERIOD_OVERRIDE="&amp;INDEX(tb_ConsensusEstimate,3,COLUMN())&amp;INDEX(tb_ConsensusEstimate,2,COLUMN())),_xll.ciqfunctions.udf.CIQ(MO.Ticker.CapIQ,"IQ_CAPEX_EST","IQ_"&amp;INDEX(tb_ConsensusEstimate,2,COLUMN())&amp;"+"&amp;INDEX(tb_ConsensusEstimate,3,COLUMN())),-FDS(MO.Ticker.FactSet,"FE_ESTIMATE(CAPEX,MEAN,"&amp;INDEX(tb_ConsensusEstimate,2,COLUMN())&amp;",+"&amp;INDEX(tb_ConsensusEstimate,3,COLUMN())&amp;",NOW"&amp;",,,'CURRENCY="&amp;HP.ReportCurrency&amp;"')"),-_xll.TR(MO.Ticker.Thomson,"ZAV(TR.CAPEXMean(Scale=6))","Period="&amp;INDEX(tb_ConsensusEstimate,2,COLUMN())&amp;INDEX(tb_ConsensusEstimate,3,COLUMN()))),"N/A")</f>
        <v>N/A</v>
      </c>
      <c r="Q526" s="164" t="str">
        <f>IFERROR(CHOOSE(MO.DataSourceIndex,BDP(MO.Ticker.Bloomberg&amp;" EQUITY","BEST_CAPEX","BEST_FPERIOD_OVERRIDE="&amp;INDEX(tb_ConsensusEstimate,3,COLUMN())&amp;INDEX(tb_ConsensusEstimate,2,COLUMN())),_xll.ciqfunctions.udf.CIQ(MO.Ticker.CapIQ,"IQ_CAPEX_EST","IQ_"&amp;INDEX(tb_ConsensusEstimate,2,COLUMN())&amp;"+"&amp;INDEX(tb_ConsensusEstimate,3,COLUMN())),-FDS(MO.Ticker.FactSet,"FE_ESTIMATE(CAPEX,MEAN,"&amp;INDEX(tb_ConsensusEstimate,2,COLUMN())&amp;",+"&amp;INDEX(tb_ConsensusEstimate,3,COLUMN())&amp;",NOW"&amp;",,,'CURRENCY="&amp;HP.ReportCurrency&amp;"')"),-_xll.TR(MO.Ticker.Thomson,"ZAV(TR.CAPEXMean(Scale=6))","Period="&amp;INDEX(tb_ConsensusEstimate,2,COLUMN())&amp;INDEX(tb_ConsensusEstimate,3,COLUMN()))),"N/A")</f>
        <v>N/A</v>
      </c>
      <c r="R526" s="164" t="str">
        <f>IFERROR(CHOOSE(MO.DataSourceIndex,BDP(MO.Ticker.Bloomberg&amp;" EQUITY","BEST_CAPEX","BEST_FPERIOD_OVERRIDE="&amp;INDEX(tb_ConsensusEstimate,3,COLUMN())&amp;INDEX(tb_ConsensusEstimate,2,COLUMN())),_xll.ciqfunctions.udf.CIQ(MO.Ticker.CapIQ,"IQ_CAPEX_EST","IQ_"&amp;INDEX(tb_ConsensusEstimate,2,COLUMN())&amp;"+"&amp;INDEX(tb_ConsensusEstimate,3,COLUMN())),-FDS(MO.Ticker.FactSet,"FE_ESTIMATE(CAPEX,MEAN,"&amp;INDEX(tb_ConsensusEstimate,2,COLUMN())&amp;",+"&amp;INDEX(tb_ConsensusEstimate,3,COLUMN())&amp;",NOW"&amp;",,,'CURRENCY="&amp;HP.ReportCurrency&amp;"')"),-_xll.TR(MO.Ticker.Thomson,"ZAV(TR.CAPEXMean(Scale=6))","Period="&amp;INDEX(tb_ConsensusEstimate,2,COLUMN())&amp;INDEX(tb_ConsensusEstimate,3,COLUMN()))),"N/A")</f>
        <v>N/A</v>
      </c>
      <c r="S526" s="164"/>
      <c r="T526" s="164"/>
      <c r="U526" s="164"/>
      <c r="V526" s="164"/>
      <c r="W526" s="164"/>
      <c r="X526" s="164"/>
      <c r="Y526" s="164"/>
      <c r="Z526" s="164"/>
      <c r="AA526" s="682"/>
      <c r="AB526" s="682"/>
      <c r="AC526" s="682"/>
      <c r="AD526" s="682"/>
      <c r="AE526" s="164"/>
      <c r="AF526" s="164"/>
      <c r="AG526" s="164"/>
      <c r="AH526" s="164"/>
      <c r="AI526" s="164"/>
      <c r="AJ526" s="164"/>
      <c r="AK526" s="164"/>
      <c r="AL526" s="164"/>
      <c r="AM526" s="164"/>
      <c r="AN526" s="164" t="str">
        <f>IFERROR(CHOOSE(MO.DataSourceIndex,BDP(MO.Ticker.Bloomberg&amp;" EQUITY","BEST_CAPEX","BEST_FPERIOD_OVERRIDE="&amp;INDEX(tb_ConsensusEstimate,3,COLUMN())&amp;INDEX(tb_ConsensusEstimate,2,COLUMN())),_xll.ciqfunctions.udf.CIQ(MO.Ticker.CapIQ,"IQ_CAPEX_EST","IQ_"&amp;INDEX(tb_ConsensusEstimate,2,COLUMN())&amp;"+"&amp;INDEX(tb_ConsensusEstimate,3,COLUMN())),-FDS(MO.Ticker.FactSet,"FE_ESTIMATE(CAPEX,MEAN,"&amp;INDEX(tb_ConsensusEstimate,2,COLUMN())&amp;",+"&amp;INDEX(tb_ConsensusEstimate,3,COLUMN())&amp;",NOW"&amp;",,,'CURRENCY="&amp;HP.ReportCurrency&amp;"')"),-_xll.TR(MO.Ticker.Thomson,"ZAV(TR.CAPEXMean(Scale=6))","Period="&amp;INDEX(tb_ConsensusEstimate,2,COLUMN())&amp;INDEX(tb_ConsensusEstimate,3,COLUMN()))),"N/A")</f>
        <v>N/A</v>
      </c>
      <c r="AO526" s="164" t="str">
        <f>IFERROR(CHOOSE(MO.DataSourceIndex,BDP(MO.Ticker.Bloomberg&amp;" EQUITY","BEST_CAPEX","BEST_FPERIOD_OVERRIDE="&amp;INDEX(tb_ConsensusEstimate,3,COLUMN())&amp;INDEX(tb_ConsensusEstimate,2,COLUMN())),_xll.ciqfunctions.udf.CIQ(MO.Ticker.CapIQ,"IQ_CAPEX_EST","IQ_"&amp;INDEX(tb_ConsensusEstimate,2,COLUMN())&amp;"+"&amp;INDEX(tb_ConsensusEstimate,3,COLUMN())),-FDS(MO.Ticker.FactSet,"FE_ESTIMATE(CAPEX,MEAN,"&amp;INDEX(tb_ConsensusEstimate,2,COLUMN())&amp;",+"&amp;INDEX(tb_ConsensusEstimate,3,COLUMN())&amp;",NOW"&amp;",,,'CURRENCY="&amp;HP.ReportCurrency&amp;"')"),-_xll.TR(MO.Ticker.Thomson,"ZAV(TR.CAPEXMean(Scale=6))","Period="&amp;INDEX(tb_ConsensusEstimate,2,COLUMN())&amp;INDEX(tb_ConsensusEstimate,3,COLUMN()))),"N/A")</f>
        <v>N/A</v>
      </c>
      <c r="AP526" s="164" t="str">
        <f>IFERROR(CHOOSE(MO.DataSourceIndex,BDP(MO.Ticker.Bloomberg&amp;" EQUITY","BEST_CAPEX","BEST_FPERIOD_OVERRIDE="&amp;INDEX(tb_ConsensusEstimate,3,COLUMN())&amp;INDEX(tb_ConsensusEstimate,2,COLUMN())),_xll.ciqfunctions.udf.CIQ(MO.Ticker.CapIQ,"IQ_CAPEX_EST","IQ_"&amp;INDEX(tb_ConsensusEstimate,2,COLUMN())&amp;"+"&amp;INDEX(tb_ConsensusEstimate,3,COLUMN())),-FDS(MO.Ticker.FactSet,"FE_ESTIMATE(CAPEX,MEAN,"&amp;INDEX(tb_ConsensusEstimate,2,COLUMN())&amp;",+"&amp;INDEX(tb_ConsensusEstimate,3,COLUMN())&amp;",NOW"&amp;",,,'CURRENCY="&amp;HP.ReportCurrency&amp;"')"),-_xll.TR(MO.Ticker.Thomson,"ZAV(TR.CAPEXMean(Scale=6))","Period="&amp;INDEX(tb_ConsensusEstimate,2,COLUMN())&amp;INDEX(tb_ConsensusEstimate,3,COLUMN()))),"N/A")</f>
        <v>N/A</v>
      </c>
      <c r="AQ526" s="164" t="str">
        <f>IFERROR(CHOOSE(MO.DataSourceIndex,BDP(MO.Ticker.Bloomberg&amp;" EQUITY","BEST_CAPEX","BEST_FPERIOD_OVERRIDE="&amp;INDEX(tb_ConsensusEstimate,3,COLUMN())&amp;INDEX(tb_ConsensusEstimate,2,COLUMN())),_xll.ciqfunctions.udf.CIQ(MO.Ticker.CapIQ,"IQ_CAPEX_EST","IQ_"&amp;INDEX(tb_ConsensusEstimate,2,COLUMN())&amp;"+"&amp;INDEX(tb_ConsensusEstimate,3,COLUMN())),-FDS(MO.Ticker.FactSet,"FE_ESTIMATE(CAPEX,MEAN,"&amp;INDEX(tb_ConsensusEstimate,2,COLUMN())&amp;",+"&amp;INDEX(tb_ConsensusEstimate,3,COLUMN())&amp;",NOW"&amp;",,,'CURRENCY="&amp;HP.ReportCurrency&amp;"')"),-_xll.TR(MO.Ticker.Thomson,"ZAV(TR.CAPEXMean(Scale=6))","Period="&amp;INDEX(tb_ConsensusEstimate,2,COLUMN())&amp;INDEX(tb_ConsensusEstimate,3,COLUMN()))),"N/A")</f>
        <v>N/A</v>
      </c>
      <c r="AR526" s="704" t="str">
        <f>IFERROR(CHOOSE(MO.DataSourceIndex,BDP(MO.Ticker.Bloomberg&amp;" EQUITY","BEST_CAPEX","BEST_FPERIOD_OVERRIDE="&amp;INDEX(tb_ConsensusEstimate,3,COLUMN())&amp;INDEX(tb_ConsensusEstimate,2,COLUMN())),_xll.ciqfunctions.udf.CIQ(MO.Ticker.CapIQ,"IQ_CAPEX_EST","IQ_"&amp;INDEX(tb_ConsensusEstimate,2,COLUMN())&amp;"+"&amp;INDEX(tb_ConsensusEstimate,3,COLUMN())),-FDS(MO.Ticker.FactSet,"FE_ESTIMATE(CAPEX,MEAN,"&amp;INDEX(tb_ConsensusEstimate,2,COLUMN())&amp;",+"&amp;INDEX(tb_ConsensusEstimate,3,COLUMN())&amp;",NOW"&amp;",,,'CURRENCY="&amp;HP.ReportCurrency&amp;"')"),-_xll.TR(MO.Ticker.Thomson,"ZAV(TR.CAPEXMean(Scale=6))","Period="&amp;INDEX(tb_ConsensusEstimate,2,COLUMN())&amp;INDEX(tb_ConsensusEstimate,3,COLUMN()))),"N/A")</f>
        <v>N/A</v>
      </c>
      <c r="AS526" s="166"/>
    </row>
    <row r="527" spans="1:45" s="167" customFormat="1" x14ac:dyDescent="0.35">
      <c r="A527" s="694"/>
      <c r="B527" s="362"/>
      <c r="C527" s="362"/>
      <c r="D527" s="362"/>
      <c r="E527" s="362"/>
      <c r="F527" s="362"/>
      <c r="G527" s="362"/>
      <c r="H527" s="362"/>
      <c r="I527" s="362"/>
      <c r="J527" s="362"/>
      <c r="K527" s="362"/>
      <c r="L527" s="362"/>
      <c r="M527" s="362"/>
      <c r="N527" s="362"/>
      <c r="O527" s="362"/>
      <c r="P527" s="362"/>
      <c r="Q527" s="362"/>
      <c r="R527" s="362"/>
      <c r="S527" s="362"/>
      <c r="T527" s="362"/>
      <c r="U527" s="362"/>
      <c r="V527" s="362"/>
      <c r="W527" s="362"/>
      <c r="X527" s="362"/>
      <c r="Y527" s="362"/>
      <c r="Z527" s="706"/>
      <c r="AA527" s="706"/>
      <c r="AB527" s="362"/>
      <c r="AC527" s="362"/>
      <c r="AD527" s="362"/>
      <c r="AE527" s="362"/>
      <c r="AF527" s="362"/>
      <c r="AG527" s="362"/>
      <c r="AH527" s="362"/>
      <c r="AI527" s="362"/>
      <c r="AJ527" s="362"/>
      <c r="AK527" s="362"/>
      <c r="AL527" s="362"/>
      <c r="AM527" s="362"/>
      <c r="AN527" s="362"/>
      <c r="AO527" s="362"/>
      <c r="AP527" s="362"/>
      <c r="AQ527" s="362"/>
      <c r="AR527" s="707"/>
      <c r="AS527" s="166"/>
    </row>
    <row r="528" spans="1:45" s="167" customFormat="1" x14ac:dyDescent="0.35">
      <c r="A528" s="681"/>
      <c r="B528" s="164"/>
      <c r="C528" s="164"/>
      <c r="D528" s="164"/>
      <c r="E528" s="164"/>
      <c r="F528" s="164"/>
      <c r="G528" s="164"/>
      <c r="H528" s="164"/>
      <c r="I528" s="164"/>
      <c r="J528" s="164"/>
      <c r="K528" s="164"/>
      <c r="L528" s="164"/>
      <c r="M528" s="164"/>
      <c r="N528" s="164"/>
      <c r="O528" s="164"/>
      <c r="P528" s="164"/>
      <c r="Q528" s="164"/>
      <c r="R528" s="164"/>
      <c r="S528" s="164"/>
      <c r="T528" s="164"/>
      <c r="U528" s="164"/>
      <c r="V528" s="164"/>
      <c r="W528" s="164"/>
      <c r="X528" s="164"/>
      <c r="Y528" s="164"/>
      <c r="Z528" s="682"/>
      <c r="AA528" s="682"/>
      <c r="AB528" s="164"/>
      <c r="AC528" s="164"/>
      <c r="AD528" s="164"/>
      <c r="AE528" s="164"/>
      <c r="AF528" s="164"/>
      <c r="AG528" s="164"/>
      <c r="AH528" s="164"/>
      <c r="AI528" s="164"/>
      <c r="AJ528" s="164"/>
      <c r="AK528" s="164"/>
      <c r="AL528" s="164"/>
      <c r="AM528" s="164"/>
      <c r="AN528" s="164"/>
      <c r="AO528" s="164"/>
      <c r="AP528" s="164"/>
      <c r="AQ528" s="164"/>
      <c r="AR528" s="164"/>
      <c r="AS528" s="166"/>
    </row>
    <row r="529" spans="1:45" s="167" customFormat="1" x14ac:dyDescent="0.35">
      <c r="A529" s="708" t="s">
        <v>978</v>
      </c>
      <c r="B529" s="709"/>
      <c r="C529" s="709"/>
      <c r="D529" s="709"/>
      <c r="E529" s="709"/>
      <c r="F529" s="709"/>
      <c r="G529" s="709"/>
      <c r="H529" s="709"/>
      <c r="I529" s="709"/>
      <c r="J529" s="709"/>
      <c r="K529" s="709"/>
      <c r="L529" s="709"/>
      <c r="M529" s="709"/>
      <c r="N529" s="709"/>
      <c r="O529" s="709"/>
      <c r="P529" s="709"/>
      <c r="Q529" s="709"/>
      <c r="R529" s="709"/>
      <c r="S529" s="709"/>
      <c r="T529" s="709"/>
      <c r="U529" s="709"/>
      <c r="V529" s="709"/>
      <c r="W529" s="709"/>
      <c r="X529" s="709"/>
      <c r="Y529" s="709"/>
      <c r="Z529" s="710"/>
      <c r="AA529" s="710"/>
      <c r="AB529" s="709"/>
      <c r="AC529" s="709"/>
      <c r="AD529" s="709"/>
      <c r="AE529" s="709"/>
      <c r="AF529" s="709"/>
      <c r="AG529" s="709"/>
      <c r="AH529" s="709"/>
      <c r="AI529" s="709"/>
      <c r="AJ529" s="709"/>
      <c r="AK529" s="709"/>
      <c r="AL529" s="709"/>
      <c r="AM529" s="709"/>
      <c r="AN529" s="709"/>
      <c r="AO529" s="709"/>
      <c r="AP529" s="709"/>
      <c r="AQ529" s="709"/>
      <c r="AR529" s="711"/>
      <c r="AS529" s="166"/>
    </row>
    <row r="530" spans="1:45" s="167" customFormat="1" x14ac:dyDescent="0.35">
      <c r="A530" s="712" t="s">
        <v>979</v>
      </c>
      <c r="B530" s="164"/>
      <c r="C530" s="713">
        <f t="shared" ref="C530:R530" si="404">INDEX(MO_Common_QEndDate,0,COLUMN())-INDEX(MO_Common_FPDays,0,COLUMN())+1</f>
        <v>42583</v>
      </c>
      <c r="D530" s="713">
        <f t="shared" si="404"/>
        <v>42767</v>
      </c>
      <c r="E530" s="713">
        <f t="shared" si="404"/>
        <v>42948</v>
      </c>
      <c r="F530" s="713">
        <f t="shared" si="404"/>
        <v>43132</v>
      </c>
      <c r="G530" s="713">
        <f t="shared" si="404"/>
        <v>43313</v>
      </c>
      <c r="H530" s="713">
        <f t="shared" si="404"/>
        <v>43497</v>
      </c>
      <c r="I530" s="713">
        <f t="shared" si="404"/>
        <v>43678</v>
      </c>
      <c r="J530" s="713">
        <f t="shared" si="404"/>
        <v>43862</v>
      </c>
      <c r="K530" s="713">
        <f t="shared" si="404"/>
        <v>44044</v>
      </c>
      <c r="L530" s="713">
        <f t="shared" si="404"/>
        <v>44228</v>
      </c>
      <c r="M530" s="713">
        <f t="shared" si="404"/>
        <v>44409</v>
      </c>
      <c r="N530" s="713">
        <f t="shared" si="404"/>
        <v>44593</v>
      </c>
      <c r="O530" s="713">
        <f t="shared" si="404"/>
        <v>44774</v>
      </c>
      <c r="P530" s="714">
        <f t="shared" si="404"/>
        <v>44958</v>
      </c>
      <c r="Q530" s="714">
        <f t="shared" si="404"/>
        <v>45139</v>
      </c>
      <c r="R530" s="714">
        <f t="shared" si="404"/>
        <v>45323</v>
      </c>
      <c r="S530" s="714"/>
      <c r="T530" s="714"/>
      <c r="U530" s="714"/>
      <c r="V530" s="714"/>
      <c r="W530" s="714"/>
      <c r="X530" s="714"/>
      <c r="Y530" s="714"/>
      <c r="Z530" s="715">
        <f t="shared" ref="Z530:AR530" si="405">INDEX(MO_Common_QEndDate,0,COLUMN())-INDEX(MO_Common_FPDays,0,COLUMN())+1</f>
        <v>39661</v>
      </c>
      <c r="AA530" s="715">
        <f t="shared" si="405"/>
        <v>40026</v>
      </c>
      <c r="AB530" s="713">
        <f t="shared" si="405"/>
        <v>40391</v>
      </c>
      <c r="AC530" s="713">
        <f t="shared" si="405"/>
        <v>40756</v>
      </c>
      <c r="AD530" s="713">
        <f t="shared" si="405"/>
        <v>41122</v>
      </c>
      <c r="AE530" s="713">
        <f t="shared" si="405"/>
        <v>41487</v>
      </c>
      <c r="AF530" s="713">
        <f t="shared" si="405"/>
        <v>41852</v>
      </c>
      <c r="AG530" s="713">
        <f t="shared" si="405"/>
        <v>42217</v>
      </c>
      <c r="AH530" s="713">
        <f t="shared" si="405"/>
        <v>42583</v>
      </c>
      <c r="AI530" s="713">
        <f t="shared" si="405"/>
        <v>42948</v>
      </c>
      <c r="AJ530" s="713">
        <f t="shared" si="405"/>
        <v>43313</v>
      </c>
      <c r="AK530" s="713">
        <f t="shared" si="405"/>
        <v>43678</v>
      </c>
      <c r="AL530" s="713">
        <f t="shared" si="405"/>
        <v>44044</v>
      </c>
      <c r="AM530" s="713">
        <f t="shared" si="405"/>
        <v>44409</v>
      </c>
      <c r="AN530" s="713">
        <f t="shared" si="405"/>
        <v>44774</v>
      </c>
      <c r="AO530" s="714">
        <f t="shared" si="405"/>
        <v>45139</v>
      </c>
      <c r="AP530" s="714">
        <f t="shared" si="405"/>
        <v>45505</v>
      </c>
      <c r="AQ530" s="714">
        <f t="shared" si="405"/>
        <v>45870</v>
      </c>
      <c r="AR530" s="716">
        <f t="shared" si="405"/>
        <v>46235</v>
      </c>
      <c r="AS530" s="166"/>
    </row>
    <row r="531" spans="1:45" s="167" customFormat="1" x14ac:dyDescent="0.35">
      <c r="A531" s="712" t="s">
        <v>980</v>
      </c>
      <c r="B531" s="164"/>
      <c r="C531" s="713" t="b">
        <f>TRUE</f>
        <v>1</v>
      </c>
      <c r="D531" s="713" t="b">
        <f>TRUE</f>
        <v>1</v>
      </c>
      <c r="E531" s="713" t="b">
        <f>TRUE</f>
        <v>1</v>
      </c>
      <c r="F531" s="713" t="b">
        <f>TRUE</f>
        <v>1</v>
      </c>
      <c r="G531" s="713" t="b">
        <f>TRUE</f>
        <v>1</v>
      </c>
      <c r="H531" s="713" t="b">
        <f>TRUE</f>
        <v>1</v>
      </c>
      <c r="I531" s="713" t="b">
        <f>TRUE</f>
        <v>1</v>
      </c>
      <c r="J531" s="713" t="b">
        <f>TRUE</f>
        <v>1</v>
      </c>
      <c r="K531" s="713" t="b">
        <f>TRUE</f>
        <v>1</v>
      </c>
      <c r="L531" s="713" t="b">
        <f>TRUE</f>
        <v>1</v>
      </c>
      <c r="M531" s="713" t="b">
        <f>TRUE</f>
        <v>1</v>
      </c>
      <c r="N531" s="713" t="b">
        <f>TRUE</f>
        <v>1</v>
      </c>
      <c r="O531" s="713" t="b">
        <f>TRUE</f>
        <v>1</v>
      </c>
      <c r="P531" s="714" t="b">
        <f>FALSE</f>
        <v>0</v>
      </c>
      <c r="Q531" s="714" t="b">
        <f>FALSE</f>
        <v>0</v>
      </c>
      <c r="R531" s="714" t="b">
        <f>FALSE</f>
        <v>0</v>
      </c>
      <c r="S531" s="714"/>
      <c r="T531" s="714"/>
      <c r="U531" s="714"/>
      <c r="V531" s="714"/>
      <c r="W531" s="714"/>
      <c r="X531" s="714"/>
      <c r="Y531" s="714"/>
      <c r="Z531" s="715" t="b">
        <f>TRUE</f>
        <v>1</v>
      </c>
      <c r="AA531" s="715" t="b">
        <f>TRUE</f>
        <v>1</v>
      </c>
      <c r="AB531" s="713" t="b">
        <f>TRUE</f>
        <v>1</v>
      </c>
      <c r="AC531" s="713" t="b">
        <f>TRUE</f>
        <v>1</v>
      </c>
      <c r="AD531" s="713" t="b">
        <f>TRUE</f>
        <v>1</v>
      </c>
      <c r="AE531" s="713" t="b">
        <f>TRUE</f>
        <v>1</v>
      </c>
      <c r="AF531" s="713" t="b">
        <f>TRUE</f>
        <v>1</v>
      </c>
      <c r="AG531" s="713" t="b">
        <f>TRUE</f>
        <v>1</v>
      </c>
      <c r="AH531" s="713" t="b">
        <f>TRUE</f>
        <v>1</v>
      </c>
      <c r="AI531" s="713" t="b">
        <f>TRUE</f>
        <v>1</v>
      </c>
      <c r="AJ531" s="713" t="b">
        <f>TRUE</f>
        <v>1</v>
      </c>
      <c r="AK531" s="713" t="b">
        <f>TRUE</f>
        <v>1</v>
      </c>
      <c r="AL531" s="713" t="b">
        <f>TRUE</f>
        <v>1</v>
      </c>
      <c r="AM531" s="713" t="b">
        <f>TRUE</f>
        <v>1</v>
      </c>
      <c r="AN531" s="713" t="b">
        <f>FALSE</f>
        <v>0</v>
      </c>
      <c r="AO531" s="714" t="b">
        <f>FALSE</f>
        <v>0</v>
      </c>
      <c r="AP531" s="714" t="b">
        <f>FALSE</f>
        <v>0</v>
      </c>
      <c r="AQ531" s="714" t="b">
        <f>FALSE</f>
        <v>0</v>
      </c>
      <c r="AR531" s="716" t="b">
        <f>FALSE</f>
        <v>0</v>
      </c>
      <c r="AS531" s="166"/>
    </row>
    <row r="532" spans="1:45" s="722" customFormat="1" x14ac:dyDescent="0.35">
      <c r="A532" s="717" t="e">
        <f>"Stock High: "&amp;IF(OR(MO.RealTimeStockPriceToggle=FALSE,VLOOKUP(MO.DataSourceName,MO_SPT_StockHigh_Sources,COLUMN()+2,FALSE)="N/A"),"Real-Time Off Source",MO.DataSourceName)</f>
        <v>#REF!</v>
      </c>
      <c r="B532" s="718"/>
      <c r="C532" s="719" t="e">
        <f t="shared" ref="C532:R532" si="406">IF(OR(MO.RealTimeStockPriceToggle=FALSE,VLOOKUP(MO.DataSourceName,MO_SPT_StockHigh_Sources,COLUMN(),FALSE)="N/A"),VLOOKUP("Real-Time Off Source",MO_SPT_StockHigh_Sources,COLUMN(),FALSE),VLOOKUP(MO.DataSourceName,MO_SPT_StockHigh_Sources,COLUMN(),FALSE))</f>
        <v>#REF!</v>
      </c>
      <c r="D532" s="719" t="e">
        <f t="shared" si="406"/>
        <v>#REF!</v>
      </c>
      <c r="E532" s="719" t="e">
        <f t="shared" si="406"/>
        <v>#REF!</v>
      </c>
      <c r="F532" s="719" t="e">
        <f t="shared" si="406"/>
        <v>#REF!</v>
      </c>
      <c r="G532" s="719" t="e">
        <f t="shared" si="406"/>
        <v>#REF!</v>
      </c>
      <c r="H532" s="719" t="e">
        <f t="shared" si="406"/>
        <v>#REF!</v>
      </c>
      <c r="I532" s="719" t="e">
        <f t="shared" si="406"/>
        <v>#REF!</v>
      </c>
      <c r="J532" s="719" t="e">
        <f t="shared" si="406"/>
        <v>#REF!</v>
      </c>
      <c r="K532" s="719" t="e">
        <f t="shared" si="406"/>
        <v>#REF!</v>
      </c>
      <c r="L532" s="719" t="e">
        <f t="shared" si="406"/>
        <v>#REF!</v>
      </c>
      <c r="M532" s="719" t="e">
        <f t="shared" si="406"/>
        <v>#REF!</v>
      </c>
      <c r="N532" s="719" t="e">
        <f t="shared" si="406"/>
        <v>#REF!</v>
      </c>
      <c r="O532" s="719" t="e">
        <f t="shared" si="406"/>
        <v>#REF!</v>
      </c>
      <c r="P532" s="718" t="e">
        <f t="shared" si="406"/>
        <v>#REF!</v>
      </c>
      <c r="Q532" s="718" t="e">
        <f t="shared" si="406"/>
        <v>#REF!</v>
      </c>
      <c r="R532" s="718" t="e">
        <f t="shared" si="406"/>
        <v>#REF!</v>
      </c>
      <c r="S532" s="718"/>
      <c r="T532" s="718"/>
      <c r="U532" s="718"/>
      <c r="V532" s="718"/>
      <c r="W532" s="718"/>
      <c r="X532" s="718"/>
      <c r="Y532" s="718"/>
      <c r="Z532" s="720" t="e">
        <f t="shared" ref="Z532:AR532" si="407">IF(OR(MO.RealTimeStockPriceToggle=FALSE,VLOOKUP(MO.DataSourceName,MO_SPT_StockHigh_Sources,COLUMN(),FALSE)="N/A"),VLOOKUP("Real-Time Off Source",MO_SPT_StockHigh_Sources,COLUMN(),FALSE),VLOOKUP(MO.DataSourceName,MO_SPT_StockHigh_Sources,COLUMN(),FALSE))</f>
        <v>#REF!</v>
      </c>
      <c r="AA532" s="720" t="e">
        <f t="shared" si="407"/>
        <v>#REF!</v>
      </c>
      <c r="AB532" s="719" t="e">
        <f t="shared" si="407"/>
        <v>#REF!</v>
      </c>
      <c r="AC532" s="719" t="e">
        <f t="shared" si="407"/>
        <v>#REF!</v>
      </c>
      <c r="AD532" s="719" t="e">
        <f t="shared" si="407"/>
        <v>#REF!</v>
      </c>
      <c r="AE532" s="719" t="e">
        <f t="shared" si="407"/>
        <v>#REF!</v>
      </c>
      <c r="AF532" s="719" t="e">
        <f t="shared" si="407"/>
        <v>#REF!</v>
      </c>
      <c r="AG532" s="719" t="e">
        <f t="shared" si="407"/>
        <v>#REF!</v>
      </c>
      <c r="AH532" s="719" t="e">
        <f t="shared" si="407"/>
        <v>#REF!</v>
      </c>
      <c r="AI532" s="719" t="e">
        <f t="shared" si="407"/>
        <v>#REF!</v>
      </c>
      <c r="AJ532" s="719" t="e">
        <f t="shared" si="407"/>
        <v>#REF!</v>
      </c>
      <c r="AK532" s="719" t="e">
        <f t="shared" si="407"/>
        <v>#REF!</v>
      </c>
      <c r="AL532" s="719" t="e">
        <f t="shared" si="407"/>
        <v>#REF!</v>
      </c>
      <c r="AM532" s="719" t="e">
        <f t="shared" si="407"/>
        <v>#REF!</v>
      </c>
      <c r="AN532" s="719" t="e">
        <f t="shared" si="407"/>
        <v>#REF!</v>
      </c>
      <c r="AO532" s="718" t="e">
        <f t="shared" si="407"/>
        <v>#REF!</v>
      </c>
      <c r="AP532" s="718" t="e">
        <f t="shared" si="407"/>
        <v>#REF!</v>
      </c>
      <c r="AQ532" s="718" t="e">
        <f t="shared" si="407"/>
        <v>#REF!</v>
      </c>
      <c r="AR532" s="721" t="e">
        <f t="shared" si="407"/>
        <v>#REF!</v>
      </c>
      <c r="AS532" s="719"/>
    </row>
    <row r="533" spans="1:45" s="722" customFormat="1" hidden="1" outlineLevel="1" x14ac:dyDescent="0.35">
      <c r="A533" s="723" t="s">
        <v>981</v>
      </c>
      <c r="B533" s="718"/>
      <c r="C533" s="724">
        <v>0</v>
      </c>
      <c r="D533" s="724">
        <v>0</v>
      </c>
      <c r="E533" s="724">
        <v>0</v>
      </c>
      <c r="F533" s="724">
        <v>0</v>
      </c>
      <c r="G533" s="724">
        <v>0</v>
      </c>
      <c r="H533" s="724">
        <v>0</v>
      </c>
      <c r="I533" s="724">
        <v>0</v>
      </c>
      <c r="J533" s="724">
        <v>0</v>
      </c>
      <c r="K533" s="724">
        <v>0</v>
      </c>
      <c r="L533" s="718"/>
      <c r="M533" s="718"/>
      <c r="N533" s="718"/>
      <c r="O533" s="718"/>
      <c r="P533" s="718"/>
      <c r="Q533" s="718"/>
      <c r="R533" s="718"/>
      <c r="S533" s="718"/>
      <c r="T533" s="718"/>
      <c r="U533" s="718"/>
      <c r="V533" s="718"/>
      <c r="W533" s="718"/>
      <c r="X533" s="718"/>
      <c r="Y533" s="718"/>
      <c r="Z533" s="725">
        <v>0</v>
      </c>
      <c r="AA533" s="725">
        <v>0</v>
      </c>
      <c r="AB533" s="724">
        <v>0</v>
      </c>
      <c r="AC533" s="724">
        <v>0</v>
      </c>
      <c r="AD533" s="724">
        <v>0</v>
      </c>
      <c r="AE533" s="724">
        <v>0</v>
      </c>
      <c r="AF533" s="724">
        <v>0</v>
      </c>
      <c r="AG533" s="724">
        <v>0</v>
      </c>
      <c r="AH533" s="724">
        <v>0</v>
      </c>
      <c r="AI533" s="724">
        <v>0</v>
      </c>
      <c r="AJ533" s="724">
        <v>0</v>
      </c>
      <c r="AK533" s="724">
        <v>0</v>
      </c>
      <c r="AL533" s="718"/>
      <c r="AM533" s="718"/>
      <c r="AN533" s="718"/>
      <c r="AO533" s="718"/>
      <c r="AP533" s="718"/>
      <c r="AQ533" s="718"/>
      <c r="AR533" s="721"/>
      <c r="AS533" s="719"/>
    </row>
    <row r="534" spans="1:45" s="722" customFormat="1" hidden="1" outlineLevel="1" x14ac:dyDescent="0.35">
      <c r="A534" s="723" t="s">
        <v>982</v>
      </c>
      <c r="B534" s="718"/>
      <c r="C534" s="719" t="str">
        <f ca="1">IFERROR(BDP(MO.Ticker.Bloomberg&amp;" Equity","INTERVAL_HIGH","MARKET_DATA_OVERRIDE=PX_LAST","START_DATE_OVERRIDE",TEXT(INDEX(MO_SNA_FPStartDate,0,COLUMN()),"YYYYMMDD"),"END_DATE_OVERRIDE",TEXT(INDEX(MO_Common_QEndDate,0,COLUMN()),"YYYYMMDD")),"N/A")</f>
        <v>N/A</v>
      </c>
      <c r="D534" s="719" t="str">
        <f ca="1">IFERROR(BDP(MO.Ticker.Bloomberg&amp;" Equity","INTERVAL_HIGH","MARKET_DATA_OVERRIDE=PX_LAST","START_DATE_OVERRIDE",TEXT(INDEX(MO_SNA_FPStartDate,0,COLUMN()),"YYYYMMDD"),"END_DATE_OVERRIDE",TEXT(INDEX(MO_Common_QEndDate,0,COLUMN()),"YYYYMMDD")),"N/A")</f>
        <v>N/A</v>
      </c>
      <c r="E534" s="719" t="str">
        <f ca="1">IFERROR(BDP(MO.Ticker.Bloomberg&amp;" Equity","INTERVAL_HIGH","MARKET_DATA_OVERRIDE=PX_LAST","START_DATE_OVERRIDE",TEXT(INDEX(MO_SNA_FPStartDate,0,COLUMN()),"YYYYMMDD"),"END_DATE_OVERRIDE",TEXT(INDEX(MO_Common_QEndDate,0,COLUMN()),"YYYYMMDD")),"N/A")</f>
        <v>N/A</v>
      </c>
      <c r="F534" s="719" t="str">
        <f ca="1">IFERROR(BDP(MO.Ticker.Bloomberg&amp;" Equity","INTERVAL_HIGH","MARKET_DATA_OVERRIDE=PX_LAST","START_DATE_OVERRIDE",TEXT(INDEX(MO_SNA_FPStartDate,0,COLUMN()),"YYYYMMDD"),"END_DATE_OVERRIDE",TEXT(INDEX(MO_Common_QEndDate,0,COLUMN()),"YYYYMMDD")),"N/A")</f>
        <v>N/A</v>
      </c>
      <c r="G534" s="719" t="str">
        <f ca="1">IFERROR(BDP(MO.Ticker.Bloomberg&amp;" Equity","INTERVAL_HIGH","MARKET_DATA_OVERRIDE=PX_LAST","START_DATE_OVERRIDE",TEXT(INDEX(MO_SNA_FPStartDate,0,COLUMN()),"YYYYMMDD"),"END_DATE_OVERRIDE",TEXT(INDEX(MO_Common_QEndDate,0,COLUMN()),"YYYYMMDD")),"N/A")</f>
        <v>N/A</v>
      </c>
      <c r="H534" s="719" t="str">
        <f ca="1">IFERROR(BDP(MO.Ticker.Bloomberg&amp;" Equity","INTERVAL_HIGH","MARKET_DATA_OVERRIDE=PX_LAST","START_DATE_OVERRIDE",TEXT(INDEX(MO_SNA_FPStartDate,0,COLUMN()),"YYYYMMDD"),"END_DATE_OVERRIDE",TEXT(INDEX(MO_Common_QEndDate,0,COLUMN()),"YYYYMMDD")),"N/A")</f>
        <v>N/A</v>
      </c>
      <c r="I534" s="719" t="str">
        <f ca="1">IFERROR(BDP(MO.Ticker.Bloomberg&amp;" Equity","INTERVAL_HIGH","MARKET_DATA_OVERRIDE=PX_LAST","START_DATE_OVERRIDE",TEXT(INDEX(MO_SNA_FPStartDate,0,COLUMN()),"YYYYMMDD"),"END_DATE_OVERRIDE",TEXT(INDEX(MO_Common_QEndDate,0,COLUMN()),"YYYYMMDD")),"N/A")</f>
        <v>N/A</v>
      </c>
      <c r="J534" s="719" t="str">
        <f ca="1">IFERROR(BDP(MO.Ticker.Bloomberg&amp;" Equity","INTERVAL_HIGH","MARKET_DATA_OVERRIDE=PX_LAST","START_DATE_OVERRIDE",TEXT(INDEX(MO_SNA_FPStartDate,0,COLUMN()),"YYYYMMDD"),"END_DATE_OVERRIDE",TEXT(INDEX(MO_Common_QEndDate,0,COLUMN()),"YYYYMMDD")),"N/A")</f>
        <v>N/A</v>
      </c>
      <c r="K534" s="719" t="str">
        <f ca="1">IFERROR(BDP(MO.Ticker.Bloomberg&amp;" Equity","INTERVAL_HIGH","MARKET_DATA_OVERRIDE=PX_LAST","START_DATE_OVERRIDE",TEXT(INDEX(MO_SNA_FPStartDate,0,COLUMN()),"YYYYMMDD"),"END_DATE_OVERRIDE",TEXT(INDEX(MO_Common_QEndDate,0,COLUMN()),"YYYYMMDD")),"N/A")</f>
        <v>N/A</v>
      </c>
      <c r="L534" s="719" t="str">
        <f ca="1">IFERROR(BDP(MO.Ticker.Bloomberg&amp;" Equity","INTERVAL_HIGH","MARKET_DATA_OVERRIDE=PX_LAST","START_DATE_OVERRIDE",TEXT(INDEX(MO_SNA_FPStartDate,0,COLUMN()),"YYYYMMDD"),"END_DATE_OVERRIDE",TEXT(INDEX(MO_Common_QEndDate,0,COLUMN()),"YYYYMMDD")),"N/A")</f>
        <v>N/A</v>
      </c>
      <c r="M534" s="719" t="str">
        <f ca="1">IFERROR(BDP(MO.Ticker.Bloomberg&amp;" Equity","INTERVAL_HIGH","MARKET_DATA_OVERRIDE=PX_LAST","START_DATE_OVERRIDE",TEXT(INDEX(MO_SNA_FPStartDate,0,COLUMN()),"YYYYMMDD"),"END_DATE_OVERRIDE",TEXT(INDEX(MO_Common_QEndDate,0,COLUMN()),"YYYYMMDD")),"N/A")</f>
        <v>N/A</v>
      </c>
      <c r="N534" s="719" t="str">
        <f ca="1">IFERROR(BDP(MO.Ticker.Bloomberg&amp;" Equity","INTERVAL_HIGH","MARKET_DATA_OVERRIDE=PX_LAST","START_DATE_OVERRIDE",TEXT(INDEX(MO_SNA_FPStartDate,0,COLUMN()),"YYYYMMDD"),"END_DATE_OVERRIDE",TEXT(INDEX(MO_Common_QEndDate,0,COLUMN()),"YYYYMMDD")),"N/A")</f>
        <v>N/A</v>
      </c>
      <c r="O534" s="719" t="str">
        <f ca="1">IFERROR(BDP(MO.Ticker.Bloomberg&amp;" Equity","INTERVAL_HIGH","MARKET_DATA_OVERRIDE=PX_LAST","START_DATE_OVERRIDE",TEXT(INDEX(MO_SNA_FPStartDate,0,COLUMN()),"YYYYMMDD"),"END_DATE_OVERRIDE",TEXT(INDEX(MO_Common_QEndDate,0,COLUMN()),"YYYYMMDD")),"N/A")</f>
        <v>N/A</v>
      </c>
      <c r="P534" s="718" t="str">
        <f ca="1">IFERROR(BDP(MO.Ticker.Bloomberg&amp;" Equity","INTERVAL_HIGH","MARKET_DATA_OVERRIDE=PX_LAST","START_DATE_OVERRIDE",TEXT(INDEX(MO_SNA_FPStartDate,0,COLUMN()),"YYYYMMDD"),"END_DATE_OVERRIDE",TEXT(INDEX(MO_Common_QEndDate,0,COLUMN()),"YYYYMMDD")),"N/A")</f>
        <v>N/A</v>
      </c>
      <c r="Q534" s="718" t="str">
        <f ca="1">IFERROR(BDP(MO.Ticker.Bloomberg&amp;" Equity","INTERVAL_HIGH","MARKET_DATA_OVERRIDE=PX_LAST","START_DATE_OVERRIDE",TEXT(INDEX(MO_SNA_FPStartDate,0,COLUMN()),"YYYYMMDD"),"END_DATE_OVERRIDE",TEXT(INDEX(MO_Common_QEndDate,0,COLUMN()),"YYYYMMDD")),"N/A")</f>
        <v>N/A</v>
      </c>
      <c r="R534" s="718" t="str">
        <f ca="1">IFERROR(BDP(MO.Ticker.Bloomberg&amp;" Equity","INTERVAL_HIGH","MARKET_DATA_OVERRIDE=PX_LAST","START_DATE_OVERRIDE",TEXT(INDEX(MO_SNA_FPStartDate,0,COLUMN()),"YYYYMMDD"),"END_DATE_OVERRIDE",TEXT(INDEX(MO_Common_QEndDate,0,COLUMN()),"YYYYMMDD")),"N/A")</f>
        <v>N/A</v>
      </c>
      <c r="S534" s="718"/>
      <c r="T534" s="718"/>
      <c r="U534" s="718"/>
      <c r="V534" s="718"/>
      <c r="W534" s="718"/>
      <c r="X534" s="718"/>
      <c r="Y534" s="718"/>
      <c r="Z534" s="720" t="str">
        <f ca="1">IFERROR(BDP(MO.Ticker.Bloomberg&amp;" Equity","INTERVAL_HIGH","MARKET_DATA_OVERRIDE=PX_LAST","START_DATE_OVERRIDE",TEXT(INDEX(MO_SNA_FPStartDate,0,COLUMN()),"YYYYMMDD"),"END_DATE_OVERRIDE",TEXT(INDEX(MO_Common_QEndDate,0,COLUMN()),"YYYYMMDD")),"N/A")</f>
        <v>N/A</v>
      </c>
      <c r="AA534" s="720" t="str">
        <f ca="1">IFERROR(BDP(MO.Ticker.Bloomberg&amp;" Equity","INTERVAL_HIGH","MARKET_DATA_OVERRIDE=PX_LAST","START_DATE_OVERRIDE",TEXT(INDEX(MO_SNA_FPStartDate,0,COLUMN()),"YYYYMMDD"),"END_DATE_OVERRIDE",TEXT(INDEX(MO_Common_QEndDate,0,COLUMN()),"YYYYMMDD")),"N/A")</f>
        <v>N/A</v>
      </c>
      <c r="AB534" s="719" t="str">
        <f ca="1">IFERROR(BDP(MO.Ticker.Bloomberg&amp;" Equity","INTERVAL_HIGH","MARKET_DATA_OVERRIDE=PX_LAST","START_DATE_OVERRIDE",TEXT(INDEX(MO_SNA_FPStartDate,0,COLUMN()),"YYYYMMDD"),"END_DATE_OVERRIDE",TEXT(INDEX(MO_Common_QEndDate,0,COLUMN()),"YYYYMMDD")),"N/A")</f>
        <v>N/A</v>
      </c>
      <c r="AC534" s="719" t="str">
        <f ca="1">IFERROR(BDP(MO.Ticker.Bloomberg&amp;" Equity","INTERVAL_HIGH","MARKET_DATA_OVERRIDE=PX_LAST","START_DATE_OVERRIDE",TEXT(INDEX(MO_SNA_FPStartDate,0,COLUMN()),"YYYYMMDD"),"END_DATE_OVERRIDE",TEXT(INDEX(MO_Common_QEndDate,0,COLUMN()),"YYYYMMDD")),"N/A")</f>
        <v>N/A</v>
      </c>
      <c r="AD534" s="719" t="str">
        <f ca="1">IFERROR(BDP(MO.Ticker.Bloomberg&amp;" Equity","INTERVAL_HIGH","MARKET_DATA_OVERRIDE=PX_LAST","START_DATE_OVERRIDE",TEXT(INDEX(MO_SNA_FPStartDate,0,COLUMN()),"YYYYMMDD"),"END_DATE_OVERRIDE",TEXT(INDEX(MO_Common_QEndDate,0,COLUMN()),"YYYYMMDD")),"N/A")</f>
        <v>N/A</v>
      </c>
      <c r="AE534" s="719" t="str">
        <f ca="1">IFERROR(BDP(MO.Ticker.Bloomberg&amp;" Equity","INTERVAL_HIGH","MARKET_DATA_OVERRIDE=PX_LAST","START_DATE_OVERRIDE",TEXT(INDEX(MO_SNA_FPStartDate,0,COLUMN()),"YYYYMMDD"),"END_DATE_OVERRIDE",TEXT(INDEX(MO_Common_QEndDate,0,COLUMN()),"YYYYMMDD")),"N/A")</f>
        <v>N/A</v>
      </c>
      <c r="AF534" s="719" t="str">
        <f ca="1">IFERROR(BDP(MO.Ticker.Bloomberg&amp;" Equity","INTERVAL_HIGH","MARKET_DATA_OVERRIDE=PX_LAST","START_DATE_OVERRIDE",TEXT(INDEX(MO_SNA_FPStartDate,0,COLUMN()),"YYYYMMDD"),"END_DATE_OVERRIDE",TEXT(INDEX(MO_Common_QEndDate,0,COLUMN()),"YYYYMMDD")),"N/A")</f>
        <v>N/A</v>
      </c>
      <c r="AG534" s="719" t="str">
        <f ca="1">IFERROR(BDP(MO.Ticker.Bloomberg&amp;" Equity","INTERVAL_HIGH","MARKET_DATA_OVERRIDE=PX_LAST","START_DATE_OVERRIDE",TEXT(INDEX(MO_SNA_FPStartDate,0,COLUMN()),"YYYYMMDD"),"END_DATE_OVERRIDE",TEXT(INDEX(MO_Common_QEndDate,0,COLUMN()),"YYYYMMDD")),"N/A")</f>
        <v>N/A</v>
      </c>
      <c r="AH534" s="719" t="str">
        <f ca="1">IFERROR(BDP(MO.Ticker.Bloomberg&amp;" Equity","INTERVAL_HIGH","MARKET_DATA_OVERRIDE=PX_LAST","START_DATE_OVERRIDE",TEXT(INDEX(MO_SNA_FPStartDate,0,COLUMN()),"YYYYMMDD"),"END_DATE_OVERRIDE",TEXT(INDEX(MO_Common_QEndDate,0,COLUMN()),"YYYYMMDD")),"N/A")</f>
        <v>N/A</v>
      </c>
      <c r="AI534" s="719" t="str">
        <f ca="1">IFERROR(BDP(MO.Ticker.Bloomberg&amp;" Equity","INTERVAL_HIGH","MARKET_DATA_OVERRIDE=PX_LAST","START_DATE_OVERRIDE",TEXT(INDEX(MO_SNA_FPStartDate,0,COLUMN()),"YYYYMMDD"),"END_DATE_OVERRIDE",TEXT(INDEX(MO_Common_QEndDate,0,COLUMN()),"YYYYMMDD")),"N/A")</f>
        <v>N/A</v>
      </c>
      <c r="AJ534" s="719" t="str">
        <f ca="1">IFERROR(BDP(MO.Ticker.Bloomberg&amp;" Equity","INTERVAL_HIGH","MARKET_DATA_OVERRIDE=PX_LAST","START_DATE_OVERRIDE",TEXT(INDEX(MO_SNA_FPStartDate,0,COLUMN()),"YYYYMMDD"),"END_DATE_OVERRIDE",TEXT(INDEX(MO_Common_QEndDate,0,COLUMN()),"YYYYMMDD")),"N/A")</f>
        <v>N/A</v>
      </c>
      <c r="AK534" s="719" t="str">
        <f ca="1">IFERROR(BDP(MO.Ticker.Bloomberg&amp;" Equity","INTERVAL_HIGH","MARKET_DATA_OVERRIDE=PX_LAST","START_DATE_OVERRIDE",TEXT(INDEX(MO_SNA_FPStartDate,0,COLUMN()),"YYYYMMDD"),"END_DATE_OVERRIDE",TEXT(INDEX(MO_Common_QEndDate,0,COLUMN()),"YYYYMMDD")),"N/A")</f>
        <v>N/A</v>
      </c>
      <c r="AL534" s="719" t="str">
        <f ca="1">IFERROR(BDP(MO.Ticker.Bloomberg&amp;" Equity","INTERVAL_HIGH","MARKET_DATA_OVERRIDE=PX_LAST","START_DATE_OVERRIDE",TEXT(INDEX(MO_SNA_FPStartDate,0,COLUMN()),"YYYYMMDD"),"END_DATE_OVERRIDE",TEXT(INDEX(MO_Common_QEndDate,0,COLUMN()),"YYYYMMDD")),"N/A")</f>
        <v>N/A</v>
      </c>
      <c r="AM534" s="719" t="str">
        <f ca="1">IFERROR(BDP(MO.Ticker.Bloomberg&amp;" Equity","INTERVAL_HIGH","MARKET_DATA_OVERRIDE=PX_LAST","START_DATE_OVERRIDE",TEXT(INDEX(MO_SNA_FPStartDate,0,COLUMN()),"YYYYMMDD"),"END_DATE_OVERRIDE",TEXT(INDEX(MO_Common_QEndDate,0,COLUMN()),"YYYYMMDD")),"N/A")</f>
        <v>N/A</v>
      </c>
      <c r="AN534" s="719" t="str">
        <f ca="1">IFERROR(BDP(MO.Ticker.Bloomberg&amp;" Equity","INTERVAL_HIGH","MARKET_DATA_OVERRIDE=PX_LAST","START_DATE_OVERRIDE",TEXT(INDEX(MO_SNA_FPStartDate,0,COLUMN()),"YYYYMMDD"),"END_DATE_OVERRIDE",TEXT(INDEX(MO_Common_QEndDate,0,COLUMN()),"YYYYMMDD")),"N/A")</f>
        <v>N/A</v>
      </c>
      <c r="AO534" s="718" t="str">
        <f ca="1">IFERROR(BDP(MO.Ticker.Bloomberg&amp;" Equity","INTERVAL_HIGH","MARKET_DATA_OVERRIDE=PX_LAST","START_DATE_OVERRIDE",TEXT(INDEX(MO_SNA_FPStartDate,0,COLUMN()),"YYYYMMDD"),"END_DATE_OVERRIDE",TEXT(INDEX(MO_Common_QEndDate,0,COLUMN()),"YYYYMMDD")),"N/A")</f>
        <v>N/A</v>
      </c>
      <c r="AP534" s="718" t="str">
        <f ca="1">IFERROR(BDP(MO.Ticker.Bloomberg&amp;" Equity","INTERVAL_HIGH","MARKET_DATA_OVERRIDE=PX_LAST","START_DATE_OVERRIDE",TEXT(INDEX(MO_SNA_FPStartDate,0,COLUMN()),"YYYYMMDD"),"END_DATE_OVERRIDE",TEXT(INDEX(MO_Common_QEndDate,0,COLUMN()),"YYYYMMDD")),"N/A")</f>
        <v>N/A</v>
      </c>
      <c r="AQ534" s="718" t="str">
        <f ca="1">IFERROR(BDP(MO.Ticker.Bloomberg&amp;" Equity","INTERVAL_HIGH","MARKET_DATA_OVERRIDE=PX_LAST","START_DATE_OVERRIDE",TEXT(INDEX(MO_SNA_FPStartDate,0,COLUMN()),"YYYYMMDD"),"END_DATE_OVERRIDE",TEXT(INDEX(MO_Common_QEndDate,0,COLUMN()),"YYYYMMDD")),"N/A")</f>
        <v>N/A</v>
      </c>
      <c r="AR534" s="721" t="str">
        <f ca="1">IFERROR(BDP(MO.Ticker.Bloomberg&amp;" Equity","INTERVAL_HIGH","MARKET_DATA_OVERRIDE=PX_LAST","START_DATE_OVERRIDE",TEXT(INDEX(MO_SNA_FPStartDate,0,COLUMN()),"YYYYMMDD"),"END_DATE_OVERRIDE",TEXT(INDEX(MO_Common_QEndDate,0,COLUMN()),"YYYYMMDD")),"N/A")</f>
        <v>N/A</v>
      </c>
      <c r="AS534" s="719"/>
    </row>
    <row r="535" spans="1:45" s="722" customFormat="1" hidden="1" outlineLevel="1" x14ac:dyDescent="0.35">
      <c r="A535" s="723" t="s">
        <v>983</v>
      </c>
      <c r="B535" s="718"/>
      <c r="C535" s="719" t="str">
        <f>IFERROR(_xll.ciqfunctions.udf.CIQHI(MO.Ticker.CapIQ,"IQ_LASTSALEPRICE",INDEX(MO_SNA_FPStartDate,0,COLUMN()),INDEX(MO_Common_QEndDate,0,COLUMN())),"N/A")</f>
        <v>(Invalid Identifier)</v>
      </c>
      <c r="D535" s="719" t="str">
        <f>IFERROR(_xll.ciqfunctions.udf.CIQHI(MO.Ticker.CapIQ,"IQ_LASTSALEPRICE",INDEX(MO_SNA_FPStartDate,0,COLUMN()),INDEX(MO_Common_QEndDate,0,COLUMN())),"N/A")</f>
        <v>(Invalid Identifier)</v>
      </c>
      <c r="E535" s="719" t="str">
        <f>IFERROR(_xll.ciqfunctions.udf.CIQHI(MO.Ticker.CapIQ,"IQ_LASTSALEPRICE",INDEX(MO_SNA_FPStartDate,0,COLUMN()),INDEX(MO_Common_QEndDate,0,COLUMN())),"N/A")</f>
        <v>(Invalid Identifier)</v>
      </c>
      <c r="F535" s="719" t="str">
        <f>IFERROR(_xll.ciqfunctions.udf.CIQHI(MO.Ticker.CapIQ,"IQ_LASTSALEPRICE",INDEX(MO_SNA_FPStartDate,0,COLUMN()),INDEX(MO_Common_QEndDate,0,COLUMN())),"N/A")</f>
        <v>(Invalid Identifier)</v>
      </c>
      <c r="G535" s="719" t="str">
        <f>IFERROR(_xll.ciqfunctions.udf.CIQHI(MO.Ticker.CapIQ,"IQ_LASTSALEPRICE",INDEX(MO_SNA_FPStartDate,0,COLUMN()),INDEX(MO_Common_QEndDate,0,COLUMN())),"N/A")</f>
        <v>(Invalid Identifier)</v>
      </c>
      <c r="H535" s="719" t="str">
        <f>IFERROR(_xll.ciqfunctions.udf.CIQHI(MO.Ticker.CapIQ,"IQ_LASTSALEPRICE",INDEX(MO_SNA_FPStartDate,0,COLUMN()),INDEX(MO_Common_QEndDate,0,COLUMN())),"N/A")</f>
        <v>(Invalid Identifier)</v>
      </c>
      <c r="I535" s="719" t="str">
        <f>IFERROR(_xll.ciqfunctions.udf.CIQHI(MO.Ticker.CapIQ,"IQ_LASTSALEPRICE",INDEX(MO_SNA_FPStartDate,0,COLUMN()),INDEX(MO_Common_QEndDate,0,COLUMN())),"N/A")</f>
        <v>(Invalid Identifier)</v>
      </c>
      <c r="J535" s="719" t="str">
        <f>IFERROR(_xll.ciqfunctions.udf.CIQHI(MO.Ticker.CapIQ,"IQ_LASTSALEPRICE",INDEX(MO_SNA_FPStartDate,0,COLUMN()),INDEX(MO_Common_QEndDate,0,COLUMN())),"N/A")</f>
        <v>(Invalid Identifier)</v>
      </c>
      <c r="K535" s="719" t="str">
        <f>IFERROR(_xll.ciqfunctions.udf.CIQHI(MO.Ticker.CapIQ,"IQ_LASTSALEPRICE",INDEX(MO_SNA_FPStartDate,0,COLUMN()),INDEX(MO_Common_QEndDate,0,COLUMN())),"N/A")</f>
        <v>(Invalid Identifier)</v>
      </c>
      <c r="L535" s="719" t="str">
        <f>IFERROR(_xll.ciqfunctions.udf.CIQHI(MO.Ticker.CapIQ,"IQ_LASTSALEPRICE",INDEX(MO_SNA_FPStartDate,0,COLUMN()),INDEX(MO_Common_QEndDate,0,COLUMN())),"N/A")</f>
        <v>(Invalid Identifier)</v>
      </c>
      <c r="M535" s="719" t="str">
        <f>IFERROR(_xll.ciqfunctions.udf.CIQHI(MO.Ticker.CapIQ,"IQ_LASTSALEPRICE",INDEX(MO_SNA_FPStartDate,0,COLUMN()),INDEX(MO_Common_QEndDate,0,COLUMN())),"N/A")</f>
        <v>(Invalid Identifier)</v>
      </c>
      <c r="N535" s="719" t="str">
        <f>IFERROR(_xll.ciqfunctions.udf.CIQHI(MO.Ticker.CapIQ,"IQ_LASTSALEPRICE",INDEX(MO_SNA_FPStartDate,0,COLUMN()),INDEX(MO_Common_QEndDate,0,COLUMN())),"N/A")</f>
        <v>(Invalid Identifier)</v>
      </c>
      <c r="O535" s="719" t="str">
        <f>IFERROR(_xll.ciqfunctions.udf.CIQHI(MO.Ticker.CapIQ,"IQ_LASTSALEPRICE",INDEX(MO_SNA_FPStartDate,0,COLUMN()),INDEX(MO_Common_QEndDate,0,COLUMN())),"N/A")</f>
        <v>(Invalid Identifier)</v>
      </c>
      <c r="P535" s="718" t="str">
        <f>IFERROR(_xll.ciqfunctions.udf.CIQHI(MO.Ticker.CapIQ,"IQ_LASTSALEPRICE",INDEX(MO_SNA_FPStartDate,0,COLUMN()),INDEX(MO_Common_QEndDate,0,COLUMN())),"N/A")</f>
        <v>(Invalid Identifier)</v>
      </c>
      <c r="Q535" s="718" t="str">
        <f>IFERROR(_xll.ciqfunctions.udf.CIQHI(MO.Ticker.CapIQ,"IQ_LASTSALEPRICE",INDEX(MO_SNA_FPStartDate,0,COLUMN()),INDEX(MO_Common_QEndDate,0,COLUMN())),"N/A")</f>
        <v>(Invalid Identifier)</v>
      </c>
      <c r="R535" s="718" t="str">
        <f>IFERROR(_xll.ciqfunctions.udf.CIQHI(MO.Ticker.CapIQ,"IQ_LASTSALEPRICE",INDEX(MO_SNA_FPStartDate,0,COLUMN()),INDEX(MO_Common_QEndDate,0,COLUMN())),"N/A")</f>
        <v>(Invalid Identifier)</v>
      </c>
      <c r="S535" s="718"/>
      <c r="T535" s="718"/>
      <c r="U535" s="718"/>
      <c r="V535" s="718"/>
      <c r="W535" s="718"/>
      <c r="X535" s="718"/>
      <c r="Y535" s="718"/>
      <c r="Z535" s="720" t="str">
        <f>IFERROR(_xll.ciqfunctions.udf.CIQHI(MO.Ticker.CapIQ,"IQ_LASTSALEPRICE",INDEX(MO_SNA_FPStartDate,0,COLUMN()),INDEX(MO_Common_QEndDate,0,COLUMN())),"N/A")</f>
        <v>(Invalid Identifier)</v>
      </c>
      <c r="AA535" s="720" t="str">
        <f>IFERROR(_xll.ciqfunctions.udf.CIQHI(MO.Ticker.CapIQ,"IQ_LASTSALEPRICE",INDEX(MO_SNA_FPStartDate,0,COLUMN()),INDEX(MO_Common_QEndDate,0,COLUMN())),"N/A")</f>
        <v>(Invalid Identifier)</v>
      </c>
      <c r="AB535" s="719" t="str">
        <f>IFERROR(_xll.ciqfunctions.udf.CIQHI(MO.Ticker.CapIQ,"IQ_LASTSALEPRICE",INDEX(MO_SNA_FPStartDate,0,COLUMN()),INDEX(MO_Common_QEndDate,0,COLUMN())),"N/A")</f>
        <v>(Invalid Identifier)</v>
      </c>
      <c r="AC535" s="719" t="str">
        <f>IFERROR(_xll.ciqfunctions.udf.CIQHI(MO.Ticker.CapIQ,"IQ_LASTSALEPRICE",INDEX(MO_SNA_FPStartDate,0,COLUMN()),INDEX(MO_Common_QEndDate,0,COLUMN())),"N/A")</f>
        <v>(Invalid Identifier)</v>
      </c>
      <c r="AD535" s="719" t="str">
        <f>IFERROR(_xll.ciqfunctions.udf.CIQHI(MO.Ticker.CapIQ,"IQ_LASTSALEPRICE",INDEX(MO_SNA_FPStartDate,0,COLUMN()),INDEX(MO_Common_QEndDate,0,COLUMN())),"N/A")</f>
        <v>(Invalid Identifier)</v>
      </c>
      <c r="AE535" s="719" t="str">
        <f>IFERROR(_xll.ciqfunctions.udf.CIQHI(MO.Ticker.CapIQ,"IQ_LASTSALEPRICE",INDEX(MO_SNA_FPStartDate,0,COLUMN()),INDEX(MO_Common_QEndDate,0,COLUMN())),"N/A")</f>
        <v>(Invalid Identifier)</v>
      </c>
      <c r="AF535" s="719" t="str">
        <f>IFERROR(_xll.ciqfunctions.udf.CIQHI(MO.Ticker.CapIQ,"IQ_LASTSALEPRICE",INDEX(MO_SNA_FPStartDate,0,COLUMN()),INDEX(MO_Common_QEndDate,0,COLUMN())),"N/A")</f>
        <v>(Invalid Identifier)</v>
      </c>
      <c r="AG535" s="719" t="str">
        <f>IFERROR(_xll.ciqfunctions.udf.CIQHI(MO.Ticker.CapIQ,"IQ_LASTSALEPRICE",INDEX(MO_SNA_FPStartDate,0,COLUMN()),INDEX(MO_Common_QEndDate,0,COLUMN())),"N/A")</f>
        <v>(Invalid Identifier)</v>
      </c>
      <c r="AH535" s="719" t="str">
        <f>IFERROR(_xll.ciqfunctions.udf.CIQHI(MO.Ticker.CapIQ,"IQ_LASTSALEPRICE",INDEX(MO_SNA_FPStartDate,0,COLUMN()),INDEX(MO_Common_QEndDate,0,COLUMN())),"N/A")</f>
        <v>(Invalid Identifier)</v>
      </c>
      <c r="AI535" s="719" t="str">
        <f>IFERROR(_xll.ciqfunctions.udf.CIQHI(MO.Ticker.CapIQ,"IQ_LASTSALEPRICE",INDEX(MO_SNA_FPStartDate,0,COLUMN()),INDEX(MO_Common_QEndDate,0,COLUMN())),"N/A")</f>
        <v>(Invalid Identifier)</v>
      </c>
      <c r="AJ535" s="719" t="str">
        <f>IFERROR(_xll.ciqfunctions.udf.CIQHI(MO.Ticker.CapIQ,"IQ_LASTSALEPRICE",INDEX(MO_SNA_FPStartDate,0,COLUMN()),INDEX(MO_Common_QEndDate,0,COLUMN())),"N/A")</f>
        <v>(Invalid Identifier)</v>
      </c>
      <c r="AK535" s="719" t="str">
        <f>IFERROR(_xll.ciqfunctions.udf.CIQHI(MO.Ticker.CapIQ,"IQ_LASTSALEPRICE",INDEX(MO_SNA_FPStartDate,0,COLUMN()),INDEX(MO_Common_QEndDate,0,COLUMN())),"N/A")</f>
        <v>(Invalid Identifier)</v>
      </c>
      <c r="AL535" s="719" t="str">
        <f>IFERROR(_xll.ciqfunctions.udf.CIQHI(MO.Ticker.CapIQ,"IQ_LASTSALEPRICE",INDEX(MO_SNA_FPStartDate,0,COLUMN()),INDEX(MO_Common_QEndDate,0,COLUMN())),"N/A")</f>
        <v>(Invalid Identifier)</v>
      </c>
      <c r="AM535" s="719" t="str">
        <f>IFERROR(_xll.ciqfunctions.udf.CIQHI(MO.Ticker.CapIQ,"IQ_LASTSALEPRICE",INDEX(MO_SNA_FPStartDate,0,COLUMN()),INDEX(MO_Common_QEndDate,0,COLUMN())),"N/A")</f>
        <v>(Invalid Identifier)</v>
      </c>
      <c r="AN535" s="719" t="str">
        <f>IFERROR(_xll.ciqfunctions.udf.CIQHI(MO.Ticker.CapIQ,"IQ_LASTSALEPRICE",INDEX(MO_SNA_FPStartDate,0,COLUMN()),INDEX(MO_Common_QEndDate,0,COLUMN())),"N/A")</f>
        <v>(Invalid Identifier)</v>
      </c>
      <c r="AO535" s="718" t="str">
        <f>IFERROR(_xll.ciqfunctions.udf.CIQHI(MO.Ticker.CapIQ,"IQ_LASTSALEPRICE",INDEX(MO_SNA_FPStartDate,0,COLUMN()),INDEX(MO_Common_QEndDate,0,COLUMN())),"N/A")</f>
        <v>(Invalid Identifier)</v>
      </c>
      <c r="AP535" s="718" t="str">
        <f>IFERROR(_xll.ciqfunctions.udf.CIQHI(MO.Ticker.CapIQ,"IQ_LASTSALEPRICE",INDEX(MO_SNA_FPStartDate,0,COLUMN()),INDEX(MO_Common_QEndDate,0,COLUMN())),"N/A")</f>
        <v>(Invalid Identifier)</v>
      </c>
      <c r="AQ535" s="718" t="str">
        <f>IFERROR(_xll.ciqfunctions.udf.CIQHI(MO.Ticker.CapIQ,"IQ_LASTSALEPRICE",INDEX(MO_SNA_FPStartDate,0,COLUMN()),INDEX(MO_Common_QEndDate,0,COLUMN())),"N/A")</f>
        <v>(Invalid Identifier)</v>
      </c>
      <c r="AR535" s="721" t="str">
        <f>IFERROR(_xll.ciqfunctions.udf.CIQHI(MO.Ticker.CapIQ,"IQ_LASTSALEPRICE",INDEX(MO_SNA_FPStartDate,0,COLUMN()),INDEX(MO_Common_QEndDate,0,COLUMN())),"N/A")</f>
        <v>(Invalid Identifier)</v>
      </c>
      <c r="AS535" s="719"/>
    </row>
    <row r="536" spans="1:45" s="722" customFormat="1" hidden="1" outlineLevel="1" x14ac:dyDescent="0.35">
      <c r="A536" s="723" t="s">
        <v>984</v>
      </c>
      <c r="B536" s="718"/>
      <c r="C536" s="719" t="str">
        <f ca="1">IFERROR(FDS(MO.Ticker.FactSet,"P_PRICE_HIGH"&amp;"("&amp;INDEX(MO_SNA_FPStartDate,0,COLUMN())&amp;","&amp;INDEX(MO_Common_QEndDate,0,COLUMN())&amp;",,,,""PRICE"",""CLOSE"")"),"N/A")</f>
        <v>N/A</v>
      </c>
      <c r="D536" s="719" t="str">
        <f ca="1">IFERROR(FDS(MO.Ticker.FactSet,"P_PRICE_HIGH"&amp;"("&amp;INDEX(MO_SNA_FPStartDate,0,COLUMN())&amp;","&amp;INDEX(MO_Common_QEndDate,0,COLUMN())&amp;",,,,""PRICE"",""CLOSE"")"),"N/A")</f>
        <v>N/A</v>
      </c>
      <c r="E536" s="719" t="str">
        <f ca="1">IFERROR(FDS(MO.Ticker.FactSet,"P_PRICE_HIGH"&amp;"("&amp;INDEX(MO_SNA_FPStartDate,0,COLUMN())&amp;","&amp;INDEX(MO_Common_QEndDate,0,COLUMN())&amp;",,,,""PRICE"",""CLOSE"")"),"N/A")</f>
        <v>N/A</v>
      </c>
      <c r="F536" s="719" t="str">
        <f ca="1">IFERROR(FDS(MO.Ticker.FactSet,"P_PRICE_HIGH"&amp;"("&amp;INDEX(MO_SNA_FPStartDate,0,COLUMN())&amp;","&amp;INDEX(MO_Common_QEndDate,0,COLUMN())&amp;",,,,""PRICE"",""CLOSE"")"),"N/A")</f>
        <v>N/A</v>
      </c>
      <c r="G536" s="719" t="str">
        <f ca="1">IFERROR(FDS(MO.Ticker.FactSet,"P_PRICE_HIGH"&amp;"("&amp;INDEX(MO_SNA_FPStartDate,0,COLUMN())&amp;","&amp;INDEX(MO_Common_QEndDate,0,COLUMN())&amp;",,,,""PRICE"",""CLOSE"")"),"N/A")</f>
        <v>N/A</v>
      </c>
      <c r="H536" s="719" t="str">
        <f ca="1">IFERROR(FDS(MO.Ticker.FactSet,"P_PRICE_HIGH"&amp;"("&amp;INDEX(MO_SNA_FPStartDate,0,COLUMN())&amp;","&amp;INDEX(MO_Common_QEndDate,0,COLUMN())&amp;",,,,""PRICE"",""CLOSE"")"),"N/A")</f>
        <v>N/A</v>
      </c>
      <c r="I536" s="719" t="str">
        <f ca="1">IFERROR(FDS(MO.Ticker.FactSet,"P_PRICE_HIGH"&amp;"("&amp;INDEX(MO_SNA_FPStartDate,0,COLUMN())&amp;","&amp;INDEX(MO_Common_QEndDate,0,COLUMN())&amp;",,,,""PRICE"",""CLOSE"")"),"N/A")</f>
        <v>N/A</v>
      </c>
      <c r="J536" s="719" t="str">
        <f ca="1">IFERROR(FDS(MO.Ticker.FactSet,"P_PRICE_HIGH"&amp;"("&amp;INDEX(MO_SNA_FPStartDate,0,COLUMN())&amp;","&amp;INDEX(MO_Common_QEndDate,0,COLUMN())&amp;",,,,""PRICE"",""CLOSE"")"),"N/A")</f>
        <v>N/A</v>
      </c>
      <c r="K536" s="719" t="str">
        <f ca="1">IFERROR(FDS(MO.Ticker.FactSet,"P_PRICE_HIGH"&amp;"("&amp;INDEX(MO_SNA_FPStartDate,0,COLUMN())&amp;","&amp;INDEX(MO_Common_QEndDate,0,COLUMN())&amp;",,,,""PRICE"",""CLOSE"")"),"N/A")</f>
        <v>N/A</v>
      </c>
      <c r="L536" s="719" t="str">
        <f ca="1">IFERROR(FDS(MO.Ticker.FactSet,"P_PRICE_HIGH"&amp;"("&amp;INDEX(MO_SNA_FPStartDate,0,COLUMN())&amp;","&amp;INDEX(MO_Common_QEndDate,0,COLUMN())&amp;",,,,""PRICE"",""CLOSE"")"),"N/A")</f>
        <v>N/A</v>
      </c>
      <c r="M536" s="719" t="str">
        <f ca="1">IFERROR(FDS(MO.Ticker.FactSet,"P_PRICE_HIGH"&amp;"("&amp;INDEX(MO_SNA_FPStartDate,0,COLUMN())&amp;","&amp;INDEX(MO_Common_QEndDate,0,COLUMN())&amp;",,,,""PRICE"",""CLOSE"")"),"N/A")</f>
        <v>N/A</v>
      </c>
      <c r="N536" s="719" t="str">
        <f ca="1">IFERROR(FDS(MO.Ticker.FactSet,"P_PRICE_HIGH"&amp;"("&amp;INDEX(MO_SNA_FPStartDate,0,COLUMN())&amp;","&amp;INDEX(MO_Common_QEndDate,0,COLUMN())&amp;",,,,""PRICE"",""CLOSE"")"),"N/A")</f>
        <v>N/A</v>
      </c>
      <c r="O536" s="719" t="str">
        <f ca="1">IFERROR(FDS(MO.Ticker.FactSet,"P_PRICE_HIGH"&amp;"("&amp;INDEX(MO_SNA_FPStartDate,0,COLUMN())&amp;","&amp;INDEX(MO_Common_QEndDate,0,COLUMN())&amp;",,,,""PRICE"",""CLOSE"")"),"N/A")</f>
        <v>N/A</v>
      </c>
      <c r="P536" s="718" t="str">
        <f ca="1">IFERROR(FDS(MO.Ticker.FactSet,"P_PRICE_HIGH"&amp;"("&amp;INDEX(MO_SNA_FPStartDate,0,COLUMN())&amp;","&amp;INDEX(MO_Common_QEndDate,0,COLUMN())&amp;",,,,""PRICE"",""CLOSE"")"),"N/A")</f>
        <v>N/A</v>
      </c>
      <c r="Q536" s="718" t="str">
        <f ca="1">IFERROR(FDS(MO.Ticker.FactSet,"P_PRICE_HIGH"&amp;"("&amp;INDEX(MO_SNA_FPStartDate,0,COLUMN())&amp;","&amp;INDEX(MO_Common_QEndDate,0,COLUMN())&amp;",,,,""PRICE"",""CLOSE"")"),"N/A")</f>
        <v>N/A</v>
      </c>
      <c r="R536" s="718" t="str">
        <f ca="1">IFERROR(FDS(MO.Ticker.FactSet,"P_PRICE_HIGH"&amp;"("&amp;INDEX(MO_SNA_FPStartDate,0,COLUMN())&amp;","&amp;INDEX(MO_Common_QEndDate,0,COLUMN())&amp;",,,,""PRICE"",""CLOSE"")"),"N/A")</f>
        <v>N/A</v>
      </c>
      <c r="S536" s="718"/>
      <c r="T536" s="718"/>
      <c r="U536" s="718"/>
      <c r="V536" s="718"/>
      <c r="W536" s="718"/>
      <c r="X536" s="718"/>
      <c r="Y536" s="718"/>
      <c r="Z536" s="720" t="str">
        <f ca="1">IFERROR(FDS(MO.Ticker.FactSet,"P_PRICE_HIGH"&amp;"("&amp;INDEX(MO_SNA_FPStartDate,0,COLUMN())&amp;","&amp;INDEX(MO_Common_QEndDate,0,COLUMN())&amp;",,,,""PRICE"",""CLOSE"")"),"N/A")</f>
        <v>N/A</v>
      </c>
      <c r="AA536" s="720" t="str">
        <f ca="1">IFERROR(FDS(MO.Ticker.FactSet,"P_PRICE_HIGH"&amp;"("&amp;INDEX(MO_SNA_FPStartDate,0,COLUMN())&amp;","&amp;INDEX(MO_Common_QEndDate,0,COLUMN())&amp;",,,,""PRICE"",""CLOSE"")"),"N/A")</f>
        <v>N/A</v>
      </c>
      <c r="AB536" s="719" t="str">
        <f ca="1">IFERROR(FDS(MO.Ticker.FactSet,"P_PRICE_HIGH"&amp;"("&amp;INDEX(MO_SNA_FPStartDate,0,COLUMN())&amp;","&amp;INDEX(MO_Common_QEndDate,0,COLUMN())&amp;",,,,""PRICE"",""CLOSE"")"),"N/A")</f>
        <v>N/A</v>
      </c>
      <c r="AC536" s="719" t="str">
        <f ca="1">IFERROR(FDS(MO.Ticker.FactSet,"P_PRICE_HIGH"&amp;"("&amp;INDEX(MO_SNA_FPStartDate,0,COLUMN())&amp;","&amp;INDEX(MO_Common_QEndDate,0,COLUMN())&amp;",,,,""PRICE"",""CLOSE"")"),"N/A")</f>
        <v>N/A</v>
      </c>
      <c r="AD536" s="719" t="str">
        <f ca="1">IFERROR(FDS(MO.Ticker.FactSet,"P_PRICE_HIGH"&amp;"("&amp;INDEX(MO_SNA_FPStartDate,0,COLUMN())&amp;","&amp;INDEX(MO_Common_QEndDate,0,COLUMN())&amp;",,,,""PRICE"",""CLOSE"")"),"N/A")</f>
        <v>N/A</v>
      </c>
      <c r="AE536" s="719" t="str">
        <f ca="1">IFERROR(FDS(MO.Ticker.FactSet,"P_PRICE_HIGH"&amp;"("&amp;INDEX(MO_SNA_FPStartDate,0,COLUMN())&amp;","&amp;INDEX(MO_Common_QEndDate,0,COLUMN())&amp;",,,,""PRICE"",""CLOSE"")"),"N/A")</f>
        <v>N/A</v>
      </c>
      <c r="AF536" s="719" t="str">
        <f ca="1">IFERROR(FDS(MO.Ticker.FactSet,"P_PRICE_HIGH"&amp;"("&amp;INDEX(MO_SNA_FPStartDate,0,COLUMN())&amp;","&amp;INDEX(MO_Common_QEndDate,0,COLUMN())&amp;",,,,""PRICE"",""CLOSE"")"),"N/A")</f>
        <v>N/A</v>
      </c>
      <c r="AG536" s="719" t="str">
        <f ca="1">IFERROR(FDS(MO.Ticker.FactSet,"P_PRICE_HIGH"&amp;"("&amp;INDEX(MO_SNA_FPStartDate,0,COLUMN())&amp;","&amp;INDEX(MO_Common_QEndDate,0,COLUMN())&amp;",,,,""PRICE"",""CLOSE"")"),"N/A")</f>
        <v>N/A</v>
      </c>
      <c r="AH536" s="719" t="str">
        <f ca="1">IFERROR(FDS(MO.Ticker.FactSet,"P_PRICE_HIGH"&amp;"("&amp;INDEX(MO_SNA_FPStartDate,0,COLUMN())&amp;","&amp;INDEX(MO_Common_QEndDate,0,COLUMN())&amp;",,,,""PRICE"",""CLOSE"")"),"N/A")</f>
        <v>N/A</v>
      </c>
      <c r="AI536" s="719" t="str">
        <f ca="1">IFERROR(FDS(MO.Ticker.FactSet,"P_PRICE_HIGH"&amp;"("&amp;INDEX(MO_SNA_FPStartDate,0,COLUMN())&amp;","&amp;INDEX(MO_Common_QEndDate,0,COLUMN())&amp;",,,,""PRICE"",""CLOSE"")"),"N/A")</f>
        <v>N/A</v>
      </c>
      <c r="AJ536" s="719" t="str">
        <f ca="1">IFERROR(FDS(MO.Ticker.FactSet,"P_PRICE_HIGH"&amp;"("&amp;INDEX(MO_SNA_FPStartDate,0,COLUMN())&amp;","&amp;INDEX(MO_Common_QEndDate,0,COLUMN())&amp;",,,,""PRICE"",""CLOSE"")"),"N/A")</f>
        <v>N/A</v>
      </c>
      <c r="AK536" s="719" t="str">
        <f ca="1">IFERROR(FDS(MO.Ticker.FactSet,"P_PRICE_HIGH"&amp;"("&amp;INDEX(MO_SNA_FPStartDate,0,COLUMN())&amp;","&amp;INDEX(MO_Common_QEndDate,0,COLUMN())&amp;",,,,""PRICE"",""CLOSE"")"),"N/A")</f>
        <v>N/A</v>
      </c>
      <c r="AL536" s="719" t="str">
        <f ca="1">IFERROR(FDS(MO.Ticker.FactSet,"P_PRICE_HIGH"&amp;"("&amp;INDEX(MO_SNA_FPStartDate,0,COLUMN())&amp;","&amp;INDEX(MO_Common_QEndDate,0,COLUMN())&amp;",,,,""PRICE"",""CLOSE"")"),"N/A")</f>
        <v>N/A</v>
      </c>
      <c r="AM536" s="719" t="str">
        <f ca="1">IFERROR(FDS(MO.Ticker.FactSet,"P_PRICE_HIGH"&amp;"("&amp;INDEX(MO_SNA_FPStartDate,0,COLUMN())&amp;","&amp;INDEX(MO_Common_QEndDate,0,COLUMN())&amp;",,,,""PRICE"",""CLOSE"")"),"N/A")</f>
        <v>N/A</v>
      </c>
      <c r="AN536" s="719" t="str">
        <f ca="1">IFERROR(FDS(MO.Ticker.FactSet,"P_PRICE_HIGH"&amp;"("&amp;INDEX(MO_SNA_FPStartDate,0,COLUMN())&amp;","&amp;INDEX(MO_Common_QEndDate,0,COLUMN())&amp;",,,,""PRICE"",""CLOSE"")"),"N/A")</f>
        <v>N/A</v>
      </c>
      <c r="AO536" s="718" t="str">
        <f ca="1">IFERROR(FDS(MO.Ticker.FactSet,"P_PRICE_HIGH"&amp;"("&amp;INDEX(MO_SNA_FPStartDate,0,COLUMN())&amp;","&amp;INDEX(MO_Common_QEndDate,0,COLUMN())&amp;",,,,""PRICE"",""CLOSE"")"),"N/A")</f>
        <v>N/A</v>
      </c>
      <c r="AP536" s="718" t="str">
        <f ca="1">IFERROR(FDS(MO.Ticker.FactSet,"P_PRICE_HIGH"&amp;"("&amp;INDEX(MO_SNA_FPStartDate,0,COLUMN())&amp;","&amp;INDEX(MO_Common_QEndDate,0,COLUMN())&amp;",,,,""PRICE"",""CLOSE"")"),"N/A")</f>
        <v>N/A</v>
      </c>
      <c r="AQ536" s="718" t="str">
        <f ca="1">IFERROR(FDS(MO.Ticker.FactSet,"P_PRICE_HIGH"&amp;"("&amp;INDEX(MO_SNA_FPStartDate,0,COLUMN())&amp;","&amp;INDEX(MO_Common_QEndDate,0,COLUMN())&amp;",,,,""PRICE"",""CLOSE"")"),"N/A")</f>
        <v>N/A</v>
      </c>
      <c r="AR536" s="721" t="str">
        <f ca="1">IFERROR(FDS(MO.Ticker.FactSet,"P_PRICE_HIGH"&amp;"("&amp;INDEX(MO_SNA_FPStartDate,0,COLUMN())&amp;","&amp;INDEX(MO_Common_QEndDate,0,COLUMN())&amp;",,,,""PRICE"",""CLOSE"")"),"N/A")</f>
        <v>N/A</v>
      </c>
      <c r="AS536" s="719"/>
    </row>
    <row r="537" spans="1:45" s="722" customFormat="1" hidden="1" outlineLevel="1" x14ac:dyDescent="0.35">
      <c r="A537" s="723" t="s">
        <v>985</v>
      </c>
      <c r="B537" s="718"/>
      <c r="C537" s="719" t="str">
        <f ca="1">IFERROR(_xll.TR(MO.Ticker.Thomson,"MAX(TR.Pricehigh)","sdate:#1 edate:#2",,INDEX(MO_SNA_FPStartDate,0,COLUMN()),INDEX(MO_Common_QEndDate,0,COLUMN())),"N/A")</f>
        <v>N/A</v>
      </c>
      <c r="D537" s="719" t="str">
        <f ca="1">IFERROR(_xll.TR(MO.Ticker.Thomson,"MAX(TR.Pricehigh)","sdate:#1 edate:#2",,INDEX(MO_SNA_FPStartDate,0,COLUMN()),INDEX(MO_Common_QEndDate,0,COLUMN())),"N/A")</f>
        <v>N/A</v>
      </c>
      <c r="E537" s="719" t="str">
        <f ca="1">IFERROR(_xll.TR(MO.Ticker.Thomson,"MAX(TR.Pricehigh)","sdate:#1 edate:#2",,INDEX(MO_SNA_FPStartDate,0,COLUMN()),INDEX(MO_Common_QEndDate,0,COLUMN())),"N/A")</f>
        <v>N/A</v>
      </c>
      <c r="F537" s="719" t="str">
        <f ca="1">IFERROR(_xll.TR(MO.Ticker.Thomson,"MAX(TR.Pricehigh)","sdate:#1 edate:#2",,INDEX(MO_SNA_FPStartDate,0,COLUMN()),INDEX(MO_Common_QEndDate,0,COLUMN())),"N/A")</f>
        <v>N/A</v>
      </c>
      <c r="G537" s="719" t="str">
        <f ca="1">IFERROR(_xll.TR(MO.Ticker.Thomson,"MAX(TR.Pricehigh)","sdate:#1 edate:#2",,INDEX(MO_SNA_FPStartDate,0,COLUMN()),INDEX(MO_Common_QEndDate,0,COLUMN())),"N/A")</f>
        <v>N/A</v>
      </c>
      <c r="H537" s="719" t="str">
        <f ca="1">IFERROR(_xll.TR(MO.Ticker.Thomson,"MAX(TR.Pricehigh)","sdate:#1 edate:#2",,INDEX(MO_SNA_FPStartDate,0,COLUMN()),INDEX(MO_Common_QEndDate,0,COLUMN())),"N/A")</f>
        <v>N/A</v>
      </c>
      <c r="I537" s="719" t="str">
        <f ca="1">IFERROR(_xll.TR(MO.Ticker.Thomson,"MAX(TR.Pricehigh)","sdate:#1 edate:#2",,INDEX(MO_SNA_FPStartDate,0,COLUMN()),INDEX(MO_Common_QEndDate,0,COLUMN())),"N/A")</f>
        <v>N/A</v>
      </c>
      <c r="J537" s="719" t="str">
        <f ca="1">IFERROR(_xll.TR(MO.Ticker.Thomson,"MAX(TR.Pricehigh)","sdate:#1 edate:#2",,INDEX(MO_SNA_FPStartDate,0,COLUMN()),INDEX(MO_Common_QEndDate,0,COLUMN())),"N/A")</f>
        <v>N/A</v>
      </c>
      <c r="K537" s="719" t="str">
        <f ca="1">IFERROR(_xll.TR(MO.Ticker.Thomson,"MAX(TR.Pricehigh)","sdate:#1 edate:#2",,INDEX(MO_SNA_FPStartDate,0,COLUMN()),INDEX(MO_Common_QEndDate,0,COLUMN())),"N/A")</f>
        <v>N/A</v>
      </c>
      <c r="L537" s="719" t="str">
        <f ca="1">IFERROR(_xll.TR(MO.Ticker.Thomson,"MAX(TR.Pricehigh)","sdate:#1 edate:#2",,INDEX(MO_SNA_FPStartDate,0,COLUMN()),INDEX(MO_Common_QEndDate,0,COLUMN())),"N/A")</f>
        <v>N/A</v>
      </c>
      <c r="M537" s="719" t="str">
        <f ca="1">IFERROR(_xll.TR(MO.Ticker.Thomson,"MAX(TR.Pricehigh)","sdate:#1 edate:#2",,INDEX(MO_SNA_FPStartDate,0,COLUMN()),INDEX(MO_Common_QEndDate,0,COLUMN())),"N/A")</f>
        <v>N/A</v>
      </c>
      <c r="N537" s="719" t="str">
        <f ca="1">IFERROR(_xll.TR(MO.Ticker.Thomson,"MAX(TR.Pricehigh)","sdate:#1 edate:#2",,INDEX(MO_SNA_FPStartDate,0,COLUMN()),INDEX(MO_Common_QEndDate,0,COLUMN())),"N/A")</f>
        <v>N/A</v>
      </c>
      <c r="O537" s="719" t="str">
        <f ca="1">IFERROR(_xll.TR(MO.Ticker.Thomson,"MAX(TR.Pricehigh)","sdate:#1 edate:#2",,INDEX(MO_SNA_FPStartDate,0,COLUMN()),INDEX(MO_Common_QEndDate,0,COLUMN())),"N/A")</f>
        <v>N/A</v>
      </c>
      <c r="P537" s="718" t="str">
        <f ca="1">IFERROR(_xll.TR(MO.Ticker.Thomson,"MAX(TR.Pricehigh)","sdate:#1 edate:#2",,INDEX(MO_SNA_FPStartDate,0,COLUMN()),INDEX(MO_Common_QEndDate,0,COLUMN())),"N/A")</f>
        <v>N/A</v>
      </c>
      <c r="Q537" s="718" t="str">
        <f ca="1">IFERROR(_xll.TR(MO.Ticker.Thomson,"MAX(TR.Pricehigh)","sdate:#1 edate:#2",,INDEX(MO_SNA_FPStartDate,0,COLUMN()),INDEX(MO_Common_QEndDate,0,COLUMN())),"N/A")</f>
        <v>N/A</v>
      </c>
      <c r="R537" s="718" t="str">
        <f ca="1">IFERROR(_xll.TR(MO.Ticker.Thomson,"MAX(TR.Pricehigh)","sdate:#1 edate:#2",,INDEX(MO_SNA_FPStartDate,0,COLUMN()),INDEX(MO_Common_QEndDate,0,COLUMN())),"N/A")</f>
        <v>N/A</v>
      </c>
      <c r="S537" s="718"/>
      <c r="T537" s="718"/>
      <c r="U537" s="718"/>
      <c r="V537" s="718"/>
      <c r="W537" s="718"/>
      <c r="X537" s="718"/>
      <c r="Y537" s="718"/>
      <c r="Z537" s="720" t="str">
        <f ca="1">IFERROR(_xll.TR(MO.Ticker.Thomson,"MAX(TR.Pricehigh)","sdate:#1 edate:#2",,INDEX(MO_SNA_FPStartDate,0,COLUMN()),INDEX(MO_Common_QEndDate,0,COLUMN())),"N/A")</f>
        <v>N/A</v>
      </c>
      <c r="AA537" s="720" t="str">
        <f ca="1">IFERROR(_xll.TR(MO.Ticker.Thomson,"MAX(TR.Pricehigh)","sdate:#1 edate:#2",,INDEX(MO_SNA_FPStartDate,0,COLUMN()),INDEX(MO_Common_QEndDate,0,COLUMN())),"N/A")</f>
        <v>N/A</v>
      </c>
      <c r="AB537" s="719" t="str">
        <f ca="1">IFERROR(_xll.TR(MO.Ticker.Thomson,"MAX(TR.Pricehigh)","sdate:#1 edate:#2",,INDEX(MO_SNA_FPStartDate,0,COLUMN()),INDEX(MO_Common_QEndDate,0,COLUMN())),"N/A")</f>
        <v>N/A</v>
      </c>
      <c r="AC537" s="719" t="str">
        <f ca="1">IFERROR(_xll.TR(MO.Ticker.Thomson,"MAX(TR.Pricehigh)","sdate:#1 edate:#2",,INDEX(MO_SNA_FPStartDate,0,COLUMN()),INDEX(MO_Common_QEndDate,0,COLUMN())),"N/A")</f>
        <v>N/A</v>
      </c>
      <c r="AD537" s="719" t="str">
        <f ca="1">IFERROR(_xll.TR(MO.Ticker.Thomson,"MAX(TR.Pricehigh)","sdate:#1 edate:#2",,INDEX(MO_SNA_FPStartDate,0,COLUMN()),INDEX(MO_Common_QEndDate,0,COLUMN())),"N/A")</f>
        <v>N/A</v>
      </c>
      <c r="AE537" s="719" t="str">
        <f ca="1">IFERROR(_xll.TR(MO.Ticker.Thomson,"MAX(TR.Pricehigh)","sdate:#1 edate:#2",,INDEX(MO_SNA_FPStartDate,0,COLUMN()),INDEX(MO_Common_QEndDate,0,COLUMN())),"N/A")</f>
        <v>N/A</v>
      </c>
      <c r="AF537" s="719" t="str">
        <f ca="1">IFERROR(_xll.TR(MO.Ticker.Thomson,"MAX(TR.Pricehigh)","sdate:#1 edate:#2",,INDEX(MO_SNA_FPStartDate,0,COLUMN()),INDEX(MO_Common_QEndDate,0,COLUMN())),"N/A")</f>
        <v>N/A</v>
      </c>
      <c r="AG537" s="719" t="str">
        <f ca="1">IFERROR(_xll.TR(MO.Ticker.Thomson,"MAX(TR.Pricehigh)","sdate:#1 edate:#2",,INDEX(MO_SNA_FPStartDate,0,COLUMN()),INDEX(MO_Common_QEndDate,0,COLUMN())),"N/A")</f>
        <v>N/A</v>
      </c>
      <c r="AH537" s="719" t="str">
        <f ca="1">IFERROR(_xll.TR(MO.Ticker.Thomson,"MAX(TR.Pricehigh)","sdate:#1 edate:#2",,INDEX(MO_SNA_FPStartDate,0,COLUMN()),INDEX(MO_Common_QEndDate,0,COLUMN())),"N/A")</f>
        <v>N/A</v>
      </c>
      <c r="AI537" s="719" t="str">
        <f ca="1">IFERROR(_xll.TR(MO.Ticker.Thomson,"MAX(TR.Pricehigh)","sdate:#1 edate:#2",,INDEX(MO_SNA_FPStartDate,0,COLUMN()),INDEX(MO_Common_QEndDate,0,COLUMN())),"N/A")</f>
        <v>N/A</v>
      </c>
      <c r="AJ537" s="719" t="str">
        <f ca="1">IFERROR(_xll.TR(MO.Ticker.Thomson,"MAX(TR.Pricehigh)","sdate:#1 edate:#2",,INDEX(MO_SNA_FPStartDate,0,COLUMN()),INDEX(MO_Common_QEndDate,0,COLUMN())),"N/A")</f>
        <v>N/A</v>
      </c>
      <c r="AK537" s="719" t="str">
        <f ca="1">IFERROR(_xll.TR(MO.Ticker.Thomson,"MAX(TR.Pricehigh)","sdate:#1 edate:#2",,INDEX(MO_SNA_FPStartDate,0,COLUMN()),INDEX(MO_Common_QEndDate,0,COLUMN())),"N/A")</f>
        <v>N/A</v>
      </c>
      <c r="AL537" s="719" t="str">
        <f ca="1">IFERROR(_xll.TR(MO.Ticker.Thomson,"MAX(TR.Pricehigh)","sdate:#1 edate:#2",,INDEX(MO_SNA_FPStartDate,0,COLUMN()),INDEX(MO_Common_QEndDate,0,COLUMN())),"N/A")</f>
        <v>N/A</v>
      </c>
      <c r="AM537" s="719" t="str">
        <f ca="1">IFERROR(_xll.TR(MO.Ticker.Thomson,"MAX(TR.Pricehigh)","sdate:#1 edate:#2",,INDEX(MO_SNA_FPStartDate,0,COLUMN()),INDEX(MO_Common_QEndDate,0,COLUMN())),"N/A")</f>
        <v>N/A</v>
      </c>
      <c r="AN537" s="719" t="str">
        <f ca="1">IFERROR(_xll.TR(MO.Ticker.Thomson,"MAX(TR.Pricehigh)","sdate:#1 edate:#2",,INDEX(MO_SNA_FPStartDate,0,COLUMN()),INDEX(MO_Common_QEndDate,0,COLUMN())),"N/A")</f>
        <v>N/A</v>
      </c>
      <c r="AO537" s="718" t="str">
        <f ca="1">IFERROR(_xll.TR(MO.Ticker.Thomson,"MAX(TR.Pricehigh)","sdate:#1 edate:#2",,INDEX(MO_SNA_FPStartDate,0,COLUMN()),INDEX(MO_Common_QEndDate,0,COLUMN())),"N/A")</f>
        <v>N/A</v>
      </c>
      <c r="AP537" s="718" t="str">
        <f ca="1">IFERROR(_xll.TR(MO.Ticker.Thomson,"MAX(TR.Pricehigh)","sdate:#1 edate:#2",,INDEX(MO_SNA_FPStartDate,0,COLUMN()),INDEX(MO_Common_QEndDate,0,COLUMN())),"N/A")</f>
        <v>N/A</v>
      </c>
      <c r="AQ537" s="718" t="str">
        <f ca="1">IFERROR(_xll.TR(MO.Ticker.Thomson,"MAX(TR.Pricehigh)","sdate:#1 edate:#2",,INDEX(MO_SNA_FPStartDate,0,COLUMN()),INDEX(MO_Common_QEndDate,0,COLUMN())),"N/A")</f>
        <v>N/A</v>
      </c>
      <c r="AR537" s="721" t="str">
        <f ca="1">IFERROR(_xll.TR(MO.Ticker.Thomson,"MAX(TR.Pricehigh)","sdate:#1 edate:#2",,INDEX(MO_SNA_FPStartDate,0,COLUMN()),INDEX(MO_Common_QEndDate,0,COLUMN())),"N/A")</f>
        <v>N/A</v>
      </c>
      <c r="AS537" s="719"/>
    </row>
    <row r="538" spans="1:45" s="722" customFormat="1" hidden="1" outlineLevel="1" x14ac:dyDescent="0.35">
      <c r="A538" s="726"/>
      <c r="B538" s="718"/>
      <c r="C538" s="718"/>
      <c r="D538" s="718"/>
      <c r="E538" s="718"/>
      <c r="F538" s="718"/>
      <c r="G538" s="718"/>
      <c r="H538" s="718"/>
      <c r="I538" s="718"/>
      <c r="J538" s="718"/>
      <c r="K538" s="718"/>
      <c r="L538" s="718"/>
      <c r="M538" s="718"/>
      <c r="N538" s="718"/>
      <c r="O538" s="718"/>
      <c r="P538" s="718"/>
      <c r="Q538" s="718"/>
      <c r="R538" s="718"/>
      <c r="S538" s="718"/>
      <c r="T538" s="718"/>
      <c r="U538" s="718"/>
      <c r="V538" s="718"/>
      <c r="W538" s="718"/>
      <c r="X538" s="718"/>
      <c r="Y538" s="718"/>
      <c r="Z538" s="720"/>
      <c r="AA538" s="720"/>
      <c r="AB538" s="718"/>
      <c r="AC538" s="718"/>
      <c r="AD538" s="718"/>
      <c r="AE538" s="718"/>
      <c r="AF538" s="718"/>
      <c r="AG538" s="718"/>
      <c r="AH538" s="718"/>
      <c r="AI538" s="718"/>
      <c r="AJ538" s="718"/>
      <c r="AK538" s="718"/>
      <c r="AL538" s="718"/>
      <c r="AM538" s="718"/>
      <c r="AN538" s="718"/>
      <c r="AO538" s="718"/>
      <c r="AP538" s="718"/>
      <c r="AQ538" s="718"/>
      <c r="AR538" s="721"/>
      <c r="AS538" s="719"/>
    </row>
    <row r="539" spans="1:45" s="722" customFormat="1" collapsed="1" x14ac:dyDescent="0.35">
      <c r="A539" s="717" t="e">
        <f>"Stock Low: "&amp;IF(OR(MO.RealTimeStockPriceToggle=FALSE,VLOOKUP(MO.DataSourceName,MO_SPT_StockLow_Sources,COLUMN()+2,FALSE)="N/A"),"Real-Time Off Source",MO.DataSourceName)</f>
        <v>#REF!</v>
      </c>
      <c r="B539" s="718"/>
      <c r="C539" s="719" t="e">
        <f t="shared" ref="C539:R539" si="408">IF(OR(MO.RealTimeStockPriceToggle=FALSE,VLOOKUP(MO.DataSourceName,MO_SPT_StockLow_Sources,COLUMN(),FALSE)="N/A"),VLOOKUP("Real-Time Off Source",MO_SPT_StockLow_Sources,COLUMN(),FALSE),VLOOKUP(MO.DataSourceName,MO_SPT_StockLow_Sources,COLUMN(),FALSE))</f>
        <v>#REF!</v>
      </c>
      <c r="D539" s="719" t="e">
        <f t="shared" si="408"/>
        <v>#REF!</v>
      </c>
      <c r="E539" s="719" t="e">
        <f t="shared" si="408"/>
        <v>#REF!</v>
      </c>
      <c r="F539" s="719" t="e">
        <f t="shared" si="408"/>
        <v>#REF!</v>
      </c>
      <c r="G539" s="719" t="e">
        <f t="shared" si="408"/>
        <v>#REF!</v>
      </c>
      <c r="H539" s="719" t="e">
        <f t="shared" si="408"/>
        <v>#REF!</v>
      </c>
      <c r="I539" s="719" t="e">
        <f t="shared" si="408"/>
        <v>#REF!</v>
      </c>
      <c r="J539" s="719" t="e">
        <f t="shared" si="408"/>
        <v>#REF!</v>
      </c>
      <c r="K539" s="719" t="e">
        <f t="shared" si="408"/>
        <v>#REF!</v>
      </c>
      <c r="L539" s="719" t="e">
        <f t="shared" si="408"/>
        <v>#REF!</v>
      </c>
      <c r="M539" s="719" t="e">
        <f t="shared" si="408"/>
        <v>#REF!</v>
      </c>
      <c r="N539" s="719" t="e">
        <f t="shared" si="408"/>
        <v>#REF!</v>
      </c>
      <c r="O539" s="719" t="e">
        <f t="shared" si="408"/>
        <v>#REF!</v>
      </c>
      <c r="P539" s="718" t="e">
        <f t="shared" si="408"/>
        <v>#REF!</v>
      </c>
      <c r="Q539" s="718" t="e">
        <f t="shared" si="408"/>
        <v>#REF!</v>
      </c>
      <c r="R539" s="718" t="e">
        <f t="shared" si="408"/>
        <v>#REF!</v>
      </c>
      <c r="S539" s="718"/>
      <c r="T539" s="718"/>
      <c r="U539" s="718"/>
      <c r="V539" s="718"/>
      <c r="W539" s="718"/>
      <c r="X539" s="718"/>
      <c r="Y539" s="718"/>
      <c r="Z539" s="720" t="e">
        <f t="shared" ref="Z539:AR539" si="409">IF(OR(MO.RealTimeStockPriceToggle=FALSE,VLOOKUP(MO.DataSourceName,MO_SPT_StockLow_Sources,COLUMN(),FALSE)="N/A"),VLOOKUP("Real-Time Off Source",MO_SPT_StockLow_Sources,COLUMN(),FALSE),VLOOKUP(MO.DataSourceName,MO_SPT_StockLow_Sources,COLUMN(),FALSE))</f>
        <v>#REF!</v>
      </c>
      <c r="AA539" s="720" t="e">
        <f t="shared" si="409"/>
        <v>#REF!</v>
      </c>
      <c r="AB539" s="719" t="e">
        <f t="shared" si="409"/>
        <v>#REF!</v>
      </c>
      <c r="AC539" s="719" t="e">
        <f t="shared" si="409"/>
        <v>#REF!</v>
      </c>
      <c r="AD539" s="719" t="e">
        <f t="shared" si="409"/>
        <v>#REF!</v>
      </c>
      <c r="AE539" s="719" t="e">
        <f t="shared" si="409"/>
        <v>#REF!</v>
      </c>
      <c r="AF539" s="719" t="e">
        <f t="shared" si="409"/>
        <v>#REF!</v>
      </c>
      <c r="AG539" s="719" t="e">
        <f t="shared" si="409"/>
        <v>#REF!</v>
      </c>
      <c r="AH539" s="719" t="e">
        <f t="shared" si="409"/>
        <v>#REF!</v>
      </c>
      <c r="AI539" s="719" t="e">
        <f t="shared" si="409"/>
        <v>#REF!</v>
      </c>
      <c r="AJ539" s="719" t="e">
        <f t="shared" si="409"/>
        <v>#REF!</v>
      </c>
      <c r="AK539" s="719" t="e">
        <f t="shared" si="409"/>
        <v>#REF!</v>
      </c>
      <c r="AL539" s="719" t="e">
        <f t="shared" si="409"/>
        <v>#REF!</v>
      </c>
      <c r="AM539" s="719" t="e">
        <f t="shared" si="409"/>
        <v>#REF!</v>
      </c>
      <c r="AN539" s="719" t="e">
        <f t="shared" si="409"/>
        <v>#REF!</v>
      </c>
      <c r="AO539" s="718" t="e">
        <f t="shared" si="409"/>
        <v>#REF!</v>
      </c>
      <c r="AP539" s="718" t="e">
        <f t="shared" si="409"/>
        <v>#REF!</v>
      </c>
      <c r="AQ539" s="718" t="e">
        <f t="shared" si="409"/>
        <v>#REF!</v>
      </c>
      <c r="AR539" s="721" t="e">
        <f t="shared" si="409"/>
        <v>#REF!</v>
      </c>
      <c r="AS539" s="719"/>
    </row>
    <row r="540" spans="1:45" s="722" customFormat="1" hidden="1" outlineLevel="1" x14ac:dyDescent="0.35">
      <c r="A540" s="723" t="s">
        <v>981</v>
      </c>
      <c r="B540" s="718"/>
      <c r="C540" s="724">
        <v>0</v>
      </c>
      <c r="D540" s="724">
        <v>0</v>
      </c>
      <c r="E540" s="724">
        <v>0</v>
      </c>
      <c r="F540" s="724">
        <v>0</v>
      </c>
      <c r="G540" s="724">
        <v>0</v>
      </c>
      <c r="H540" s="724">
        <v>0</v>
      </c>
      <c r="I540" s="724">
        <v>0</v>
      </c>
      <c r="J540" s="724">
        <v>0</v>
      </c>
      <c r="K540" s="724">
        <v>0</v>
      </c>
      <c r="L540" s="718"/>
      <c r="M540" s="718"/>
      <c r="N540" s="718"/>
      <c r="O540" s="718"/>
      <c r="P540" s="718"/>
      <c r="Q540" s="718"/>
      <c r="R540" s="718"/>
      <c r="S540" s="718"/>
      <c r="T540" s="718"/>
      <c r="U540" s="718"/>
      <c r="V540" s="718"/>
      <c r="W540" s="718"/>
      <c r="X540" s="718"/>
      <c r="Y540" s="718"/>
      <c r="Z540" s="725">
        <v>0</v>
      </c>
      <c r="AA540" s="725">
        <v>0</v>
      </c>
      <c r="AB540" s="724">
        <v>0</v>
      </c>
      <c r="AC540" s="724">
        <v>0</v>
      </c>
      <c r="AD540" s="724">
        <v>0</v>
      </c>
      <c r="AE540" s="724">
        <v>0</v>
      </c>
      <c r="AF540" s="724">
        <v>0</v>
      </c>
      <c r="AG540" s="724">
        <v>0</v>
      </c>
      <c r="AH540" s="724">
        <v>0</v>
      </c>
      <c r="AI540" s="724">
        <v>0</v>
      </c>
      <c r="AJ540" s="724">
        <v>0</v>
      </c>
      <c r="AK540" s="724">
        <v>0</v>
      </c>
      <c r="AL540" s="718"/>
      <c r="AM540" s="718"/>
      <c r="AN540" s="718"/>
      <c r="AO540" s="718"/>
      <c r="AP540" s="718"/>
      <c r="AQ540" s="718"/>
      <c r="AR540" s="721"/>
      <c r="AS540" s="719"/>
    </row>
    <row r="541" spans="1:45" s="722" customFormat="1" hidden="1" outlineLevel="1" x14ac:dyDescent="0.35">
      <c r="A541" s="723" t="s">
        <v>982</v>
      </c>
      <c r="B541" s="718"/>
      <c r="C541" s="719" t="str">
        <f ca="1">IFERROR(BDP(MO.Ticker.Bloomberg&amp;" Equity","INTERVAL_LOW","MARKET_DATA_OVERRIDE=PX_LAST","START_DATE_OVERRIDE",TEXT(INDEX(MO_SNA_FPStartDate,0,COLUMN()),"YYYYMMDD"),"END_DATE_OVERRIDE",TEXT(INDEX(MO_Common_QEndDate,0,COLUMN()),"YYYYMMDD")),"N/A")</f>
        <v>N/A</v>
      </c>
      <c r="D541" s="719" t="str">
        <f ca="1">IFERROR(BDP(MO.Ticker.Bloomberg&amp;" Equity","INTERVAL_LOW","MARKET_DATA_OVERRIDE=PX_LAST","START_DATE_OVERRIDE",TEXT(INDEX(MO_SNA_FPStartDate,0,COLUMN()),"YYYYMMDD"),"END_DATE_OVERRIDE",TEXT(INDEX(MO_Common_QEndDate,0,COLUMN()),"YYYYMMDD")),"N/A")</f>
        <v>N/A</v>
      </c>
      <c r="E541" s="719" t="str">
        <f ca="1">IFERROR(BDP(MO.Ticker.Bloomberg&amp;" Equity","INTERVAL_LOW","MARKET_DATA_OVERRIDE=PX_LAST","START_DATE_OVERRIDE",TEXT(INDEX(MO_SNA_FPStartDate,0,COLUMN()),"YYYYMMDD"),"END_DATE_OVERRIDE",TEXT(INDEX(MO_Common_QEndDate,0,COLUMN()),"YYYYMMDD")),"N/A")</f>
        <v>N/A</v>
      </c>
      <c r="F541" s="719" t="str">
        <f ca="1">IFERROR(BDP(MO.Ticker.Bloomberg&amp;" Equity","INTERVAL_LOW","MARKET_DATA_OVERRIDE=PX_LAST","START_DATE_OVERRIDE",TEXT(INDEX(MO_SNA_FPStartDate,0,COLUMN()),"YYYYMMDD"),"END_DATE_OVERRIDE",TEXT(INDEX(MO_Common_QEndDate,0,COLUMN()),"YYYYMMDD")),"N/A")</f>
        <v>N/A</v>
      </c>
      <c r="G541" s="719" t="str">
        <f ca="1">IFERROR(BDP(MO.Ticker.Bloomberg&amp;" Equity","INTERVAL_LOW","MARKET_DATA_OVERRIDE=PX_LAST","START_DATE_OVERRIDE",TEXT(INDEX(MO_SNA_FPStartDate,0,COLUMN()),"YYYYMMDD"),"END_DATE_OVERRIDE",TEXT(INDEX(MO_Common_QEndDate,0,COLUMN()),"YYYYMMDD")),"N/A")</f>
        <v>N/A</v>
      </c>
      <c r="H541" s="719" t="str">
        <f ca="1">IFERROR(BDP(MO.Ticker.Bloomberg&amp;" Equity","INTERVAL_LOW","MARKET_DATA_OVERRIDE=PX_LAST","START_DATE_OVERRIDE",TEXT(INDEX(MO_SNA_FPStartDate,0,COLUMN()),"YYYYMMDD"),"END_DATE_OVERRIDE",TEXT(INDEX(MO_Common_QEndDate,0,COLUMN()),"YYYYMMDD")),"N/A")</f>
        <v>N/A</v>
      </c>
      <c r="I541" s="719" t="str">
        <f ca="1">IFERROR(BDP(MO.Ticker.Bloomberg&amp;" Equity","INTERVAL_LOW","MARKET_DATA_OVERRIDE=PX_LAST","START_DATE_OVERRIDE",TEXT(INDEX(MO_SNA_FPStartDate,0,COLUMN()),"YYYYMMDD"),"END_DATE_OVERRIDE",TEXT(INDEX(MO_Common_QEndDate,0,COLUMN()),"YYYYMMDD")),"N/A")</f>
        <v>N/A</v>
      </c>
      <c r="J541" s="719" t="str">
        <f ca="1">IFERROR(BDP(MO.Ticker.Bloomberg&amp;" Equity","INTERVAL_LOW","MARKET_DATA_OVERRIDE=PX_LAST","START_DATE_OVERRIDE",TEXT(INDEX(MO_SNA_FPStartDate,0,COLUMN()),"YYYYMMDD"),"END_DATE_OVERRIDE",TEXT(INDEX(MO_Common_QEndDate,0,COLUMN()),"YYYYMMDD")),"N/A")</f>
        <v>N/A</v>
      </c>
      <c r="K541" s="719" t="str">
        <f ca="1">IFERROR(BDP(MO.Ticker.Bloomberg&amp;" Equity","INTERVAL_LOW","MARKET_DATA_OVERRIDE=PX_LAST","START_DATE_OVERRIDE",TEXT(INDEX(MO_SNA_FPStartDate,0,COLUMN()),"YYYYMMDD"),"END_DATE_OVERRIDE",TEXT(INDEX(MO_Common_QEndDate,0,COLUMN()),"YYYYMMDD")),"N/A")</f>
        <v>N/A</v>
      </c>
      <c r="L541" s="719" t="str">
        <f ca="1">IFERROR(BDP(MO.Ticker.Bloomberg&amp;" Equity","INTERVAL_LOW","MARKET_DATA_OVERRIDE=PX_LAST","START_DATE_OVERRIDE",TEXT(INDEX(MO_SNA_FPStartDate,0,COLUMN()),"YYYYMMDD"),"END_DATE_OVERRIDE",TEXT(INDEX(MO_Common_QEndDate,0,COLUMN()),"YYYYMMDD")),"N/A")</f>
        <v>N/A</v>
      </c>
      <c r="M541" s="719" t="str">
        <f ca="1">IFERROR(BDP(MO.Ticker.Bloomberg&amp;" Equity","INTERVAL_LOW","MARKET_DATA_OVERRIDE=PX_LAST","START_DATE_OVERRIDE",TEXT(INDEX(MO_SNA_FPStartDate,0,COLUMN()),"YYYYMMDD"),"END_DATE_OVERRIDE",TEXT(INDEX(MO_Common_QEndDate,0,COLUMN()),"YYYYMMDD")),"N/A")</f>
        <v>N/A</v>
      </c>
      <c r="N541" s="719" t="str">
        <f ca="1">IFERROR(BDP(MO.Ticker.Bloomberg&amp;" Equity","INTERVAL_LOW","MARKET_DATA_OVERRIDE=PX_LAST","START_DATE_OVERRIDE",TEXT(INDEX(MO_SNA_FPStartDate,0,COLUMN()),"YYYYMMDD"),"END_DATE_OVERRIDE",TEXT(INDEX(MO_Common_QEndDate,0,COLUMN()),"YYYYMMDD")),"N/A")</f>
        <v>N/A</v>
      </c>
      <c r="O541" s="719" t="str">
        <f ca="1">IFERROR(BDP(MO.Ticker.Bloomberg&amp;" Equity","INTERVAL_LOW","MARKET_DATA_OVERRIDE=PX_LAST","START_DATE_OVERRIDE",TEXT(INDEX(MO_SNA_FPStartDate,0,COLUMN()),"YYYYMMDD"),"END_DATE_OVERRIDE",TEXT(INDEX(MO_Common_QEndDate,0,COLUMN()),"YYYYMMDD")),"N/A")</f>
        <v>N/A</v>
      </c>
      <c r="P541" s="718" t="str">
        <f ca="1">IFERROR(BDP(MO.Ticker.Bloomberg&amp;" Equity","INTERVAL_LOW","MARKET_DATA_OVERRIDE=PX_LAST","START_DATE_OVERRIDE",TEXT(INDEX(MO_SNA_FPStartDate,0,COLUMN()),"YYYYMMDD"),"END_DATE_OVERRIDE",TEXT(INDEX(MO_Common_QEndDate,0,COLUMN()),"YYYYMMDD")),"N/A")</f>
        <v>N/A</v>
      </c>
      <c r="Q541" s="718" t="str">
        <f ca="1">IFERROR(BDP(MO.Ticker.Bloomberg&amp;" Equity","INTERVAL_LOW","MARKET_DATA_OVERRIDE=PX_LAST","START_DATE_OVERRIDE",TEXT(INDEX(MO_SNA_FPStartDate,0,COLUMN()),"YYYYMMDD"),"END_DATE_OVERRIDE",TEXT(INDEX(MO_Common_QEndDate,0,COLUMN()),"YYYYMMDD")),"N/A")</f>
        <v>N/A</v>
      </c>
      <c r="R541" s="718" t="str">
        <f ca="1">IFERROR(BDP(MO.Ticker.Bloomberg&amp;" Equity","INTERVAL_LOW","MARKET_DATA_OVERRIDE=PX_LAST","START_DATE_OVERRIDE",TEXT(INDEX(MO_SNA_FPStartDate,0,COLUMN()),"YYYYMMDD"),"END_DATE_OVERRIDE",TEXT(INDEX(MO_Common_QEndDate,0,COLUMN()),"YYYYMMDD")),"N/A")</f>
        <v>N/A</v>
      </c>
      <c r="S541" s="718"/>
      <c r="T541" s="718"/>
      <c r="U541" s="718"/>
      <c r="V541" s="718"/>
      <c r="W541" s="718"/>
      <c r="X541" s="718"/>
      <c r="Y541" s="718"/>
      <c r="Z541" s="720" t="str">
        <f ca="1">IFERROR(BDP(MO.Ticker.Bloomberg&amp;" Equity","INTERVAL_LOW","MARKET_DATA_OVERRIDE=PX_LAST","START_DATE_OVERRIDE",TEXT(INDEX(MO_SNA_FPStartDate,0,COLUMN()),"YYYYMMDD"),"END_DATE_OVERRIDE",TEXT(INDEX(MO_Common_QEndDate,0,COLUMN()),"YYYYMMDD")),"N/A")</f>
        <v>N/A</v>
      </c>
      <c r="AA541" s="720" t="str">
        <f ca="1">IFERROR(BDP(MO.Ticker.Bloomberg&amp;" Equity","INTERVAL_LOW","MARKET_DATA_OVERRIDE=PX_LAST","START_DATE_OVERRIDE",TEXT(INDEX(MO_SNA_FPStartDate,0,COLUMN()),"YYYYMMDD"),"END_DATE_OVERRIDE",TEXT(INDEX(MO_Common_QEndDate,0,COLUMN()),"YYYYMMDD")),"N/A")</f>
        <v>N/A</v>
      </c>
      <c r="AB541" s="719" t="str">
        <f ca="1">IFERROR(BDP(MO.Ticker.Bloomberg&amp;" Equity","INTERVAL_LOW","MARKET_DATA_OVERRIDE=PX_LAST","START_DATE_OVERRIDE",TEXT(INDEX(MO_SNA_FPStartDate,0,COLUMN()),"YYYYMMDD"),"END_DATE_OVERRIDE",TEXT(INDEX(MO_Common_QEndDate,0,COLUMN()),"YYYYMMDD")),"N/A")</f>
        <v>N/A</v>
      </c>
      <c r="AC541" s="719" t="str">
        <f ca="1">IFERROR(BDP(MO.Ticker.Bloomberg&amp;" Equity","INTERVAL_LOW","MARKET_DATA_OVERRIDE=PX_LAST","START_DATE_OVERRIDE",TEXT(INDEX(MO_SNA_FPStartDate,0,COLUMN()),"YYYYMMDD"),"END_DATE_OVERRIDE",TEXT(INDEX(MO_Common_QEndDate,0,COLUMN()),"YYYYMMDD")),"N/A")</f>
        <v>N/A</v>
      </c>
      <c r="AD541" s="719" t="str">
        <f ca="1">IFERROR(BDP(MO.Ticker.Bloomberg&amp;" Equity","INTERVAL_LOW","MARKET_DATA_OVERRIDE=PX_LAST","START_DATE_OVERRIDE",TEXT(INDEX(MO_SNA_FPStartDate,0,COLUMN()),"YYYYMMDD"),"END_DATE_OVERRIDE",TEXT(INDEX(MO_Common_QEndDate,0,COLUMN()),"YYYYMMDD")),"N/A")</f>
        <v>N/A</v>
      </c>
      <c r="AE541" s="719" t="str">
        <f ca="1">IFERROR(BDP(MO.Ticker.Bloomberg&amp;" Equity","INTERVAL_LOW","MARKET_DATA_OVERRIDE=PX_LAST","START_DATE_OVERRIDE",TEXT(INDEX(MO_SNA_FPStartDate,0,COLUMN()),"YYYYMMDD"),"END_DATE_OVERRIDE",TEXT(INDEX(MO_Common_QEndDate,0,COLUMN()),"YYYYMMDD")),"N/A")</f>
        <v>N/A</v>
      </c>
      <c r="AF541" s="719" t="str">
        <f ca="1">IFERROR(BDP(MO.Ticker.Bloomberg&amp;" Equity","INTERVAL_LOW","MARKET_DATA_OVERRIDE=PX_LAST","START_DATE_OVERRIDE",TEXT(INDEX(MO_SNA_FPStartDate,0,COLUMN()),"YYYYMMDD"),"END_DATE_OVERRIDE",TEXT(INDEX(MO_Common_QEndDate,0,COLUMN()),"YYYYMMDD")),"N/A")</f>
        <v>N/A</v>
      </c>
      <c r="AG541" s="719" t="str">
        <f ca="1">IFERROR(BDP(MO.Ticker.Bloomberg&amp;" Equity","INTERVAL_LOW","MARKET_DATA_OVERRIDE=PX_LAST","START_DATE_OVERRIDE",TEXT(INDEX(MO_SNA_FPStartDate,0,COLUMN()),"YYYYMMDD"),"END_DATE_OVERRIDE",TEXT(INDEX(MO_Common_QEndDate,0,COLUMN()),"YYYYMMDD")),"N/A")</f>
        <v>N/A</v>
      </c>
      <c r="AH541" s="719" t="str">
        <f ca="1">IFERROR(BDP(MO.Ticker.Bloomberg&amp;" Equity","INTERVAL_LOW","MARKET_DATA_OVERRIDE=PX_LAST","START_DATE_OVERRIDE",TEXT(INDEX(MO_SNA_FPStartDate,0,COLUMN()),"YYYYMMDD"),"END_DATE_OVERRIDE",TEXT(INDEX(MO_Common_QEndDate,0,COLUMN()),"YYYYMMDD")),"N/A")</f>
        <v>N/A</v>
      </c>
      <c r="AI541" s="719" t="str">
        <f ca="1">IFERROR(BDP(MO.Ticker.Bloomberg&amp;" Equity","INTERVAL_LOW","MARKET_DATA_OVERRIDE=PX_LAST","START_DATE_OVERRIDE",TEXT(INDEX(MO_SNA_FPStartDate,0,COLUMN()),"YYYYMMDD"),"END_DATE_OVERRIDE",TEXT(INDEX(MO_Common_QEndDate,0,COLUMN()),"YYYYMMDD")),"N/A")</f>
        <v>N/A</v>
      </c>
      <c r="AJ541" s="719" t="str">
        <f ca="1">IFERROR(BDP(MO.Ticker.Bloomberg&amp;" Equity","INTERVAL_LOW","MARKET_DATA_OVERRIDE=PX_LAST","START_DATE_OVERRIDE",TEXT(INDEX(MO_SNA_FPStartDate,0,COLUMN()),"YYYYMMDD"),"END_DATE_OVERRIDE",TEXT(INDEX(MO_Common_QEndDate,0,COLUMN()),"YYYYMMDD")),"N/A")</f>
        <v>N/A</v>
      </c>
      <c r="AK541" s="719" t="str">
        <f ca="1">IFERROR(BDP(MO.Ticker.Bloomberg&amp;" Equity","INTERVAL_LOW","MARKET_DATA_OVERRIDE=PX_LAST","START_DATE_OVERRIDE",TEXT(INDEX(MO_SNA_FPStartDate,0,COLUMN()),"YYYYMMDD"),"END_DATE_OVERRIDE",TEXT(INDEX(MO_Common_QEndDate,0,COLUMN()),"YYYYMMDD")),"N/A")</f>
        <v>N/A</v>
      </c>
      <c r="AL541" s="719" t="str">
        <f ca="1">IFERROR(BDP(MO.Ticker.Bloomberg&amp;" Equity","INTERVAL_LOW","MARKET_DATA_OVERRIDE=PX_LAST","START_DATE_OVERRIDE",TEXT(INDEX(MO_SNA_FPStartDate,0,COLUMN()),"YYYYMMDD"),"END_DATE_OVERRIDE",TEXT(INDEX(MO_Common_QEndDate,0,COLUMN()),"YYYYMMDD")),"N/A")</f>
        <v>N/A</v>
      </c>
      <c r="AM541" s="719" t="str">
        <f ca="1">IFERROR(BDP(MO.Ticker.Bloomberg&amp;" Equity","INTERVAL_LOW","MARKET_DATA_OVERRIDE=PX_LAST","START_DATE_OVERRIDE",TEXT(INDEX(MO_SNA_FPStartDate,0,COLUMN()),"YYYYMMDD"),"END_DATE_OVERRIDE",TEXT(INDEX(MO_Common_QEndDate,0,COLUMN()),"YYYYMMDD")),"N/A")</f>
        <v>N/A</v>
      </c>
      <c r="AN541" s="719" t="str">
        <f ca="1">IFERROR(BDP(MO.Ticker.Bloomberg&amp;" Equity","INTERVAL_LOW","MARKET_DATA_OVERRIDE=PX_LAST","START_DATE_OVERRIDE",TEXT(INDEX(MO_SNA_FPStartDate,0,COLUMN()),"YYYYMMDD"),"END_DATE_OVERRIDE",TEXT(INDEX(MO_Common_QEndDate,0,COLUMN()),"YYYYMMDD")),"N/A")</f>
        <v>N/A</v>
      </c>
      <c r="AO541" s="718" t="str">
        <f ca="1">IFERROR(BDP(MO.Ticker.Bloomberg&amp;" Equity","INTERVAL_LOW","MARKET_DATA_OVERRIDE=PX_LAST","START_DATE_OVERRIDE",TEXT(INDEX(MO_SNA_FPStartDate,0,COLUMN()),"YYYYMMDD"),"END_DATE_OVERRIDE",TEXT(INDEX(MO_Common_QEndDate,0,COLUMN()),"YYYYMMDD")),"N/A")</f>
        <v>N/A</v>
      </c>
      <c r="AP541" s="718" t="str">
        <f ca="1">IFERROR(BDP(MO.Ticker.Bloomberg&amp;" Equity","INTERVAL_LOW","MARKET_DATA_OVERRIDE=PX_LAST","START_DATE_OVERRIDE",TEXT(INDEX(MO_SNA_FPStartDate,0,COLUMN()),"YYYYMMDD"),"END_DATE_OVERRIDE",TEXT(INDEX(MO_Common_QEndDate,0,COLUMN()),"YYYYMMDD")),"N/A")</f>
        <v>N/A</v>
      </c>
      <c r="AQ541" s="718" t="str">
        <f ca="1">IFERROR(BDP(MO.Ticker.Bloomberg&amp;" Equity","INTERVAL_LOW","MARKET_DATA_OVERRIDE=PX_LAST","START_DATE_OVERRIDE",TEXT(INDEX(MO_SNA_FPStartDate,0,COLUMN()),"YYYYMMDD"),"END_DATE_OVERRIDE",TEXT(INDEX(MO_Common_QEndDate,0,COLUMN()),"YYYYMMDD")),"N/A")</f>
        <v>N/A</v>
      </c>
      <c r="AR541" s="721" t="str">
        <f ca="1">IFERROR(BDP(MO.Ticker.Bloomberg&amp;" Equity","INTERVAL_LOW","MARKET_DATA_OVERRIDE=PX_LAST","START_DATE_OVERRIDE",TEXT(INDEX(MO_SNA_FPStartDate,0,COLUMN()),"YYYYMMDD"),"END_DATE_OVERRIDE",TEXT(INDEX(MO_Common_QEndDate,0,COLUMN()),"YYYYMMDD")),"N/A")</f>
        <v>N/A</v>
      </c>
      <c r="AS541" s="719"/>
    </row>
    <row r="542" spans="1:45" s="722" customFormat="1" hidden="1" outlineLevel="1" x14ac:dyDescent="0.35">
      <c r="A542" s="723" t="s">
        <v>983</v>
      </c>
      <c r="B542" s="718"/>
      <c r="C542" s="719" t="str">
        <f>IFERROR(_xll.ciqfunctions.udf.CIQLO(MO.Ticker.CapIQ,"IQ_LASTSALEPRICE",INDEX(MO_SNA_FPStartDate,0,COLUMN()),INDEX(MO_Common_QEndDate,0,COLUMN())),"N/A")</f>
        <v>(Invalid Identifier)</v>
      </c>
      <c r="D542" s="719" t="str">
        <f>IFERROR(_xll.ciqfunctions.udf.CIQLO(MO.Ticker.CapIQ,"IQ_LASTSALEPRICE",INDEX(MO_SNA_FPStartDate,0,COLUMN()),INDEX(MO_Common_QEndDate,0,COLUMN())),"N/A")</f>
        <v>(Invalid Identifier)</v>
      </c>
      <c r="E542" s="719" t="str">
        <f>IFERROR(_xll.ciqfunctions.udf.CIQLO(MO.Ticker.CapIQ,"IQ_LASTSALEPRICE",INDEX(MO_SNA_FPStartDate,0,COLUMN()),INDEX(MO_Common_QEndDate,0,COLUMN())),"N/A")</f>
        <v>(Invalid Identifier)</v>
      </c>
      <c r="F542" s="719" t="str">
        <f>IFERROR(_xll.ciqfunctions.udf.CIQLO(MO.Ticker.CapIQ,"IQ_LASTSALEPRICE",INDEX(MO_SNA_FPStartDate,0,COLUMN()),INDEX(MO_Common_QEndDate,0,COLUMN())),"N/A")</f>
        <v>(Invalid Identifier)</v>
      </c>
      <c r="G542" s="719" t="str">
        <f>IFERROR(_xll.ciqfunctions.udf.CIQLO(MO.Ticker.CapIQ,"IQ_LASTSALEPRICE",INDEX(MO_SNA_FPStartDate,0,COLUMN()),INDEX(MO_Common_QEndDate,0,COLUMN())),"N/A")</f>
        <v>(Invalid Identifier)</v>
      </c>
      <c r="H542" s="719" t="str">
        <f>IFERROR(_xll.ciqfunctions.udf.CIQLO(MO.Ticker.CapIQ,"IQ_LASTSALEPRICE",INDEX(MO_SNA_FPStartDate,0,COLUMN()),INDEX(MO_Common_QEndDate,0,COLUMN())),"N/A")</f>
        <v>(Invalid Identifier)</v>
      </c>
      <c r="I542" s="719" t="str">
        <f>IFERROR(_xll.ciqfunctions.udf.CIQLO(MO.Ticker.CapIQ,"IQ_LASTSALEPRICE",INDEX(MO_SNA_FPStartDate,0,COLUMN()),INDEX(MO_Common_QEndDate,0,COLUMN())),"N/A")</f>
        <v>(Invalid Identifier)</v>
      </c>
      <c r="J542" s="719" t="str">
        <f>IFERROR(_xll.ciqfunctions.udf.CIQLO(MO.Ticker.CapIQ,"IQ_LASTSALEPRICE",INDEX(MO_SNA_FPStartDate,0,COLUMN()),INDEX(MO_Common_QEndDate,0,COLUMN())),"N/A")</f>
        <v>(Invalid Identifier)</v>
      </c>
      <c r="K542" s="719" t="str">
        <f>IFERROR(_xll.ciqfunctions.udf.CIQLO(MO.Ticker.CapIQ,"IQ_LASTSALEPRICE",INDEX(MO_SNA_FPStartDate,0,COLUMN()),INDEX(MO_Common_QEndDate,0,COLUMN())),"N/A")</f>
        <v>(Invalid Identifier)</v>
      </c>
      <c r="L542" s="719" t="str">
        <f>IFERROR(_xll.ciqfunctions.udf.CIQLO(MO.Ticker.CapIQ,"IQ_LASTSALEPRICE",INDEX(MO_SNA_FPStartDate,0,COLUMN()),INDEX(MO_Common_QEndDate,0,COLUMN())),"N/A")</f>
        <v>(Invalid Identifier)</v>
      </c>
      <c r="M542" s="719" t="str">
        <f>IFERROR(_xll.ciqfunctions.udf.CIQLO(MO.Ticker.CapIQ,"IQ_LASTSALEPRICE",INDEX(MO_SNA_FPStartDate,0,COLUMN()),INDEX(MO_Common_QEndDate,0,COLUMN())),"N/A")</f>
        <v>(Invalid Identifier)</v>
      </c>
      <c r="N542" s="719" t="str">
        <f>IFERROR(_xll.ciqfunctions.udf.CIQLO(MO.Ticker.CapIQ,"IQ_LASTSALEPRICE",INDEX(MO_SNA_FPStartDate,0,COLUMN()),INDEX(MO_Common_QEndDate,0,COLUMN())),"N/A")</f>
        <v>(Invalid Identifier)</v>
      </c>
      <c r="O542" s="719" t="str">
        <f>IFERROR(_xll.ciqfunctions.udf.CIQLO(MO.Ticker.CapIQ,"IQ_LASTSALEPRICE",INDEX(MO_SNA_FPStartDate,0,COLUMN()),INDEX(MO_Common_QEndDate,0,COLUMN())),"N/A")</f>
        <v>(Invalid Identifier)</v>
      </c>
      <c r="P542" s="718" t="str">
        <f>IFERROR(_xll.ciqfunctions.udf.CIQLO(MO.Ticker.CapIQ,"IQ_LASTSALEPRICE",INDEX(MO_SNA_FPStartDate,0,COLUMN()),INDEX(MO_Common_QEndDate,0,COLUMN())),"N/A")</f>
        <v>(Invalid Identifier)</v>
      </c>
      <c r="Q542" s="718" t="str">
        <f>IFERROR(_xll.ciqfunctions.udf.CIQLO(MO.Ticker.CapIQ,"IQ_LASTSALEPRICE",INDEX(MO_SNA_FPStartDate,0,COLUMN()),INDEX(MO_Common_QEndDate,0,COLUMN())),"N/A")</f>
        <v>(Invalid Identifier)</v>
      </c>
      <c r="R542" s="718" t="str">
        <f>IFERROR(_xll.ciqfunctions.udf.CIQLO(MO.Ticker.CapIQ,"IQ_LASTSALEPRICE",INDEX(MO_SNA_FPStartDate,0,COLUMN()),INDEX(MO_Common_QEndDate,0,COLUMN())),"N/A")</f>
        <v>(Invalid Identifier)</v>
      </c>
      <c r="S542" s="718"/>
      <c r="T542" s="718"/>
      <c r="U542" s="718"/>
      <c r="V542" s="718"/>
      <c r="W542" s="718"/>
      <c r="X542" s="718"/>
      <c r="Y542" s="718"/>
      <c r="Z542" s="720" t="str">
        <f>IFERROR(_xll.ciqfunctions.udf.CIQLO(MO.Ticker.CapIQ,"IQ_LASTSALEPRICE",INDEX(MO_SNA_FPStartDate,0,COLUMN()),INDEX(MO_Common_QEndDate,0,COLUMN())),"N/A")</f>
        <v>(Invalid Identifier)</v>
      </c>
      <c r="AA542" s="720" t="str">
        <f>IFERROR(_xll.ciqfunctions.udf.CIQLO(MO.Ticker.CapIQ,"IQ_LASTSALEPRICE",INDEX(MO_SNA_FPStartDate,0,COLUMN()),INDEX(MO_Common_QEndDate,0,COLUMN())),"N/A")</f>
        <v>(Invalid Identifier)</v>
      </c>
      <c r="AB542" s="719" t="str">
        <f>IFERROR(_xll.ciqfunctions.udf.CIQLO(MO.Ticker.CapIQ,"IQ_LASTSALEPRICE",INDEX(MO_SNA_FPStartDate,0,COLUMN()),INDEX(MO_Common_QEndDate,0,COLUMN())),"N/A")</f>
        <v>(Invalid Identifier)</v>
      </c>
      <c r="AC542" s="719" t="str">
        <f>IFERROR(_xll.ciqfunctions.udf.CIQLO(MO.Ticker.CapIQ,"IQ_LASTSALEPRICE",INDEX(MO_SNA_FPStartDate,0,COLUMN()),INDEX(MO_Common_QEndDate,0,COLUMN())),"N/A")</f>
        <v>(Invalid Identifier)</v>
      </c>
      <c r="AD542" s="719" t="str">
        <f>IFERROR(_xll.ciqfunctions.udf.CIQLO(MO.Ticker.CapIQ,"IQ_LASTSALEPRICE",INDEX(MO_SNA_FPStartDate,0,COLUMN()),INDEX(MO_Common_QEndDate,0,COLUMN())),"N/A")</f>
        <v>(Invalid Identifier)</v>
      </c>
      <c r="AE542" s="719" t="str">
        <f>IFERROR(_xll.ciqfunctions.udf.CIQLO(MO.Ticker.CapIQ,"IQ_LASTSALEPRICE",INDEX(MO_SNA_FPStartDate,0,COLUMN()),INDEX(MO_Common_QEndDate,0,COLUMN())),"N/A")</f>
        <v>(Invalid Identifier)</v>
      </c>
      <c r="AF542" s="719" t="str">
        <f>IFERROR(_xll.ciqfunctions.udf.CIQLO(MO.Ticker.CapIQ,"IQ_LASTSALEPRICE",INDEX(MO_SNA_FPStartDate,0,COLUMN()),INDEX(MO_Common_QEndDate,0,COLUMN())),"N/A")</f>
        <v>(Invalid Identifier)</v>
      </c>
      <c r="AG542" s="719" t="str">
        <f>IFERROR(_xll.ciqfunctions.udf.CIQLO(MO.Ticker.CapIQ,"IQ_LASTSALEPRICE",INDEX(MO_SNA_FPStartDate,0,COLUMN()),INDEX(MO_Common_QEndDate,0,COLUMN())),"N/A")</f>
        <v>(Invalid Identifier)</v>
      </c>
      <c r="AH542" s="719" t="str">
        <f>IFERROR(_xll.ciqfunctions.udf.CIQLO(MO.Ticker.CapIQ,"IQ_LASTSALEPRICE",INDEX(MO_SNA_FPStartDate,0,COLUMN()),INDEX(MO_Common_QEndDate,0,COLUMN())),"N/A")</f>
        <v>(Invalid Identifier)</v>
      </c>
      <c r="AI542" s="719" t="str">
        <f>IFERROR(_xll.ciqfunctions.udf.CIQLO(MO.Ticker.CapIQ,"IQ_LASTSALEPRICE",INDEX(MO_SNA_FPStartDate,0,COLUMN()),INDEX(MO_Common_QEndDate,0,COLUMN())),"N/A")</f>
        <v>(Invalid Identifier)</v>
      </c>
      <c r="AJ542" s="719" t="str">
        <f>IFERROR(_xll.ciqfunctions.udf.CIQLO(MO.Ticker.CapIQ,"IQ_LASTSALEPRICE",INDEX(MO_SNA_FPStartDate,0,COLUMN()),INDEX(MO_Common_QEndDate,0,COLUMN())),"N/A")</f>
        <v>(Invalid Identifier)</v>
      </c>
      <c r="AK542" s="719" t="str">
        <f>IFERROR(_xll.ciqfunctions.udf.CIQLO(MO.Ticker.CapIQ,"IQ_LASTSALEPRICE",INDEX(MO_SNA_FPStartDate,0,COLUMN()),INDEX(MO_Common_QEndDate,0,COLUMN())),"N/A")</f>
        <v>(Invalid Identifier)</v>
      </c>
      <c r="AL542" s="719" t="str">
        <f>IFERROR(_xll.ciqfunctions.udf.CIQLO(MO.Ticker.CapIQ,"IQ_LASTSALEPRICE",INDEX(MO_SNA_FPStartDate,0,COLUMN()),INDEX(MO_Common_QEndDate,0,COLUMN())),"N/A")</f>
        <v>(Invalid Identifier)</v>
      </c>
      <c r="AM542" s="719" t="str">
        <f>IFERROR(_xll.ciqfunctions.udf.CIQLO(MO.Ticker.CapIQ,"IQ_LASTSALEPRICE",INDEX(MO_SNA_FPStartDate,0,COLUMN()),INDEX(MO_Common_QEndDate,0,COLUMN())),"N/A")</f>
        <v>(Invalid Identifier)</v>
      </c>
      <c r="AN542" s="719" t="str">
        <f>IFERROR(_xll.ciqfunctions.udf.CIQLO(MO.Ticker.CapIQ,"IQ_LASTSALEPRICE",INDEX(MO_SNA_FPStartDate,0,COLUMN()),INDEX(MO_Common_QEndDate,0,COLUMN())),"N/A")</f>
        <v>(Invalid Identifier)</v>
      </c>
      <c r="AO542" s="718" t="str">
        <f>IFERROR(_xll.ciqfunctions.udf.CIQLO(MO.Ticker.CapIQ,"IQ_LASTSALEPRICE",INDEX(MO_SNA_FPStartDate,0,COLUMN()),INDEX(MO_Common_QEndDate,0,COLUMN())),"N/A")</f>
        <v>(Invalid Identifier)</v>
      </c>
      <c r="AP542" s="718" t="str">
        <f>IFERROR(_xll.ciqfunctions.udf.CIQLO(MO.Ticker.CapIQ,"IQ_LASTSALEPRICE",INDEX(MO_SNA_FPStartDate,0,COLUMN()),INDEX(MO_Common_QEndDate,0,COLUMN())),"N/A")</f>
        <v>(Invalid Identifier)</v>
      </c>
      <c r="AQ542" s="718" t="str">
        <f>IFERROR(_xll.ciqfunctions.udf.CIQLO(MO.Ticker.CapIQ,"IQ_LASTSALEPRICE",INDEX(MO_SNA_FPStartDate,0,COLUMN()),INDEX(MO_Common_QEndDate,0,COLUMN())),"N/A")</f>
        <v>(Invalid Identifier)</v>
      </c>
      <c r="AR542" s="721" t="str">
        <f>IFERROR(_xll.ciqfunctions.udf.CIQLO(MO.Ticker.CapIQ,"IQ_LASTSALEPRICE",INDEX(MO_SNA_FPStartDate,0,COLUMN()),INDEX(MO_Common_QEndDate,0,COLUMN())),"N/A")</f>
        <v>(Invalid Identifier)</v>
      </c>
      <c r="AS542" s="719"/>
    </row>
    <row r="543" spans="1:45" s="722" customFormat="1" hidden="1" outlineLevel="1" x14ac:dyDescent="0.35">
      <c r="A543" s="723" t="s">
        <v>984</v>
      </c>
      <c r="B543" s="718"/>
      <c r="C543" s="719" t="str">
        <f ca="1">IFERROR(FDS(MO.Ticker.FactSet,"P_PRICE_LOW"&amp;"("&amp;INDEX(MO_SNA_FPStartDate,0,COLUMN())&amp;","&amp;INDEX(MO_Common_QEndDate,0,COLUMN())&amp;",,,,""PRICE"",""CLOSE"")"),"N/A")</f>
        <v>N/A</v>
      </c>
      <c r="D543" s="719" t="str">
        <f ca="1">IFERROR(FDS(MO.Ticker.FactSet,"P_PRICE_LOW"&amp;"("&amp;INDEX(MO_SNA_FPStartDate,0,COLUMN())&amp;","&amp;INDEX(MO_Common_QEndDate,0,COLUMN())&amp;",,,,""PRICE"",""CLOSE"")"),"N/A")</f>
        <v>N/A</v>
      </c>
      <c r="E543" s="719" t="str">
        <f ca="1">IFERROR(FDS(MO.Ticker.FactSet,"P_PRICE_LOW"&amp;"("&amp;INDEX(MO_SNA_FPStartDate,0,COLUMN())&amp;","&amp;INDEX(MO_Common_QEndDate,0,COLUMN())&amp;",,,,""PRICE"",""CLOSE"")"),"N/A")</f>
        <v>N/A</v>
      </c>
      <c r="F543" s="719" t="str">
        <f ca="1">IFERROR(FDS(MO.Ticker.FactSet,"P_PRICE_LOW"&amp;"("&amp;INDEX(MO_SNA_FPStartDate,0,COLUMN())&amp;","&amp;INDEX(MO_Common_QEndDate,0,COLUMN())&amp;",,,,""PRICE"",""CLOSE"")"),"N/A")</f>
        <v>N/A</v>
      </c>
      <c r="G543" s="719" t="str">
        <f ca="1">IFERROR(FDS(MO.Ticker.FactSet,"P_PRICE_LOW"&amp;"("&amp;INDEX(MO_SNA_FPStartDate,0,COLUMN())&amp;","&amp;INDEX(MO_Common_QEndDate,0,COLUMN())&amp;",,,,""PRICE"",""CLOSE"")"),"N/A")</f>
        <v>N/A</v>
      </c>
      <c r="H543" s="719" t="str">
        <f ca="1">IFERROR(FDS(MO.Ticker.FactSet,"P_PRICE_LOW"&amp;"("&amp;INDEX(MO_SNA_FPStartDate,0,COLUMN())&amp;","&amp;INDEX(MO_Common_QEndDate,0,COLUMN())&amp;",,,,""PRICE"",""CLOSE"")"),"N/A")</f>
        <v>N/A</v>
      </c>
      <c r="I543" s="719" t="str">
        <f ca="1">IFERROR(FDS(MO.Ticker.FactSet,"P_PRICE_LOW"&amp;"("&amp;INDEX(MO_SNA_FPStartDate,0,COLUMN())&amp;","&amp;INDEX(MO_Common_QEndDate,0,COLUMN())&amp;",,,,""PRICE"",""CLOSE"")"),"N/A")</f>
        <v>N/A</v>
      </c>
      <c r="J543" s="719" t="str">
        <f ca="1">IFERROR(FDS(MO.Ticker.FactSet,"P_PRICE_LOW"&amp;"("&amp;INDEX(MO_SNA_FPStartDate,0,COLUMN())&amp;","&amp;INDEX(MO_Common_QEndDate,0,COLUMN())&amp;",,,,""PRICE"",""CLOSE"")"),"N/A")</f>
        <v>N/A</v>
      </c>
      <c r="K543" s="719" t="str">
        <f ca="1">IFERROR(FDS(MO.Ticker.FactSet,"P_PRICE_LOW"&amp;"("&amp;INDEX(MO_SNA_FPStartDate,0,COLUMN())&amp;","&amp;INDEX(MO_Common_QEndDate,0,COLUMN())&amp;",,,,""PRICE"",""CLOSE"")"),"N/A")</f>
        <v>N/A</v>
      </c>
      <c r="L543" s="719" t="str">
        <f ca="1">IFERROR(FDS(MO.Ticker.FactSet,"P_PRICE_LOW"&amp;"("&amp;INDEX(MO_SNA_FPStartDate,0,COLUMN())&amp;","&amp;INDEX(MO_Common_QEndDate,0,COLUMN())&amp;",,,,""PRICE"",""CLOSE"")"),"N/A")</f>
        <v>N/A</v>
      </c>
      <c r="M543" s="719" t="str">
        <f ca="1">IFERROR(FDS(MO.Ticker.FactSet,"P_PRICE_LOW"&amp;"("&amp;INDEX(MO_SNA_FPStartDate,0,COLUMN())&amp;","&amp;INDEX(MO_Common_QEndDate,0,COLUMN())&amp;",,,,""PRICE"",""CLOSE"")"),"N/A")</f>
        <v>N/A</v>
      </c>
      <c r="N543" s="719" t="str">
        <f ca="1">IFERROR(FDS(MO.Ticker.FactSet,"P_PRICE_LOW"&amp;"("&amp;INDEX(MO_SNA_FPStartDate,0,COLUMN())&amp;","&amp;INDEX(MO_Common_QEndDate,0,COLUMN())&amp;",,,,""PRICE"",""CLOSE"")"),"N/A")</f>
        <v>N/A</v>
      </c>
      <c r="O543" s="719" t="str">
        <f ca="1">IFERROR(FDS(MO.Ticker.FactSet,"P_PRICE_LOW"&amp;"("&amp;INDEX(MO_SNA_FPStartDate,0,COLUMN())&amp;","&amp;INDEX(MO_Common_QEndDate,0,COLUMN())&amp;",,,,""PRICE"",""CLOSE"")"),"N/A")</f>
        <v>N/A</v>
      </c>
      <c r="P543" s="718" t="str">
        <f ca="1">IFERROR(FDS(MO.Ticker.FactSet,"P_PRICE_LOW"&amp;"("&amp;INDEX(MO_SNA_FPStartDate,0,COLUMN())&amp;","&amp;INDEX(MO_Common_QEndDate,0,COLUMN())&amp;",,,,""PRICE"",""CLOSE"")"),"N/A")</f>
        <v>N/A</v>
      </c>
      <c r="Q543" s="718" t="str">
        <f ca="1">IFERROR(FDS(MO.Ticker.FactSet,"P_PRICE_LOW"&amp;"("&amp;INDEX(MO_SNA_FPStartDate,0,COLUMN())&amp;","&amp;INDEX(MO_Common_QEndDate,0,COLUMN())&amp;",,,,""PRICE"",""CLOSE"")"),"N/A")</f>
        <v>N/A</v>
      </c>
      <c r="R543" s="718" t="str">
        <f ca="1">IFERROR(FDS(MO.Ticker.FactSet,"P_PRICE_LOW"&amp;"("&amp;INDEX(MO_SNA_FPStartDate,0,COLUMN())&amp;","&amp;INDEX(MO_Common_QEndDate,0,COLUMN())&amp;",,,,""PRICE"",""CLOSE"")"),"N/A")</f>
        <v>N/A</v>
      </c>
      <c r="S543" s="718"/>
      <c r="T543" s="718"/>
      <c r="U543" s="718"/>
      <c r="V543" s="718"/>
      <c r="W543" s="718"/>
      <c r="X543" s="718"/>
      <c r="Y543" s="718"/>
      <c r="Z543" s="720" t="str">
        <f ca="1">IFERROR(FDS(MO.Ticker.FactSet,"P_PRICE_LOW"&amp;"("&amp;INDEX(MO_SNA_FPStartDate,0,COLUMN())&amp;","&amp;INDEX(MO_Common_QEndDate,0,COLUMN())&amp;",,,,""PRICE"",""CLOSE"")"),"N/A")</f>
        <v>N/A</v>
      </c>
      <c r="AA543" s="720" t="str">
        <f ca="1">IFERROR(FDS(MO.Ticker.FactSet,"P_PRICE_LOW"&amp;"("&amp;INDEX(MO_SNA_FPStartDate,0,COLUMN())&amp;","&amp;INDEX(MO_Common_QEndDate,0,COLUMN())&amp;",,,,""PRICE"",""CLOSE"")"),"N/A")</f>
        <v>N/A</v>
      </c>
      <c r="AB543" s="719" t="str">
        <f ca="1">IFERROR(FDS(MO.Ticker.FactSet,"P_PRICE_LOW"&amp;"("&amp;INDEX(MO_SNA_FPStartDate,0,COLUMN())&amp;","&amp;INDEX(MO_Common_QEndDate,0,COLUMN())&amp;",,,,""PRICE"",""CLOSE"")"),"N/A")</f>
        <v>N/A</v>
      </c>
      <c r="AC543" s="719" t="str">
        <f ca="1">IFERROR(FDS(MO.Ticker.FactSet,"P_PRICE_LOW"&amp;"("&amp;INDEX(MO_SNA_FPStartDate,0,COLUMN())&amp;","&amp;INDEX(MO_Common_QEndDate,0,COLUMN())&amp;",,,,""PRICE"",""CLOSE"")"),"N/A")</f>
        <v>N/A</v>
      </c>
      <c r="AD543" s="719" t="str">
        <f ca="1">IFERROR(FDS(MO.Ticker.FactSet,"P_PRICE_LOW"&amp;"("&amp;INDEX(MO_SNA_FPStartDate,0,COLUMN())&amp;","&amp;INDEX(MO_Common_QEndDate,0,COLUMN())&amp;",,,,""PRICE"",""CLOSE"")"),"N/A")</f>
        <v>N/A</v>
      </c>
      <c r="AE543" s="719" t="str">
        <f ca="1">IFERROR(FDS(MO.Ticker.FactSet,"P_PRICE_LOW"&amp;"("&amp;INDEX(MO_SNA_FPStartDate,0,COLUMN())&amp;","&amp;INDEX(MO_Common_QEndDate,0,COLUMN())&amp;",,,,""PRICE"",""CLOSE"")"),"N/A")</f>
        <v>N/A</v>
      </c>
      <c r="AF543" s="719" t="str">
        <f ca="1">IFERROR(FDS(MO.Ticker.FactSet,"P_PRICE_LOW"&amp;"("&amp;INDEX(MO_SNA_FPStartDate,0,COLUMN())&amp;","&amp;INDEX(MO_Common_QEndDate,0,COLUMN())&amp;",,,,""PRICE"",""CLOSE"")"),"N/A")</f>
        <v>N/A</v>
      </c>
      <c r="AG543" s="719" t="str">
        <f ca="1">IFERROR(FDS(MO.Ticker.FactSet,"P_PRICE_LOW"&amp;"("&amp;INDEX(MO_SNA_FPStartDate,0,COLUMN())&amp;","&amp;INDEX(MO_Common_QEndDate,0,COLUMN())&amp;",,,,""PRICE"",""CLOSE"")"),"N/A")</f>
        <v>N/A</v>
      </c>
      <c r="AH543" s="719" t="str">
        <f ca="1">IFERROR(FDS(MO.Ticker.FactSet,"P_PRICE_LOW"&amp;"("&amp;INDEX(MO_SNA_FPStartDate,0,COLUMN())&amp;","&amp;INDEX(MO_Common_QEndDate,0,COLUMN())&amp;",,,,""PRICE"",""CLOSE"")"),"N/A")</f>
        <v>N/A</v>
      </c>
      <c r="AI543" s="719" t="str">
        <f ca="1">IFERROR(FDS(MO.Ticker.FactSet,"P_PRICE_LOW"&amp;"("&amp;INDEX(MO_SNA_FPStartDate,0,COLUMN())&amp;","&amp;INDEX(MO_Common_QEndDate,0,COLUMN())&amp;",,,,""PRICE"",""CLOSE"")"),"N/A")</f>
        <v>N/A</v>
      </c>
      <c r="AJ543" s="719" t="str">
        <f ca="1">IFERROR(FDS(MO.Ticker.FactSet,"P_PRICE_LOW"&amp;"("&amp;INDEX(MO_SNA_FPStartDate,0,COLUMN())&amp;","&amp;INDEX(MO_Common_QEndDate,0,COLUMN())&amp;",,,,""PRICE"",""CLOSE"")"),"N/A")</f>
        <v>N/A</v>
      </c>
      <c r="AK543" s="719" t="str">
        <f ca="1">IFERROR(FDS(MO.Ticker.FactSet,"P_PRICE_LOW"&amp;"("&amp;INDEX(MO_SNA_FPStartDate,0,COLUMN())&amp;","&amp;INDEX(MO_Common_QEndDate,0,COLUMN())&amp;",,,,""PRICE"",""CLOSE"")"),"N/A")</f>
        <v>N/A</v>
      </c>
      <c r="AL543" s="719" t="str">
        <f ca="1">IFERROR(FDS(MO.Ticker.FactSet,"P_PRICE_LOW"&amp;"("&amp;INDEX(MO_SNA_FPStartDate,0,COLUMN())&amp;","&amp;INDEX(MO_Common_QEndDate,0,COLUMN())&amp;",,,,""PRICE"",""CLOSE"")"),"N/A")</f>
        <v>N/A</v>
      </c>
      <c r="AM543" s="719" t="str">
        <f ca="1">IFERROR(FDS(MO.Ticker.FactSet,"P_PRICE_LOW"&amp;"("&amp;INDEX(MO_SNA_FPStartDate,0,COLUMN())&amp;","&amp;INDEX(MO_Common_QEndDate,0,COLUMN())&amp;",,,,""PRICE"",""CLOSE"")"),"N/A")</f>
        <v>N/A</v>
      </c>
      <c r="AN543" s="719" t="str">
        <f ca="1">IFERROR(FDS(MO.Ticker.FactSet,"P_PRICE_LOW"&amp;"("&amp;INDEX(MO_SNA_FPStartDate,0,COLUMN())&amp;","&amp;INDEX(MO_Common_QEndDate,0,COLUMN())&amp;",,,,""PRICE"",""CLOSE"")"),"N/A")</f>
        <v>N/A</v>
      </c>
      <c r="AO543" s="718" t="str">
        <f ca="1">IFERROR(FDS(MO.Ticker.FactSet,"P_PRICE_LOW"&amp;"("&amp;INDEX(MO_SNA_FPStartDate,0,COLUMN())&amp;","&amp;INDEX(MO_Common_QEndDate,0,COLUMN())&amp;",,,,""PRICE"",""CLOSE"")"),"N/A")</f>
        <v>N/A</v>
      </c>
      <c r="AP543" s="718" t="str">
        <f ca="1">IFERROR(FDS(MO.Ticker.FactSet,"P_PRICE_LOW"&amp;"("&amp;INDEX(MO_SNA_FPStartDate,0,COLUMN())&amp;","&amp;INDEX(MO_Common_QEndDate,0,COLUMN())&amp;",,,,""PRICE"",""CLOSE"")"),"N/A")</f>
        <v>N/A</v>
      </c>
      <c r="AQ543" s="718" t="str">
        <f ca="1">IFERROR(FDS(MO.Ticker.FactSet,"P_PRICE_LOW"&amp;"("&amp;INDEX(MO_SNA_FPStartDate,0,COLUMN())&amp;","&amp;INDEX(MO_Common_QEndDate,0,COLUMN())&amp;",,,,""PRICE"",""CLOSE"")"),"N/A")</f>
        <v>N/A</v>
      </c>
      <c r="AR543" s="721" t="str">
        <f ca="1">IFERROR(FDS(MO.Ticker.FactSet,"P_PRICE_LOW"&amp;"("&amp;INDEX(MO_SNA_FPStartDate,0,COLUMN())&amp;","&amp;INDEX(MO_Common_QEndDate,0,COLUMN())&amp;",,,,""PRICE"",""CLOSE"")"),"N/A")</f>
        <v>N/A</v>
      </c>
      <c r="AS543" s="719"/>
    </row>
    <row r="544" spans="1:45" s="722" customFormat="1" hidden="1" outlineLevel="1" x14ac:dyDescent="0.35">
      <c r="A544" s="723" t="s">
        <v>985</v>
      </c>
      <c r="B544" s="718"/>
      <c r="C544" s="719" t="str">
        <f ca="1">IFERROR(_xll.TR(MO.Ticker.Thomson,"Min(TR.PriceLow)","sdate:#1 edate:#2",,INDEX(MO_SNA_FPStartDate,0,COLUMN()),INDEX(MO_Common_QEndDate,0,COLUMN())),"N/A")</f>
        <v>N/A</v>
      </c>
      <c r="D544" s="719" t="str">
        <f ca="1">IFERROR(_xll.TR(MO.Ticker.Thomson,"Min(TR.PriceLow)","sdate:#1 edate:#2",,INDEX(MO_SNA_FPStartDate,0,COLUMN()),INDEX(MO_Common_QEndDate,0,COLUMN())),"N/A")</f>
        <v>N/A</v>
      </c>
      <c r="E544" s="719" t="str">
        <f ca="1">IFERROR(_xll.TR(MO.Ticker.Thomson,"Min(TR.PriceLow)","sdate:#1 edate:#2",,INDEX(MO_SNA_FPStartDate,0,COLUMN()),INDEX(MO_Common_QEndDate,0,COLUMN())),"N/A")</f>
        <v>N/A</v>
      </c>
      <c r="F544" s="719" t="str">
        <f ca="1">IFERROR(_xll.TR(MO.Ticker.Thomson,"Min(TR.PriceLow)","sdate:#1 edate:#2",,INDEX(MO_SNA_FPStartDate,0,COLUMN()),INDEX(MO_Common_QEndDate,0,COLUMN())),"N/A")</f>
        <v>N/A</v>
      </c>
      <c r="G544" s="719" t="str">
        <f ca="1">IFERROR(_xll.TR(MO.Ticker.Thomson,"Min(TR.PriceLow)","sdate:#1 edate:#2",,INDEX(MO_SNA_FPStartDate,0,COLUMN()),INDEX(MO_Common_QEndDate,0,COLUMN())),"N/A")</f>
        <v>N/A</v>
      </c>
      <c r="H544" s="719" t="str">
        <f ca="1">IFERROR(_xll.TR(MO.Ticker.Thomson,"Min(TR.PriceLow)","sdate:#1 edate:#2",,INDEX(MO_SNA_FPStartDate,0,COLUMN()),INDEX(MO_Common_QEndDate,0,COLUMN())),"N/A")</f>
        <v>N/A</v>
      </c>
      <c r="I544" s="719" t="str">
        <f ca="1">IFERROR(_xll.TR(MO.Ticker.Thomson,"Min(TR.PriceLow)","sdate:#1 edate:#2",,INDEX(MO_SNA_FPStartDate,0,COLUMN()),INDEX(MO_Common_QEndDate,0,COLUMN())),"N/A")</f>
        <v>N/A</v>
      </c>
      <c r="J544" s="719" t="str">
        <f ca="1">IFERROR(_xll.TR(MO.Ticker.Thomson,"Min(TR.PriceLow)","sdate:#1 edate:#2",,INDEX(MO_SNA_FPStartDate,0,COLUMN()),INDEX(MO_Common_QEndDate,0,COLUMN())),"N/A")</f>
        <v>N/A</v>
      </c>
      <c r="K544" s="719" t="str">
        <f ca="1">IFERROR(_xll.TR(MO.Ticker.Thomson,"Min(TR.PriceLow)","sdate:#1 edate:#2",,INDEX(MO_SNA_FPStartDate,0,COLUMN()),INDEX(MO_Common_QEndDate,0,COLUMN())),"N/A")</f>
        <v>N/A</v>
      </c>
      <c r="L544" s="719" t="str">
        <f ca="1">IFERROR(_xll.TR(MO.Ticker.Thomson,"Min(TR.PriceLow)","sdate:#1 edate:#2",,INDEX(MO_SNA_FPStartDate,0,COLUMN()),INDEX(MO_Common_QEndDate,0,COLUMN())),"N/A")</f>
        <v>N/A</v>
      </c>
      <c r="M544" s="719" t="str">
        <f ca="1">IFERROR(_xll.TR(MO.Ticker.Thomson,"Min(TR.PriceLow)","sdate:#1 edate:#2",,INDEX(MO_SNA_FPStartDate,0,COLUMN()),INDEX(MO_Common_QEndDate,0,COLUMN())),"N/A")</f>
        <v>N/A</v>
      </c>
      <c r="N544" s="719" t="str">
        <f ca="1">IFERROR(_xll.TR(MO.Ticker.Thomson,"Min(TR.PriceLow)","sdate:#1 edate:#2",,INDEX(MO_SNA_FPStartDate,0,COLUMN()),INDEX(MO_Common_QEndDate,0,COLUMN())),"N/A")</f>
        <v>N/A</v>
      </c>
      <c r="O544" s="719" t="str">
        <f ca="1">IFERROR(_xll.TR(MO.Ticker.Thomson,"Min(TR.PriceLow)","sdate:#1 edate:#2",,INDEX(MO_SNA_FPStartDate,0,COLUMN()),INDEX(MO_Common_QEndDate,0,COLUMN())),"N/A")</f>
        <v>N/A</v>
      </c>
      <c r="P544" s="718" t="str">
        <f ca="1">IFERROR(_xll.TR(MO.Ticker.Thomson,"Min(TR.PriceLow)","sdate:#1 edate:#2",,INDEX(MO_SNA_FPStartDate,0,COLUMN()),INDEX(MO_Common_QEndDate,0,COLUMN())),"N/A")</f>
        <v>N/A</v>
      </c>
      <c r="Q544" s="718" t="str">
        <f ca="1">IFERROR(_xll.TR(MO.Ticker.Thomson,"Min(TR.PriceLow)","sdate:#1 edate:#2",,INDEX(MO_SNA_FPStartDate,0,COLUMN()),INDEX(MO_Common_QEndDate,0,COLUMN())),"N/A")</f>
        <v>N/A</v>
      </c>
      <c r="R544" s="718" t="str">
        <f ca="1">IFERROR(_xll.TR(MO.Ticker.Thomson,"Min(TR.PriceLow)","sdate:#1 edate:#2",,INDEX(MO_SNA_FPStartDate,0,COLUMN()),INDEX(MO_Common_QEndDate,0,COLUMN())),"N/A")</f>
        <v>N/A</v>
      </c>
      <c r="S544" s="718"/>
      <c r="T544" s="718"/>
      <c r="U544" s="718"/>
      <c r="V544" s="718"/>
      <c r="W544" s="718"/>
      <c r="X544" s="718"/>
      <c r="Y544" s="718"/>
      <c r="Z544" s="720" t="str">
        <f ca="1">IFERROR(_xll.TR(MO.Ticker.Thomson,"Min(TR.PriceLow)","sdate:#1 edate:#2",,INDEX(MO_SNA_FPStartDate,0,COLUMN()),INDEX(MO_Common_QEndDate,0,COLUMN())),"N/A")</f>
        <v>N/A</v>
      </c>
      <c r="AA544" s="720" t="str">
        <f ca="1">IFERROR(_xll.TR(MO.Ticker.Thomson,"Min(TR.PriceLow)","sdate:#1 edate:#2",,INDEX(MO_SNA_FPStartDate,0,COLUMN()),INDEX(MO_Common_QEndDate,0,COLUMN())),"N/A")</f>
        <v>N/A</v>
      </c>
      <c r="AB544" s="719" t="str">
        <f ca="1">IFERROR(_xll.TR(MO.Ticker.Thomson,"Min(TR.PriceLow)","sdate:#1 edate:#2",,INDEX(MO_SNA_FPStartDate,0,COLUMN()),INDEX(MO_Common_QEndDate,0,COLUMN())),"N/A")</f>
        <v>N/A</v>
      </c>
      <c r="AC544" s="719" t="str">
        <f ca="1">IFERROR(_xll.TR(MO.Ticker.Thomson,"Min(TR.PriceLow)","sdate:#1 edate:#2",,INDEX(MO_SNA_FPStartDate,0,COLUMN()),INDEX(MO_Common_QEndDate,0,COLUMN())),"N/A")</f>
        <v>N/A</v>
      </c>
      <c r="AD544" s="719" t="str">
        <f ca="1">IFERROR(_xll.TR(MO.Ticker.Thomson,"Min(TR.PriceLow)","sdate:#1 edate:#2",,INDEX(MO_SNA_FPStartDate,0,COLUMN()),INDEX(MO_Common_QEndDate,0,COLUMN())),"N/A")</f>
        <v>N/A</v>
      </c>
      <c r="AE544" s="719" t="str">
        <f ca="1">IFERROR(_xll.TR(MO.Ticker.Thomson,"Min(TR.PriceLow)","sdate:#1 edate:#2",,INDEX(MO_SNA_FPStartDate,0,COLUMN()),INDEX(MO_Common_QEndDate,0,COLUMN())),"N/A")</f>
        <v>N/A</v>
      </c>
      <c r="AF544" s="719" t="str">
        <f ca="1">IFERROR(_xll.TR(MO.Ticker.Thomson,"Min(TR.PriceLow)","sdate:#1 edate:#2",,INDEX(MO_SNA_FPStartDate,0,COLUMN()),INDEX(MO_Common_QEndDate,0,COLUMN())),"N/A")</f>
        <v>N/A</v>
      </c>
      <c r="AG544" s="719" t="str">
        <f ca="1">IFERROR(_xll.TR(MO.Ticker.Thomson,"Min(TR.PriceLow)","sdate:#1 edate:#2",,INDEX(MO_SNA_FPStartDate,0,COLUMN()),INDEX(MO_Common_QEndDate,0,COLUMN())),"N/A")</f>
        <v>N/A</v>
      </c>
      <c r="AH544" s="719" t="str">
        <f ca="1">IFERROR(_xll.TR(MO.Ticker.Thomson,"Min(TR.PriceLow)","sdate:#1 edate:#2",,INDEX(MO_SNA_FPStartDate,0,COLUMN()),INDEX(MO_Common_QEndDate,0,COLUMN())),"N/A")</f>
        <v>N/A</v>
      </c>
      <c r="AI544" s="719" t="str">
        <f ca="1">IFERROR(_xll.TR(MO.Ticker.Thomson,"Min(TR.PriceLow)","sdate:#1 edate:#2",,INDEX(MO_SNA_FPStartDate,0,COLUMN()),INDEX(MO_Common_QEndDate,0,COLUMN())),"N/A")</f>
        <v>N/A</v>
      </c>
      <c r="AJ544" s="719" t="str">
        <f ca="1">IFERROR(_xll.TR(MO.Ticker.Thomson,"Min(TR.PriceLow)","sdate:#1 edate:#2",,INDEX(MO_SNA_FPStartDate,0,COLUMN()),INDEX(MO_Common_QEndDate,0,COLUMN())),"N/A")</f>
        <v>N/A</v>
      </c>
      <c r="AK544" s="719" t="str">
        <f ca="1">IFERROR(_xll.TR(MO.Ticker.Thomson,"Min(TR.PriceLow)","sdate:#1 edate:#2",,INDEX(MO_SNA_FPStartDate,0,COLUMN()),INDEX(MO_Common_QEndDate,0,COLUMN())),"N/A")</f>
        <v>N/A</v>
      </c>
      <c r="AL544" s="719" t="str">
        <f ca="1">IFERROR(_xll.TR(MO.Ticker.Thomson,"Min(TR.PriceLow)","sdate:#1 edate:#2",,INDEX(MO_SNA_FPStartDate,0,COLUMN()),INDEX(MO_Common_QEndDate,0,COLUMN())),"N/A")</f>
        <v>N/A</v>
      </c>
      <c r="AM544" s="719" t="str">
        <f ca="1">IFERROR(_xll.TR(MO.Ticker.Thomson,"Min(TR.PriceLow)","sdate:#1 edate:#2",,INDEX(MO_SNA_FPStartDate,0,COLUMN()),INDEX(MO_Common_QEndDate,0,COLUMN())),"N/A")</f>
        <v>N/A</v>
      </c>
      <c r="AN544" s="719" t="str">
        <f ca="1">IFERROR(_xll.TR(MO.Ticker.Thomson,"Min(TR.PriceLow)","sdate:#1 edate:#2",,INDEX(MO_SNA_FPStartDate,0,COLUMN()),INDEX(MO_Common_QEndDate,0,COLUMN())),"N/A")</f>
        <v>N/A</v>
      </c>
      <c r="AO544" s="718" t="str">
        <f ca="1">IFERROR(_xll.TR(MO.Ticker.Thomson,"Min(TR.PriceLow)","sdate:#1 edate:#2",,INDEX(MO_SNA_FPStartDate,0,COLUMN()),INDEX(MO_Common_QEndDate,0,COLUMN())),"N/A")</f>
        <v>N/A</v>
      </c>
      <c r="AP544" s="718" t="str">
        <f ca="1">IFERROR(_xll.TR(MO.Ticker.Thomson,"Min(TR.PriceLow)","sdate:#1 edate:#2",,INDEX(MO_SNA_FPStartDate,0,COLUMN()),INDEX(MO_Common_QEndDate,0,COLUMN())),"N/A")</f>
        <v>N/A</v>
      </c>
      <c r="AQ544" s="718" t="str">
        <f ca="1">IFERROR(_xll.TR(MO.Ticker.Thomson,"Min(TR.PriceLow)","sdate:#1 edate:#2",,INDEX(MO_SNA_FPStartDate,0,COLUMN()),INDEX(MO_Common_QEndDate,0,COLUMN())),"N/A")</f>
        <v>N/A</v>
      </c>
      <c r="AR544" s="721" t="str">
        <f ca="1">IFERROR(_xll.TR(MO.Ticker.Thomson,"Min(TR.PriceLow)","sdate:#1 edate:#2",,INDEX(MO_SNA_FPStartDate,0,COLUMN()),INDEX(MO_Common_QEndDate,0,COLUMN())),"N/A")</f>
        <v>N/A</v>
      </c>
      <c r="AS544" s="719"/>
    </row>
    <row r="545" spans="1:45" s="722" customFormat="1" hidden="1" outlineLevel="1" x14ac:dyDescent="0.35">
      <c r="A545" s="726"/>
      <c r="B545" s="718"/>
      <c r="C545" s="718"/>
      <c r="D545" s="718"/>
      <c r="E545" s="718"/>
      <c r="F545" s="718"/>
      <c r="G545" s="718"/>
      <c r="H545" s="718"/>
      <c r="I545" s="718"/>
      <c r="J545" s="718"/>
      <c r="K545" s="718"/>
      <c r="L545" s="718"/>
      <c r="M545" s="718"/>
      <c r="N545" s="718"/>
      <c r="O545" s="718"/>
      <c r="P545" s="718"/>
      <c r="Q545" s="718"/>
      <c r="R545" s="718"/>
      <c r="S545" s="718"/>
      <c r="T545" s="718"/>
      <c r="U545" s="718"/>
      <c r="V545" s="718"/>
      <c r="W545" s="718"/>
      <c r="X545" s="718"/>
      <c r="Y545" s="718"/>
      <c r="Z545" s="720"/>
      <c r="AA545" s="720"/>
      <c r="AB545" s="718"/>
      <c r="AC545" s="718"/>
      <c r="AD545" s="718"/>
      <c r="AE545" s="718"/>
      <c r="AF545" s="718"/>
      <c r="AG545" s="718"/>
      <c r="AH545" s="718"/>
      <c r="AI545" s="718"/>
      <c r="AJ545" s="718"/>
      <c r="AK545" s="718"/>
      <c r="AL545" s="718"/>
      <c r="AM545" s="718"/>
      <c r="AN545" s="718"/>
      <c r="AO545" s="718"/>
      <c r="AP545" s="718"/>
      <c r="AQ545" s="718"/>
      <c r="AR545" s="721"/>
      <c r="AS545" s="719"/>
    </row>
    <row r="546" spans="1:45" s="722" customFormat="1" collapsed="1" x14ac:dyDescent="0.35">
      <c r="A546" s="717" t="e">
        <f>"Stock Average: "&amp;IF(OR(MO.RealTimeStockPriceToggle=FALSE,VLOOKUP(MO.DataSourceName,MO_SPT_StockAverage_Sources,COLUMN()+2,FALSE)="N/A"),"Real-Time Off Source",MO.DataSourceName)</f>
        <v>#REF!</v>
      </c>
      <c r="B546" s="718"/>
      <c r="C546" s="719" t="e">
        <f t="shared" ref="C546:R546" si="410">IF(OR(MO.RealTimeStockPriceToggle=FALSE,VLOOKUP(MO.DataSourceName,MO_SPT_StockAverage_Sources,COLUMN(),FALSE)="N/A"),VLOOKUP("Real-Time Off Source",MO_SPT_StockAverage_Sources,COLUMN(),FALSE),VLOOKUP(MO.DataSourceName,MO_SPT_StockAverage_Sources,COLUMN(),FALSE))</f>
        <v>#REF!</v>
      </c>
      <c r="D546" s="719" t="e">
        <f t="shared" si="410"/>
        <v>#REF!</v>
      </c>
      <c r="E546" s="719" t="e">
        <f t="shared" si="410"/>
        <v>#REF!</v>
      </c>
      <c r="F546" s="719" t="e">
        <f t="shared" si="410"/>
        <v>#REF!</v>
      </c>
      <c r="G546" s="719" t="e">
        <f t="shared" si="410"/>
        <v>#REF!</v>
      </c>
      <c r="H546" s="719" t="e">
        <f t="shared" si="410"/>
        <v>#REF!</v>
      </c>
      <c r="I546" s="719" t="e">
        <f t="shared" si="410"/>
        <v>#REF!</v>
      </c>
      <c r="J546" s="719" t="e">
        <f t="shared" si="410"/>
        <v>#REF!</v>
      </c>
      <c r="K546" s="719" t="e">
        <f t="shared" si="410"/>
        <v>#REF!</v>
      </c>
      <c r="L546" s="719" t="e">
        <f t="shared" si="410"/>
        <v>#REF!</v>
      </c>
      <c r="M546" s="719" t="e">
        <f t="shared" si="410"/>
        <v>#REF!</v>
      </c>
      <c r="N546" s="719" t="e">
        <f t="shared" si="410"/>
        <v>#REF!</v>
      </c>
      <c r="O546" s="719" t="e">
        <f t="shared" si="410"/>
        <v>#REF!</v>
      </c>
      <c r="P546" s="718" t="e">
        <f t="shared" si="410"/>
        <v>#REF!</v>
      </c>
      <c r="Q546" s="718" t="e">
        <f t="shared" si="410"/>
        <v>#REF!</v>
      </c>
      <c r="R546" s="718" t="e">
        <f t="shared" si="410"/>
        <v>#REF!</v>
      </c>
      <c r="S546" s="718"/>
      <c r="T546" s="718"/>
      <c r="U546" s="718"/>
      <c r="V546" s="718"/>
      <c r="W546" s="718"/>
      <c r="X546" s="718"/>
      <c r="Y546" s="718"/>
      <c r="Z546" s="720" t="e">
        <f t="shared" ref="Z546:AR546" si="411">IF(OR(MO.RealTimeStockPriceToggle=FALSE,VLOOKUP(MO.DataSourceName,MO_SPT_StockAverage_Sources,COLUMN(),FALSE)="N/A"),VLOOKUP("Real-Time Off Source",MO_SPT_StockAverage_Sources,COLUMN(),FALSE),VLOOKUP(MO.DataSourceName,MO_SPT_StockAverage_Sources,COLUMN(),FALSE))</f>
        <v>#REF!</v>
      </c>
      <c r="AA546" s="720" t="e">
        <f t="shared" si="411"/>
        <v>#REF!</v>
      </c>
      <c r="AB546" s="719" t="e">
        <f t="shared" si="411"/>
        <v>#REF!</v>
      </c>
      <c r="AC546" s="719" t="e">
        <f t="shared" si="411"/>
        <v>#REF!</v>
      </c>
      <c r="AD546" s="719" t="e">
        <f t="shared" si="411"/>
        <v>#REF!</v>
      </c>
      <c r="AE546" s="719" t="e">
        <f t="shared" si="411"/>
        <v>#REF!</v>
      </c>
      <c r="AF546" s="719" t="e">
        <f t="shared" si="411"/>
        <v>#REF!</v>
      </c>
      <c r="AG546" s="719" t="e">
        <f t="shared" si="411"/>
        <v>#REF!</v>
      </c>
      <c r="AH546" s="719" t="e">
        <f t="shared" si="411"/>
        <v>#REF!</v>
      </c>
      <c r="AI546" s="719" t="e">
        <f t="shared" si="411"/>
        <v>#REF!</v>
      </c>
      <c r="AJ546" s="719" t="e">
        <f t="shared" si="411"/>
        <v>#REF!</v>
      </c>
      <c r="AK546" s="719" t="e">
        <f t="shared" si="411"/>
        <v>#REF!</v>
      </c>
      <c r="AL546" s="719" t="e">
        <f t="shared" si="411"/>
        <v>#REF!</v>
      </c>
      <c r="AM546" s="719" t="e">
        <f t="shared" si="411"/>
        <v>#REF!</v>
      </c>
      <c r="AN546" s="719" t="e">
        <f t="shared" si="411"/>
        <v>#REF!</v>
      </c>
      <c r="AO546" s="718" t="e">
        <f t="shared" si="411"/>
        <v>#REF!</v>
      </c>
      <c r="AP546" s="718" t="e">
        <f t="shared" si="411"/>
        <v>#REF!</v>
      </c>
      <c r="AQ546" s="718" t="e">
        <f t="shared" si="411"/>
        <v>#REF!</v>
      </c>
      <c r="AR546" s="721" t="e">
        <f t="shared" si="411"/>
        <v>#REF!</v>
      </c>
      <c r="AS546" s="719"/>
    </row>
    <row r="547" spans="1:45" s="722" customFormat="1" hidden="1" outlineLevel="1" x14ac:dyDescent="0.35">
      <c r="A547" s="723" t="s">
        <v>981</v>
      </c>
      <c r="B547" s="718"/>
      <c r="C547" s="724">
        <v>0</v>
      </c>
      <c r="D547" s="724">
        <v>0</v>
      </c>
      <c r="E547" s="724">
        <v>0</v>
      </c>
      <c r="F547" s="724">
        <v>0</v>
      </c>
      <c r="G547" s="724">
        <v>0</v>
      </c>
      <c r="H547" s="724">
        <v>0</v>
      </c>
      <c r="I547" s="724">
        <v>0</v>
      </c>
      <c r="J547" s="724">
        <v>0</v>
      </c>
      <c r="K547" s="724">
        <v>0</v>
      </c>
      <c r="L547" s="718"/>
      <c r="M547" s="718"/>
      <c r="N547" s="718"/>
      <c r="O547" s="718"/>
      <c r="P547" s="718"/>
      <c r="Q547" s="718"/>
      <c r="R547" s="718"/>
      <c r="S547" s="718"/>
      <c r="T547" s="718"/>
      <c r="U547" s="718"/>
      <c r="V547" s="718"/>
      <c r="W547" s="718"/>
      <c r="X547" s="718"/>
      <c r="Y547" s="718"/>
      <c r="Z547" s="725">
        <v>0</v>
      </c>
      <c r="AA547" s="725">
        <v>0</v>
      </c>
      <c r="AB547" s="724">
        <v>0</v>
      </c>
      <c r="AC547" s="724">
        <v>0</v>
      </c>
      <c r="AD547" s="724">
        <v>0</v>
      </c>
      <c r="AE547" s="724">
        <v>0</v>
      </c>
      <c r="AF547" s="724">
        <v>0</v>
      </c>
      <c r="AG547" s="724">
        <v>0</v>
      </c>
      <c r="AH547" s="724">
        <v>0</v>
      </c>
      <c r="AI547" s="724">
        <v>0</v>
      </c>
      <c r="AJ547" s="724">
        <v>0</v>
      </c>
      <c r="AK547" s="724">
        <v>0</v>
      </c>
      <c r="AL547" s="718"/>
      <c r="AM547" s="718"/>
      <c r="AN547" s="718"/>
      <c r="AO547" s="718"/>
      <c r="AP547" s="718"/>
      <c r="AQ547" s="718"/>
      <c r="AR547" s="721"/>
      <c r="AS547" s="719"/>
    </row>
    <row r="548" spans="1:45" s="722" customFormat="1" hidden="1" outlineLevel="1" x14ac:dyDescent="0.35">
      <c r="A548" s="723" t="s">
        <v>982</v>
      </c>
      <c r="B548" s="718"/>
      <c r="C548" s="719" t="str">
        <f ca="1">IFERROR(BDP(MO.Ticker.Bloomberg&amp;" Equity","INTERVAL_AVG","MARKET_DATA_OVERRIDE=PX_LAST","START_DATE_OVERRIDE",TEXT(INDEX(MO_SNA_FPStartDate,0,COLUMN()),"YYYYMMDD"),"END_DATE_OVERRIDE",TEXT(INDEX(MO_Common_QEndDate,0,COLUMN()),"YYYYMMDD")),"N/A")</f>
        <v>N/A</v>
      </c>
      <c r="D548" s="719" t="str">
        <f ca="1">IFERROR(BDP(MO.Ticker.Bloomberg&amp;" Equity","INTERVAL_AVG","MARKET_DATA_OVERRIDE=PX_LAST","START_DATE_OVERRIDE",TEXT(INDEX(MO_SNA_FPStartDate,0,COLUMN()),"YYYYMMDD"),"END_DATE_OVERRIDE",TEXT(INDEX(MO_Common_QEndDate,0,COLUMN()),"YYYYMMDD")),"N/A")</f>
        <v>N/A</v>
      </c>
      <c r="E548" s="719" t="str">
        <f ca="1">IFERROR(BDP(MO.Ticker.Bloomberg&amp;" Equity","INTERVAL_AVG","MARKET_DATA_OVERRIDE=PX_LAST","START_DATE_OVERRIDE",TEXT(INDEX(MO_SNA_FPStartDate,0,COLUMN()),"YYYYMMDD"),"END_DATE_OVERRIDE",TEXT(INDEX(MO_Common_QEndDate,0,COLUMN()),"YYYYMMDD")),"N/A")</f>
        <v>N/A</v>
      </c>
      <c r="F548" s="719" t="str">
        <f ca="1">IFERROR(BDP(MO.Ticker.Bloomberg&amp;" Equity","INTERVAL_AVG","MARKET_DATA_OVERRIDE=PX_LAST","START_DATE_OVERRIDE",TEXT(INDEX(MO_SNA_FPStartDate,0,COLUMN()),"YYYYMMDD"),"END_DATE_OVERRIDE",TEXT(INDEX(MO_Common_QEndDate,0,COLUMN()),"YYYYMMDD")),"N/A")</f>
        <v>N/A</v>
      </c>
      <c r="G548" s="719" t="str">
        <f ca="1">IFERROR(BDP(MO.Ticker.Bloomberg&amp;" Equity","INTERVAL_AVG","MARKET_DATA_OVERRIDE=PX_LAST","START_DATE_OVERRIDE",TEXT(INDEX(MO_SNA_FPStartDate,0,COLUMN()),"YYYYMMDD"),"END_DATE_OVERRIDE",TEXT(INDEX(MO_Common_QEndDate,0,COLUMN()),"YYYYMMDD")),"N/A")</f>
        <v>N/A</v>
      </c>
      <c r="H548" s="719" t="str">
        <f ca="1">IFERROR(BDP(MO.Ticker.Bloomberg&amp;" Equity","INTERVAL_AVG","MARKET_DATA_OVERRIDE=PX_LAST","START_DATE_OVERRIDE",TEXT(INDEX(MO_SNA_FPStartDate,0,COLUMN()),"YYYYMMDD"),"END_DATE_OVERRIDE",TEXT(INDEX(MO_Common_QEndDate,0,COLUMN()),"YYYYMMDD")),"N/A")</f>
        <v>N/A</v>
      </c>
      <c r="I548" s="719" t="str">
        <f ca="1">IFERROR(BDP(MO.Ticker.Bloomberg&amp;" Equity","INTERVAL_AVG","MARKET_DATA_OVERRIDE=PX_LAST","START_DATE_OVERRIDE",TEXT(INDEX(MO_SNA_FPStartDate,0,COLUMN()),"YYYYMMDD"),"END_DATE_OVERRIDE",TEXT(INDEX(MO_Common_QEndDate,0,COLUMN()),"YYYYMMDD")),"N/A")</f>
        <v>N/A</v>
      </c>
      <c r="J548" s="719" t="str">
        <f ca="1">IFERROR(BDP(MO.Ticker.Bloomberg&amp;" Equity","INTERVAL_AVG","MARKET_DATA_OVERRIDE=PX_LAST","START_DATE_OVERRIDE",TEXT(INDEX(MO_SNA_FPStartDate,0,COLUMN()),"YYYYMMDD"),"END_DATE_OVERRIDE",TEXT(INDEX(MO_Common_QEndDate,0,COLUMN()),"YYYYMMDD")),"N/A")</f>
        <v>N/A</v>
      </c>
      <c r="K548" s="719" t="str">
        <f ca="1">IFERROR(BDP(MO.Ticker.Bloomberg&amp;" Equity","INTERVAL_AVG","MARKET_DATA_OVERRIDE=PX_LAST","START_DATE_OVERRIDE",TEXT(INDEX(MO_SNA_FPStartDate,0,COLUMN()),"YYYYMMDD"),"END_DATE_OVERRIDE",TEXT(INDEX(MO_Common_QEndDate,0,COLUMN()),"YYYYMMDD")),"N/A")</f>
        <v>N/A</v>
      </c>
      <c r="L548" s="719" t="str">
        <f ca="1">IFERROR(BDP(MO.Ticker.Bloomberg&amp;" Equity","INTERVAL_AVG","MARKET_DATA_OVERRIDE=PX_LAST","START_DATE_OVERRIDE",TEXT(INDEX(MO_SNA_FPStartDate,0,COLUMN()),"YYYYMMDD"),"END_DATE_OVERRIDE",TEXT(INDEX(MO_Common_QEndDate,0,COLUMN()),"YYYYMMDD")),"N/A")</f>
        <v>N/A</v>
      </c>
      <c r="M548" s="719" t="str">
        <f ca="1">IFERROR(BDP(MO.Ticker.Bloomberg&amp;" Equity","INTERVAL_AVG","MARKET_DATA_OVERRIDE=PX_LAST","START_DATE_OVERRIDE",TEXT(INDEX(MO_SNA_FPStartDate,0,COLUMN()),"YYYYMMDD"),"END_DATE_OVERRIDE",TEXT(INDEX(MO_Common_QEndDate,0,COLUMN()),"YYYYMMDD")),"N/A")</f>
        <v>N/A</v>
      </c>
      <c r="N548" s="719" t="str">
        <f ca="1">IFERROR(BDP(MO.Ticker.Bloomberg&amp;" Equity","INTERVAL_AVG","MARKET_DATA_OVERRIDE=PX_LAST","START_DATE_OVERRIDE",TEXT(INDEX(MO_SNA_FPStartDate,0,COLUMN()),"YYYYMMDD"),"END_DATE_OVERRIDE",TEXT(INDEX(MO_Common_QEndDate,0,COLUMN()),"YYYYMMDD")),"N/A")</f>
        <v>N/A</v>
      </c>
      <c r="O548" s="719" t="str">
        <f ca="1">IFERROR(BDP(MO.Ticker.Bloomberg&amp;" Equity","INTERVAL_AVG","MARKET_DATA_OVERRIDE=PX_LAST","START_DATE_OVERRIDE",TEXT(INDEX(MO_SNA_FPStartDate,0,COLUMN()),"YYYYMMDD"),"END_DATE_OVERRIDE",TEXT(INDEX(MO_Common_QEndDate,0,COLUMN()),"YYYYMMDD")),"N/A")</f>
        <v>N/A</v>
      </c>
      <c r="P548" s="718" t="str">
        <f ca="1">IFERROR(BDP(MO.Ticker.Bloomberg&amp;" Equity","INTERVAL_AVG","MARKET_DATA_OVERRIDE=PX_LAST","START_DATE_OVERRIDE",TEXT(INDEX(MO_SNA_FPStartDate,0,COLUMN()),"YYYYMMDD"),"END_DATE_OVERRIDE",TEXT(INDEX(MO_Common_QEndDate,0,COLUMN()),"YYYYMMDD")),"N/A")</f>
        <v>N/A</v>
      </c>
      <c r="Q548" s="718" t="str">
        <f ca="1">IFERROR(BDP(MO.Ticker.Bloomberg&amp;" Equity","INTERVAL_AVG","MARKET_DATA_OVERRIDE=PX_LAST","START_DATE_OVERRIDE",TEXT(INDEX(MO_SNA_FPStartDate,0,COLUMN()),"YYYYMMDD"),"END_DATE_OVERRIDE",TEXT(INDEX(MO_Common_QEndDate,0,COLUMN()),"YYYYMMDD")),"N/A")</f>
        <v>N/A</v>
      </c>
      <c r="R548" s="718" t="str">
        <f ca="1">IFERROR(BDP(MO.Ticker.Bloomberg&amp;" Equity","INTERVAL_AVG","MARKET_DATA_OVERRIDE=PX_LAST","START_DATE_OVERRIDE",TEXT(INDEX(MO_SNA_FPStartDate,0,COLUMN()),"YYYYMMDD"),"END_DATE_OVERRIDE",TEXT(INDEX(MO_Common_QEndDate,0,COLUMN()),"YYYYMMDD")),"N/A")</f>
        <v>N/A</v>
      </c>
      <c r="S548" s="718"/>
      <c r="T548" s="718"/>
      <c r="U548" s="718"/>
      <c r="V548" s="718"/>
      <c r="W548" s="718"/>
      <c r="X548" s="718"/>
      <c r="Y548" s="718"/>
      <c r="Z548" s="720" t="str">
        <f ca="1">IFERROR(BDP(MO.Ticker.Bloomberg&amp;" Equity","INTERVAL_AVG","MARKET_DATA_OVERRIDE=PX_LAST","START_DATE_OVERRIDE",TEXT(INDEX(MO_SNA_FPStartDate,0,COLUMN()),"YYYYMMDD"),"END_DATE_OVERRIDE",TEXT(INDEX(MO_Common_QEndDate,0,COLUMN()),"YYYYMMDD")),"N/A")</f>
        <v>N/A</v>
      </c>
      <c r="AA548" s="720" t="str">
        <f ca="1">IFERROR(BDP(MO.Ticker.Bloomberg&amp;" Equity","INTERVAL_AVG","MARKET_DATA_OVERRIDE=PX_LAST","START_DATE_OVERRIDE",TEXT(INDEX(MO_SNA_FPStartDate,0,COLUMN()),"YYYYMMDD"),"END_DATE_OVERRIDE",TEXT(INDEX(MO_Common_QEndDate,0,COLUMN()),"YYYYMMDD")),"N/A")</f>
        <v>N/A</v>
      </c>
      <c r="AB548" s="719" t="str">
        <f ca="1">IFERROR(BDP(MO.Ticker.Bloomberg&amp;" Equity","INTERVAL_AVG","MARKET_DATA_OVERRIDE=PX_LAST","START_DATE_OVERRIDE",TEXT(INDEX(MO_SNA_FPStartDate,0,COLUMN()),"YYYYMMDD"),"END_DATE_OVERRIDE",TEXT(INDEX(MO_Common_QEndDate,0,COLUMN()),"YYYYMMDD")),"N/A")</f>
        <v>N/A</v>
      </c>
      <c r="AC548" s="719" t="str">
        <f ca="1">IFERROR(BDP(MO.Ticker.Bloomberg&amp;" Equity","INTERVAL_AVG","MARKET_DATA_OVERRIDE=PX_LAST","START_DATE_OVERRIDE",TEXT(INDEX(MO_SNA_FPStartDate,0,COLUMN()),"YYYYMMDD"),"END_DATE_OVERRIDE",TEXT(INDEX(MO_Common_QEndDate,0,COLUMN()),"YYYYMMDD")),"N/A")</f>
        <v>N/A</v>
      </c>
      <c r="AD548" s="719" t="str">
        <f ca="1">IFERROR(BDP(MO.Ticker.Bloomberg&amp;" Equity","INTERVAL_AVG","MARKET_DATA_OVERRIDE=PX_LAST","START_DATE_OVERRIDE",TEXT(INDEX(MO_SNA_FPStartDate,0,COLUMN()),"YYYYMMDD"),"END_DATE_OVERRIDE",TEXT(INDEX(MO_Common_QEndDate,0,COLUMN()),"YYYYMMDD")),"N/A")</f>
        <v>N/A</v>
      </c>
      <c r="AE548" s="719" t="str">
        <f ca="1">IFERROR(BDP(MO.Ticker.Bloomberg&amp;" Equity","INTERVAL_AVG","MARKET_DATA_OVERRIDE=PX_LAST","START_DATE_OVERRIDE",TEXT(INDEX(MO_SNA_FPStartDate,0,COLUMN()),"YYYYMMDD"),"END_DATE_OVERRIDE",TEXT(INDEX(MO_Common_QEndDate,0,COLUMN()),"YYYYMMDD")),"N/A")</f>
        <v>N/A</v>
      </c>
      <c r="AF548" s="719" t="str">
        <f ca="1">IFERROR(BDP(MO.Ticker.Bloomberg&amp;" Equity","INTERVAL_AVG","MARKET_DATA_OVERRIDE=PX_LAST","START_DATE_OVERRIDE",TEXT(INDEX(MO_SNA_FPStartDate,0,COLUMN()),"YYYYMMDD"),"END_DATE_OVERRIDE",TEXT(INDEX(MO_Common_QEndDate,0,COLUMN()),"YYYYMMDD")),"N/A")</f>
        <v>N/A</v>
      </c>
      <c r="AG548" s="719" t="str">
        <f ca="1">IFERROR(BDP(MO.Ticker.Bloomberg&amp;" Equity","INTERVAL_AVG","MARKET_DATA_OVERRIDE=PX_LAST","START_DATE_OVERRIDE",TEXT(INDEX(MO_SNA_FPStartDate,0,COLUMN()),"YYYYMMDD"),"END_DATE_OVERRIDE",TEXT(INDEX(MO_Common_QEndDate,0,COLUMN()),"YYYYMMDD")),"N/A")</f>
        <v>N/A</v>
      </c>
      <c r="AH548" s="719" t="str">
        <f ca="1">IFERROR(BDP(MO.Ticker.Bloomberg&amp;" Equity","INTERVAL_AVG","MARKET_DATA_OVERRIDE=PX_LAST","START_DATE_OVERRIDE",TEXT(INDEX(MO_SNA_FPStartDate,0,COLUMN()),"YYYYMMDD"),"END_DATE_OVERRIDE",TEXT(INDEX(MO_Common_QEndDate,0,COLUMN()),"YYYYMMDD")),"N/A")</f>
        <v>N/A</v>
      </c>
      <c r="AI548" s="719" t="str">
        <f ca="1">IFERROR(BDP(MO.Ticker.Bloomberg&amp;" Equity","INTERVAL_AVG","MARKET_DATA_OVERRIDE=PX_LAST","START_DATE_OVERRIDE",TEXT(INDEX(MO_SNA_FPStartDate,0,COLUMN()),"YYYYMMDD"),"END_DATE_OVERRIDE",TEXT(INDEX(MO_Common_QEndDate,0,COLUMN()),"YYYYMMDD")),"N/A")</f>
        <v>N/A</v>
      </c>
      <c r="AJ548" s="719" t="str">
        <f ca="1">IFERROR(BDP(MO.Ticker.Bloomberg&amp;" Equity","INTERVAL_AVG","MARKET_DATA_OVERRIDE=PX_LAST","START_DATE_OVERRIDE",TEXT(INDEX(MO_SNA_FPStartDate,0,COLUMN()),"YYYYMMDD"),"END_DATE_OVERRIDE",TEXT(INDEX(MO_Common_QEndDate,0,COLUMN()),"YYYYMMDD")),"N/A")</f>
        <v>N/A</v>
      </c>
      <c r="AK548" s="719" t="str">
        <f ca="1">IFERROR(BDP(MO.Ticker.Bloomberg&amp;" Equity","INTERVAL_AVG","MARKET_DATA_OVERRIDE=PX_LAST","START_DATE_OVERRIDE",TEXT(INDEX(MO_SNA_FPStartDate,0,COLUMN()),"YYYYMMDD"),"END_DATE_OVERRIDE",TEXT(INDEX(MO_Common_QEndDate,0,COLUMN()),"YYYYMMDD")),"N/A")</f>
        <v>N/A</v>
      </c>
      <c r="AL548" s="719" t="str">
        <f ca="1">IFERROR(BDP(MO.Ticker.Bloomberg&amp;" Equity","INTERVAL_AVG","MARKET_DATA_OVERRIDE=PX_LAST","START_DATE_OVERRIDE",TEXT(INDEX(MO_SNA_FPStartDate,0,COLUMN()),"YYYYMMDD"),"END_DATE_OVERRIDE",TEXT(INDEX(MO_Common_QEndDate,0,COLUMN()),"YYYYMMDD")),"N/A")</f>
        <v>N/A</v>
      </c>
      <c r="AM548" s="719" t="str">
        <f ca="1">IFERROR(BDP(MO.Ticker.Bloomberg&amp;" Equity","INTERVAL_AVG","MARKET_DATA_OVERRIDE=PX_LAST","START_DATE_OVERRIDE",TEXT(INDEX(MO_SNA_FPStartDate,0,COLUMN()),"YYYYMMDD"),"END_DATE_OVERRIDE",TEXT(INDEX(MO_Common_QEndDate,0,COLUMN()),"YYYYMMDD")),"N/A")</f>
        <v>N/A</v>
      </c>
      <c r="AN548" s="719" t="str">
        <f ca="1">IFERROR(BDP(MO.Ticker.Bloomberg&amp;" Equity","INTERVAL_AVG","MARKET_DATA_OVERRIDE=PX_LAST","START_DATE_OVERRIDE",TEXT(INDEX(MO_SNA_FPStartDate,0,COLUMN()),"YYYYMMDD"),"END_DATE_OVERRIDE",TEXT(INDEX(MO_Common_QEndDate,0,COLUMN()),"YYYYMMDD")),"N/A")</f>
        <v>N/A</v>
      </c>
      <c r="AO548" s="718" t="str">
        <f ca="1">IFERROR(BDP(MO.Ticker.Bloomberg&amp;" Equity","INTERVAL_AVG","MARKET_DATA_OVERRIDE=PX_LAST","START_DATE_OVERRIDE",TEXT(INDEX(MO_SNA_FPStartDate,0,COLUMN()),"YYYYMMDD"),"END_DATE_OVERRIDE",TEXT(INDEX(MO_Common_QEndDate,0,COLUMN()),"YYYYMMDD")),"N/A")</f>
        <v>N/A</v>
      </c>
      <c r="AP548" s="718" t="str">
        <f ca="1">IFERROR(BDP(MO.Ticker.Bloomberg&amp;" Equity","INTERVAL_AVG","MARKET_DATA_OVERRIDE=PX_LAST","START_DATE_OVERRIDE",TEXT(INDEX(MO_SNA_FPStartDate,0,COLUMN()),"YYYYMMDD"),"END_DATE_OVERRIDE",TEXT(INDEX(MO_Common_QEndDate,0,COLUMN()),"YYYYMMDD")),"N/A")</f>
        <v>N/A</v>
      </c>
      <c r="AQ548" s="718" t="str">
        <f ca="1">IFERROR(BDP(MO.Ticker.Bloomberg&amp;" Equity","INTERVAL_AVG","MARKET_DATA_OVERRIDE=PX_LAST","START_DATE_OVERRIDE",TEXT(INDEX(MO_SNA_FPStartDate,0,COLUMN()),"YYYYMMDD"),"END_DATE_OVERRIDE",TEXT(INDEX(MO_Common_QEndDate,0,COLUMN()),"YYYYMMDD")),"N/A")</f>
        <v>N/A</v>
      </c>
      <c r="AR548" s="721" t="str">
        <f ca="1">IFERROR(BDP(MO.Ticker.Bloomberg&amp;" Equity","INTERVAL_AVG","MARKET_DATA_OVERRIDE=PX_LAST","START_DATE_OVERRIDE",TEXT(INDEX(MO_SNA_FPStartDate,0,COLUMN()),"YYYYMMDD"),"END_DATE_OVERRIDE",TEXT(INDEX(MO_Common_QEndDate,0,COLUMN()),"YYYYMMDD")),"N/A")</f>
        <v>N/A</v>
      </c>
      <c r="AS548" s="719"/>
    </row>
    <row r="549" spans="1:45" s="722" customFormat="1" hidden="1" outlineLevel="1" x14ac:dyDescent="0.35">
      <c r="A549" s="723" t="s">
        <v>983</v>
      </c>
      <c r="B549" s="718"/>
      <c r="C549" s="719" t="str">
        <f>IFERROR(_xll.ciqfunctions.udf.CIQAVG(MO.Ticker.CapIQ,"IQ_LASTSALEPRICE",INDEX(MO_SNA_FPStartDate,0,COLUMN()),INDEX(MO_Common_QEndDate,0,COLUMN())),"N/A")</f>
        <v>(Invalid Identifier)</v>
      </c>
      <c r="D549" s="719" t="str">
        <f>IFERROR(_xll.ciqfunctions.udf.CIQAVG(MO.Ticker.CapIQ,"IQ_LASTSALEPRICE",INDEX(MO_SNA_FPStartDate,0,COLUMN()),INDEX(MO_Common_QEndDate,0,COLUMN())),"N/A")</f>
        <v>(Invalid Identifier)</v>
      </c>
      <c r="E549" s="719" t="str">
        <f>IFERROR(_xll.ciqfunctions.udf.CIQAVG(MO.Ticker.CapIQ,"IQ_LASTSALEPRICE",INDEX(MO_SNA_FPStartDate,0,COLUMN()),INDEX(MO_Common_QEndDate,0,COLUMN())),"N/A")</f>
        <v>(Invalid Identifier)</v>
      </c>
      <c r="F549" s="719" t="str">
        <f>IFERROR(_xll.ciqfunctions.udf.CIQAVG(MO.Ticker.CapIQ,"IQ_LASTSALEPRICE",INDEX(MO_SNA_FPStartDate,0,COLUMN()),INDEX(MO_Common_QEndDate,0,COLUMN())),"N/A")</f>
        <v>(Invalid Identifier)</v>
      </c>
      <c r="G549" s="719" t="str">
        <f>IFERROR(_xll.ciqfunctions.udf.CIQAVG(MO.Ticker.CapIQ,"IQ_LASTSALEPRICE",INDEX(MO_SNA_FPStartDate,0,COLUMN()),INDEX(MO_Common_QEndDate,0,COLUMN())),"N/A")</f>
        <v>(Invalid Identifier)</v>
      </c>
      <c r="H549" s="719" t="str">
        <f>IFERROR(_xll.ciqfunctions.udf.CIQAVG(MO.Ticker.CapIQ,"IQ_LASTSALEPRICE",INDEX(MO_SNA_FPStartDate,0,COLUMN()),INDEX(MO_Common_QEndDate,0,COLUMN())),"N/A")</f>
        <v>(Invalid Identifier)</v>
      </c>
      <c r="I549" s="719" t="str">
        <f>IFERROR(_xll.ciqfunctions.udf.CIQAVG(MO.Ticker.CapIQ,"IQ_LASTSALEPRICE",INDEX(MO_SNA_FPStartDate,0,COLUMN()),INDEX(MO_Common_QEndDate,0,COLUMN())),"N/A")</f>
        <v>(Invalid Identifier)</v>
      </c>
      <c r="J549" s="719" t="str">
        <f>IFERROR(_xll.ciqfunctions.udf.CIQAVG(MO.Ticker.CapIQ,"IQ_LASTSALEPRICE",INDEX(MO_SNA_FPStartDate,0,COLUMN()),INDEX(MO_Common_QEndDate,0,COLUMN())),"N/A")</f>
        <v>(Invalid Identifier)</v>
      </c>
      <c r="K549" s="719" t="str">
        <f>IFERROR(_xll.ciqfunctions.udf.CIQAVG(MO.Ticker.CapIQ,"IQ_LASTSALEPRICE",INDEX(MO_SNA_FPStartDate,0,COLUMN()),INDEX(MO_Common_QEndDate,0,COLUMN())),"N/A")</f>
        <v>(Invalid Identifier)</v>
      </c>
      <c r="L549" s="719" t="str">
        <f>IFERROR(_xll.ciqfunctions.udf.CIQAVG(MO.Ticker.CapIQ,"IQ_LASTSALEPRICE",INDEX(MO_SNA_FPStartDate,0,COLUMN()),INDEX(MO_Common_QEndDate,0,COLUMN())),"N/A")</f>
        <v>(Invalid Identifier)</v>
      </c>
      <c r="M549" s="719" t="str">
        <f>IFERROR(_xll.ciqfunctions.udf.CIQAVG(MO.Ticker.CapIQ,"IQ_LASTSALEPRICE",INDEX(MO_SNA_FPStartDate,0,COLUMN()),INDEX(MO_Common_QEndDate,0,COLUMN())),"N/A")</f>
        <v>(Invalid Identifier)</v>
      </c>
      <c r="N549" s="719" t="str">
        <f>IFERROR(_xll.ciqfunctions.udf.CIQAVG(MO.Ticker.CapIQ,"IQ_LASTSALEPRICE",INDEX(MO_SNA_FPStartDate,0,COLUMN()),INDEX(MO_Common_QEndDate,0,COLUMN())),"N/A")</f>
        <v>(Invalid Identifier)</v>
      </c>
      <c r="O549" s="719" t="str">
        <f>IFERROR(_xll.ciqfunctions.udf.CIQAVG(MO.Ticker.CapIQ,"IQ_LASTSALEPRICE",INDEX(MO_SNA_FPStartDate,0,COLUMN()),INDEX(MO_Common_QEndDate,0,COLUMN())),"N/A")</f>
        <v>(Invalid Identifier)</v>
      </c>
      <c r="P549" s="718" t="str">
        <f>IFERROR(_xll.ciqfunctions.udf.CIQAVG(MO.Ticker.CapIQ,"IQ_LASTSALEPRICE",INDEX(MO_SNA_FPStartDate,0,COLUMN()),INDEX(MO_Common_QEndDate,0,COLUMN())),"N/A")</f>
        <v>(Invalid Identifier)</v>
      </c>
      <c r="Q549" s="718" t="str">
        <f>IFERROR(_xll.ciqfunctions.udf.CIQAVG(MO.Ticker.CapIQ,"IQ_LASTSALEPRICE",INDEX(MO_SNA_FPStartDate,0,COLUMN()),INDEX(MO_Common_QEndDate,0,COLUMN())),"N/A")</f>
        <v>(Invalid Identifier)</v>
      </c>
      <c r="R549" s="718" t="str">
        <f>IFERROR(_xll.ciqfunctions.udf.CIQAVG(MO.Ticker.CapIQ,"IQ_LASTSALEPRICE",INDEX(MO_SNA_FPStartDate,0,COLUMN()),INDEX(MO_Common_QEndDate,0,COLUMN())),"N/A")</f>
        <v>(Invalid Identifier)</v>
      </c>
      <c r="S549" s="718"/>
      <c r="T549" s="718"/>
      <c r="U549" s="718"/>
      <c r="V549" s="718"/>
      <c r="W549" s="718"/>
      <c r="X549" s="718"/>
      <c r="Y549" s="718"/>
      <c r="Z549" s="720" t="str">
        <f>IFERROR(_xll.ciqfunctions.udf.CIQAVG(MO.Ticker.CapIQ,"IQ_LASTSALEPRICE",INDEX(MO_SNA_FPStartDate,0,COLUMN()),INDEX(MO_Common_QEndDate,0,COLUMN())),"N/A")</f>
        <v>(Invalid Identifier)</v>
      </c>
      <c r="AA549" s="720" t="str">
        <f>IFERROR(_xll.ciqfunctions.udf.CIQAVG(MO.Ticker.CapIQ,"IQ_LASTSALEPRICE",INDEX(MO_SNA_FPStartDate,0,COLUMN()),INDEX(MO_Common_QEndDate,0,COLUMN())),"N/A")</f>
        <v>(Invalid Identifier)</v>
      </c>
      <c r="AB549" s="719" t="str">
        <f>IFERROR(_xll.ciqfunctions.udf.CIQAVG(MO.Ticker.CapIQ,"IQ_LASTSALEPRICE",INDEX(MO_SNA_FPStartDate,0,COLUMN()),INDEX(MO_Common_QEndDate,0,COLUMN())),"N/A")</f>
        <v>(Invalid Identifier)</v>
      </c>
      <c r="AC549" s="719" t="str">
        <f>IFERROR(_xll.ciqfunctions.udf.CIQAVG(MO.Ticker.CapIQ,"IQ_LASTSALEPRICE",INDEX(MO_SNA_FPStartDate,0,COLUMN()),INDEX(MO_Common_QEndDate,0,COLUMN())),"N/A")</f>
        <v>(Invalid Identifier)</v>
      </c>
      <c r="AD549" s="719" t="str">
        <f>IFERROR(_xll.ciqfunctions.udf.CIQAVG(MO.Ticker.CapIQ,"IQ_LASTSALEPRICE",INDEX(MO_SNA_FPStartDate,0,COLUMN()),INDEX(MO_Common_QEndDate,0,COLUMN())),"N/A")</f>
        <v>(Invalid Identifier)</v>
      </c>
      <c r="AE549" s="719" t="str">
        <f>IFERROR(_xll.ciqfunctions.udf.CIQAVG(MO.Ticker.CapIQ,"IQ_LASTSALEPRICE",INDEX(MO_SNA_FPStartDate,0,COLUMN()),INDEX(MO_Common_QEndDate,0,COLUMN())),"N/A")</f>
        <v>(Invalid Identifier)</v>
      </c>
      <c r="AF549" s="719" t="str">
        <f>IFERROR(_xll.ciqfunctions.udf.CIQAVG(MO.Ticker.CapIQ,"IQ_LASTSALEPRICE",INDEX(MO_SNA_FPStartDate,0,COLUMN()),INDEX(MO_Common_QEndDate,0,COLUMN())),"N/A")</f>
        <v>(Invalid Identifier)</v>
      </c>
      <c r="AG549" s="719" t="str">
        <f>IFERROR(_xll.ciqfunctions.udf.CIQAVG(MO.Ticker.CapIQ,"IQ_LASTSALEPRICE",INDEX(MO_SNA_FPStartDate,0,COLUMN()),INDEX(MO_Common_QEndDate,0,COLUMN())),"N/A")</f>
        <v>(Invalid Identifier)</v>
      </c>
      <c r="AH549" s="719" t="str">
        <f>IFERROR(_xll.ciqfunctions.udf.CIQAVG(MO.Ticker.CapIQ,"IQ_LASTSALEPRICE",INDEX(MO_SNA_FPStartDate,0,COLUMN()),INDEX(MO_Common_QEndDate,0,COLUMN())),"N/A")</f>
        <v>(Invalid Identifier)</v>
      </c>
      <c r="AI549" s="719" t="str">
        <f>IFERROR(_xll.ciqfunctions.udf.CIQAVG(MO.Ticker.CapIQ,"IQ_LASTSALEPRICE",INDEX(MO_SNA_FPStartDate,0,COLUMN()),INDEX(MO_Common_QEndDate,0,COLUMN())),"N/A")</f>
        <v>(Invalid Identifier)</v>
      </c>
      <c r="AJ549" s="719" t="str">
        <f>IFERROR(_xll.ciqfunctions.udf.CIQAVG(MO.Ticker.CapIQ,"IQ_LASTSALEPRICE",INDEX(MO_SNA_FPStartDate,0,COLUMN()),INDEX(MO_Common_QEndDate,0,COLUMN())),"N/A")</f>
        <v>(Invalid Identifier)</v>
      </c>
      <c r="AK549" s="719" t="str">
        <f>IFERROR(_xll.ciqfunctions.udf.CIQAVG(MO.Ticker.CapIQ,"IQ_LASTSALEPRICE",INDEX(MO_SNA_FPStartDate,0,COLUMN()),INDEX(MO_Common_QEndDate,0,COLUMN())),"N/A")</f>
        <v>(Invalid Identifier)</v>
      </c>
      <c r="AL549" s="719" t="str">
        <f>IFERROR(_xll.ciqfunctions.udf.CIQAVG(MO.Ticker.CapIQ,"IQ_LASTSALEPRICE",INDEX(MO_SNA_FPStartDate,0,COLUMN()),INDEX(MO_Common_QEndDate,0,COLUMN())),"N/A")</f>
        <v>(Invalid Identifier)</v>
      </c>
      <c r="AM549" s="719" t="str">
        <f>IFERROR(_xll.ciqfunctions.udf.CIQAVG(MO.Ticker.CapIQ,"IQ_LASTSALEPRICE",INDEX(MO_SNA_FPStartDate,0,COLUMN()),INDEX(MO_Common_QEndDate,0,COLUMN())),"N/A")</f>
        <v>(Invalid Identifier)</v>
      </c>
      <c r="AN549" s="719" t="str">
        <f>IFERROR(_xll.ciqfunctions.udf.CIQAVG(MO.Ticker.CapIQ,"IQ_LASTSALEPRICE",INDEX(MO_SNA_FPStartDate,0,COLUMN()),INDEX(MO_Common_QEndDate,0,COLUMN())),"N/A")</f>
        <v>(Invalid Identifier)</v>
      </c>
      <c r="AO549" s="718" t="str">
        <f>IFERROR(_xll.ciqfunctions.udf.CIQAVG(MO.Ticker.CapIQ,"IQ_LASTSALEPRICE",INDEX(MO_SNA_FPStartDate,0,COLUMN()),INDEX(MO_Common_QEndDate,0,COLUMN())),"N/A")</f>
        <v>(Invalid Identifier)</v>
      </c>
      <c r="AP549" s="718" t="str">
        <f>IFERROR(_xll.ciqfunctions.udf.CIQAVG(MO.Ticker.CapIQ,"IQ_LASTSALEPRICE",INDEX(MO_SNA_FPStartDate,0,COLUMN()),INDEX(MO_Common_QEndDate,0,COLUMN())),"N/A")</f>
        <v>(Invalid Identifier)</v>
      </c>
      <c r="AQ549" s="718" t="str">
        <f>IFERROR(_xll.ciqfunctions.udf.CIQAVG(MO.Ticker.CapIQ,"IQ_LASTSALEPRICE",INDEX(MO_SNA_FPStartDate,0,COLUMN()),INDEX(MO_Common_QEndDate,0,COLUMN())),"N/A")</f>
        <v>(Invalid Identifier)</v>
      </c>
      <c r="AR549" s="721" t="str">
        <f>IFERROR(_xll.ciqfunctions.udf.CIQAVG(MO.Ticker.CapIQ,"IQ_LASTSALEPRICE",INDEX(MO_SNA_FPStartDate,0,COLUMN()),INDEX(MO_Common_QEndDate,0,COLUMN())),"N/A")</f>
        <v>(Invalid Identifier)</v>
      </c>
      <c r="AS549" s="719"/>
    </row>
    <row r="550" spans="1:45" s="722" customFormat="1" hidden="1" outlineLevel="1" x14ac:dyDescent="0.35">
      <c r="A550" s="723" t="s">
        <v>984</v>
      </c>
      <c r="B550" s="718"/>
      <c r="C550" s="719" t="str">
        <f ca="1">IFERROR(FDS(MO.Ticker.FactSet,"P_PRICE_AVG"&amp;"("&amp;INDEX(MO_SNA_FPStartDate,0,COLUMN())&amp;","&amp;INDEX(MO_Common_QEndDate,0,COLUMN())&amp;",,,,""PRICE"",""CLOSE"")"),"N/A")</f>
        <v>N/A</v>
      </c>
      <c r="D550" s="719" t="str">
        <f ca="1">IFERROR(FDS(MO.Ticker.FactSet,"P_PRICE_AVG"&amp;"("&amp;INDEX(MO_SNA_FPStartDate,0,COLUMN())&amp;","&amp;INDEX(MO_Common_QEndDate,0,COLUMN())&amp;",,,,""PRICE"",""CLOSE"")"),"N/A")</f>
        <v>N/A</v>
      </c>
      <c r="E550" s="719" t="str">
        <f ca="1">IFERROR(FDS(MO.Ticker.FactSet,"P_PRICE_AVG"&amp;"("&amp;INDEX(MO_SNA_FPStartDate,0,COLUMN())&amp;","&amp;INDEX(MO_Common_QEndDate,0,COLUMN())&amp;",,,,""PRICE"",""CLOSE"")"),"N/A")</f>
        <v>N/A</v>
      </c>
      <c r="F550" s="719" t="str">
        <f ca="1">IFERROR(FDS(MO.Ticker.FactSet,"P_PRICE_AVG"&amp;"("&amp;INDEX(MO_SNA_FPStartDate,0,COLUMN())&amp;","&amp;INDEX(MO_Common_QEndDate,0,COLUMN())&amp;",,,,""PRICE"",""CLOSE"")"),"N/A")</f>
        <v>N/A</v>
      </c>
      <c r="G550" s="719" t="str">
        <f ca="1">IFERROR(FDS(MO.Ticker.FactSet,"P_PRICE_AVG"&amp;"("&amp;INDEX(MO_SNA_FPStartDate,0,COLUMN())&amp;","&amp;INDEX(MO_Common_QEndDate,0,COLUMN())&amp;",,,,""PRICE"",""CLOSE"")"),"N/A")</f>
        <v>N/A</v>
      </c>
      <c r="H550" s="719" t="str">
        <f ca="1">IFERROR(FDS(MO.Ticker.FactSet,"P_PRICE_AVG"&amp;"("&amp;INDEX(MO_SNA_FPStartDate,0,COLUMN())&amp;","&amp;INDEX(MO_Common_QEndDate,0,COLUMN())&amp;",,,,""PRICE"",""CLOSE"")"),"N/A")</f>
        <v>N/A</v>
      </c>
      <c r="I550" s="719" t="str">
        <f ca="1">IFERROR(FDS(MO.Ticker.FactSet,"P_PRICE_AVG"&amp;"("&amp;INDEX(MO_SNA_FPStartDate,0,COLUMN())&amp;","&amp;INDEX(MO_Common_QEndDate,0,COLUMN())&amp;",,,,""PRICE"",""CLOSE"")"),"N/A")</f>
        <v>N/A</v>
      </c>
      <c r="J550" s="719" t="str">
        <f ca="1">IFERROR(FDS(MO.Ticker.FactSet,"P_PRICE_AVG"&amp;"("&amp;INDEX(MO_SNA_FPStartDate,0,COLUMN())&amp;","&amp;INDEX(MO_Common_QEndDate,0,COLUMN())&amp;",,,,""PRICE"",""CLOSE"")"),"N/A")</f>
        <v>N/A</v>
      </c>
      <c r="K550" s="719" t="str">
        <f ca="1">IFERROR(FDS(MO.Ticker.FactSet,"P_PRICE_AVG"&amp;"("&amp;INDEX(MO_SNA_FPStartDate,0,COLUMN())&amp;","&amp;INDEX(MO_Common_QEndDate,0,COLUMN())&amp;",,,,""PRICE"",""CLOSE"")"),"N/A")</f>
        <v>N/A</v>
      </c>
      <c r="L550" s="719" t="str">
        <f ca="1">IFERROR(FDS(MO.Ticker.FactSet,"P_PRICE_AVG"&amp;"("&amp;INDEX(MO_SNA_FPStartDate,0,COLUMN())&amp;","&amp;INDEX(MO_Common_QEndDate,0,COLUMN())&amp;",,,,""PRICE"",""CLOSE"")"),"N/A")</f>
        <v>N/A</v>
      </c>
      <c r="M550" s="719" t="str">
        <f ca="1">IFERROR(FDS(MO.Ticker.FactSet,"P_PRICE_AVG"&amp;"("&amp;INDEX(MO_SNA_FPStartDate,0,COLUMN())&amp;","&amp;INDEX(MO_Common_QEndDate,0,COLUMN())&amp;",,,,""PRICE"",""CLOSE"")"),"N/A")</f>
        <v>N/A</v>
      </c>
      <c r="N550" s="719" t="str">
        <f ca="1">IFERROR(FDS(MO.Ticker.FactSet,"P_PRICE_AVG"&amp;"("&amp;INDEX(MO_SNA_FPStartDate,0,COLUMN())&amp;","&amp;INDEX(MO_Common_QEndDate,0,COLUMN())&amp;",,,,""PRICE"",""CLOSE"")"),"N/A")</f>
        <v>N/A</v>
      </c>
      <c r="O550" s="719" t="str">
        <f ca="1">IFERROR(FDS(MO.Ticker.FactSet,"P_PRICE_AVG"&amp;"("&amp;INDEX(MO_SNA_FPStartDate,0,COLUMN())&amp;","&amp;INDEX(MO_Common_QEndDate,0,COLUMN())&amp;",,,,""PRICE"",""CLOSE"")"),"N/A")</f>
        <v>N/A</v>
      </c>
      <c r="P550" s="718" t="str">
        <f ca="1">IFERROR(FDS(MO.Ticker.FactSet,"P_PRICE_AVG"&amp;"("&amp;INDEX(MO_SNA_FPStartDate,0,COLUMN())&amp;","&amp;INDEX(MO_Common_QEndDate,0,COLUMN())&amp;",,,,""PRICE"",""CLOSE"")"),"N/A")</f>
        <v>N/A</v>
      </c>
      <c r="Q550" s="718" t="str">
        <f ca="1">IFERROR(FDS(MO.Ticker.FactSet,"P_PRICE_AVG"&amp;"("&amp;INDEX(MO_SNA_FPStartDate,0,COLUMN())&amp;","&amp;INDEX(MO_Common_QEndDate,0,COLUMN())&amp;",,,,""PRICE"",""CLOSE"")"),"N/A")</f>
        <v>N/A</v>
      </c>
      <c r="R550" s="718" t="str">
        <f ca="1">IFERROR(FDS(MO.Ticker.FactSet,"P_PRICE_AVG"&amp;"("&amp;INDEX(MO_SNA_FPStartDate,0,COLUMN())&amp;","&amp;INDEX(MO_Common_QEndDate,0,COLUMN())&amp;",,,,""PRICE"",""CLOSE"")"),"N/A")</f>
        <v>N/A</v>
      </c>
      <c r="S550" s="718"/>
      <c r="T550" s="718"/>
      <c r="U550" s="718"/>
      <c r="V550" s="718"/>
      <c r="W550" s="718"/>
      <c r="X550" s="718"/>
      <c r="Y550" s="718"/>
      <c r="Z550" s="720" t="str">
        <f ca="1">IFERROR(FDS(MO.Ticker.FactSet,"P_PRICE_AVG"&amp;"("&amp;INDEX(MO_SNA_FPStartDate,0,COLUMN())&amp;","&amp;INDEX(MO_Common_QEndDate,0,COLUMN())&amp;",,,,""PRICE"",""CLOSE"")"),"N/A")</f>
        <v>N/A</v>
      </c>
      <c r="AA550" s="720" t="str">
        <f ca="1">IFERROR(FDS(MO.Ticker.FactSet,"P_PRICE_AVG"&amp;"("&amp;INDEX(MO_SNA_FPStartDate,0,COLUMN())&amp;","&amp;INDEX(MO_Common_QEndDate,0,COLUMN())&amp;",,,,""PRICE"",""CLOSE"")"),"N/A")</f>
        <v>N/A</v>
      </c>
      <c r="AB550" s="719" t="str">
        <f ca="1">IFERROR(FDS(MO.Ticker.FactSet,"P_PRICE_AVG"&amp;"("&amp;INDEX(MO_SNA_FPStartDate,0,COLUMN())&amp;","&amp;INDEX(MO_Common_QEndDate,0,COLUMN())&amp;",,,,""PRICE"",""CLOSE"")"),"N/A")</f>
        <v>N/A</v>
      </c>
      <c r="AC550" s="719" t="str">
        <f ca="1">IFERROR(FDS(MO.Ticker.FactSet,"P_PRICE_AVG"&amp;"("&amp;INDEX(MO_SNA_FPStartDate,0,COLUMN())&amp;","&amp;INDEX(MO_Common_QEndDate,0,COLUMN())&amp;",,,,""PRICE"",""CLOSE"")"),"N/A")</f>
        <v>N/A</v>
      </c>
      <c r="AD550" s="719" t="str">
        <f ca="1">IFERROR(FDS(MO.Ticker.FactSet,"P_PRICE_AVG"&amp;"("&amp;INDEX(MO_SNA_FPStartDate,0,COLUMN())&amp;","&amp;INDEX(MO_Common_QEndDate,0,COLUMN())&amp;",,,,""PRICE"",""CLOSE"")"),"N/A")</f>
        <v>N/A</v>
      </c>
      <c r="AE550" s="719" t="str">
        <f ca="1">IFERROR(FDS(MO.Ticker.FactSet,"P_PRICE_AVG"&amp;"("&amp;INDEX(MO_SNA_FPStartDate,0,COLUMN())&amp;","&amp;INDEX(MO_Common_QEndDate,0,COLUMN())&amp;",,,,""PRICE"",""CLOSE"")"),"N/A")</f>
        <v>N/A</v>
      </c>
      <c r="AF550" s="719" t="str">
        <f ca="1">IFERROR(FDS(MO.Ticker.FactSet,"P_PRICE_AVG"&amp;"("&amp;INDEX(MO_SNA_FPStartDate,0,COLUMN())&amp;","&amp;INDEX(MO_Common_QEndDate,0,COLUMN())&amp;",,,,""PRICE"",""CLOSE"")"),"N/A")</f>
        <v>N/A</v>
      </c>
      <c r="AG550" s="719" t="str">
        <f ca="1">IFERROR(FDS(MO.Ticker.FactSet,"P_PRICE_AVG"&amp;"("&amp;INDEX(MO_SNA_FPStartDate,0,COLUMN())&amp;","&amp;INDEX(MO_Common_QEndDate,0,COLUMN())&amp;",,,,""PRICE"",""CLOSE"")"),"N/A")</f>
        <v>N/A</v>
      </c>
      <c r="AH550" s="719" t="str">
        <f ca="1">IFERROR(FDS(MO.Ticker.FactSet,"P_PRICE_AVG"&amp;"("&amp;INDEX(MO_SNA_FPStartDate,0,COLUMN())&amp;","&amp;INDEX(MO_Common_QEndDate,0,COLUMN())&amp;",,,,""PRICE"",""CLOSE"")"),"N/A")</f>
        <v>N/A</v>
      </c>
      <c r="AI550" s="719" t="str">
        <f ca="1">IFERROR(FDS(MO.Ticker.FactSet,"P_PRICE_AVG"&amp;"("&amp;INDEX(MO_SNA_FPStartDate,0,COLUMN())&amp;","&amp;INDEX(MO_Common_QEndDate,0,COLUMN())&amp;",,,,""PRICE"",""CLOSE"")"),"N/A")</f>
        <v>N/A</v>
      </c>
      <c r="AJ550" s="719" t="str">
        <f ca="1">IFERROR(FDS(MO.Ticker.FactSet,"P_PRICE_AVG"&amp;"("&amp;INDEX(MO_SNA_FPStartDate,0,COLUMN())&amp;","&amp;INDEX(MO_Common_QEndDate,0,COLUMN())&amp;",,,,""PRICE"",""CLOSE"")"),"N/A")</f>
        <v>N/A</v>
      </c>
      <c r="AK550" s="719" t="str">
        <f ca="1">IFERROR(FDS(MO.Ticker.FactSet,"P_PRICE_AVG"&amp;"("&amp;INDEX(MO_SNA_FPStartDate,0,COLUMN())&amp;","&amp;INDEX(MO_Common_QEndDate,0,COLUMN())&amp;",,,,""PRICE"",""CLOSE"")"),"N/A")</f>
        <v>N/A</v>
      </c>
      <c r="AL550" s="719" t="str">
        <f ca="1">IFERROR(FDS(MO.Ticker.FactSet,"P_PRICE_AVG"&amp;"("&amp;INDEX(MO_SNA_FPStartDate,0,COLUMN())&amp;","&amp;INDEX(MO_Common_QEndDate,0,COLUMN())&amp;",,,,""PRICE"",""CLOSE"")"),"N/A")</f>
        <v>N/A</v>
      </c>
      <c r="AM550" s="719" t="str">
        <f ca="1">IFERROR(FDS(MO.Ticker.FactSet,"P_PRICE_AVG"&amp;"("&amp;INDEX(MO_SNA_FPStartDate,0,COLUMN())&amp;","&amp;INDEX(MO_Common_QEndDate,0,COLUMN())&amp;",,,,""PRICE"",""CLOSE"")"),"N/A")</f>
        <v>N/A</v>
      </c>
      <c r="AN550" s="719" t="str">
        <f ca="1">IFERROR(FDS(MO.Ticker.FactSet,"P_PRICE_AVG"&amp;"("&amp;INDEX(MO_SNA_FPStartDate,0,COLUMN())&amp;","&amp;INDEX(MO_Common_QEndDate,0,COLUMN())&amp;",,,,""PRICE"",""CLOSE"")"),"N/A")</f>
        <v>N/A</v>
      </c>
      <c r="AO550" s="718" t="str">
        <f ca="1">IFERROR(FDS(MO.Ticker.FactSet,"P_PRICE_AVG"&amp;"("&amp;INDEX(MO_SNA_FPStartDate,0,COLUMN())&amp;","&amp;INDEX(MO_Common_QEndDate,0,COLUMN())&amp;",,,,""PRICE"",""CLOSE"")"),"N/A")</f>
        <v>N/A</v>
      </c>
      <c r="AP550" s="718" t="str">
        <f ca="1">IFERROR(FDS(MO.Ticker.FactSet,"P_PRICE_AVG"&amp;"("&amp;INDEX(MO_SNA_FPStartDate,0,COLUMN())&amp;","&amp;INDEX(MO_Common_QEndDate,0,COLUMN())&amp;",,,,""PRICE"",""CLOSE"")"),"N/A")</f>
        <v>N/A</v>
      </c>
      <c r="AQ550" s="718" t="str">
        <f ca="1">IFERROR(FDS(MO.Ticker.FactSet,"P_PRICE_AVG"&amp;"("&amp;INDEX(MO_SNA_FPStartDate,0,COLUMN())&amp;","&amp;INDEX(MO_Common_QEndDate,0,COLUMN())&amp;",,,,""PRICE"",""CLOSE"")"),"N/A")</f>
        <v>N/A</v>
      </c>
      <c r="AR550" s="721" t="str">
        <f ca="1">IFERROR(FDS(MO.Ticker.FactSet,"P_PRICE_AVG"&amp;"("&amp;INDEX(MO_SNA_FPStartDate,0,COLUMN())&amp;","&amp;INDEX(MO_Common_QEndDate,0,COLUMN())&amp;",,,,""PRICE"",""CLOSE"")"),"N/A")</f>
        <v>N/A</v>
      </c>
      <c r="AS550" s="719"/>
    </row>
    <row r="551" spans="1:45" s="722" customFormat="1" hidden="1" outlineLevel="1" x14ac:dyDescent="0.35">
      <c r="A551" s="723" t="s">
        <v>985</v>
      </c>
      <c r="B551" s="718"/>
      <c r="C551" s="719" t="str">
        <f ca="1">IFERROR(_xll.TR(MO.Ticker.Thomson,"AVG(TR.Priceclose)","sdate:#1 edate:#2",,INDEX(MO_SNA_FPStartDate,0,COLUMN()),INDEX(MO_Common_QEndDate,0,COLUMN())),"N/A")</f>
        <v>N/A</v>
      </c>
      <c r="D551" s="719" t="str">
        <f ca="1">IFERROR(_xll.TR(MO.Ticker.Thomson,"AVG(TR.Priceclose)","sdate:#1 edate:#2",,INDEX(MO_SNA_FPStartDate,0,COLUMN()),INDEX(MO_Common_QEndDate,0,COLUMN())),"N/A")</f>
        <v>N/A</v>
      </c>
      <c r="E551" s="719" t="str">
        <f ca="1">IFERROR(_xll.TR(MO.Ticker.Thomson,"AVG(TR.Priceclose)","sdate:#1 edate:#2",,INDEX(MO_SNA_FPStartDate,0,COLUMN()),INDEX(MO_Common_QEndDate,0,COLUMN())),"N/A")</f>
        <v>N/A</v>
      </c>
      <c r="F551" s="719" t="str">
        <f ca="1">IFERROR(_xll.TR(MO.Ticker.Thomson,"AVG(TR.Priceclose)","sdate:#1 edate:#2",,INDEX(MO_SNA_FPStartDate,0,COLUMN()),INDEX(MO_Common_QEndDate,0,COLUMN())),"N/A")</f>
        <v>N/A</v>
      </c>
      <c r="G551" s="719" t="str">
        <f ca="1">IFERROR(_xll.TR(MO.Ticker.Thomson,"AVG(TR.Priceclose)","sdate:#1 edate:#2",,INDEX(MO_SNA_FPStartDate,0,COLUMN()),INDEX(MO_Common_QEndDate,0,COLUMN())),"N/A")</f>
        <v>N/A</v>
      </c>
      <c r="H551" s="719" t="str">
        <f ca="1">IFERROR(_xll.TR(MO.Ticker.Thomson,"AVG(TR.Priceclose)","sdate:#1 edate:#2",,INDEX(MO_SNA_FPStartDate,0,COLUMN()),INDEX(MO_Common_QEndDate,0,COLUMN())),"N/A")</f>
        <v>N/A</v>
      </c>
      <c r="I551" s="719" t="str">
        <f ca="1">IFERROR(_xll.TR(MO.Ticker.Thomson,"AVG(TR.Priceclose)","sdate:#1 edate:#2",,INDEX(MO_SNA_FPStartDate,0,COLUMN()),INDEX(MO_Common_QEndDate,0,COLUMN())),"N/A")</f>
        <v>N/A</v>
      </c>
      <c r="J551" s="719" t="str">
        <f ca="1">IFERROR(_xll.TR(MO.Ticker.Thomson,"AVG(TR.Priceclose)","sdate:#1 edate:#2",,INDEX(MO_SNA_FPStartDate,0,COLUMN()),INDEX(MO_Common_QEndDate,0,COLUMN())),"N/A")</f>
        <v>N/A</v>
      </c>
      <c r="K551" s="719" t="str">
        <f ca="1">IFERROR(_xll.TR(MO.Ticker.Thomson,"AVG(TR.Priceclose)","sdate:#1 edate:#2",,INDEX(MO_SNA_FPStartDate,0,COLUMN()),INDEX(MO_Common_QEndDate,0,COLUMN())),"N/A")</f>
        <v>N/A</v>
      </c>
      <c r="L551" s="719" t="str">
        <f ca="1">IFERROR(_xll.TR(MO.Ticker.Thomson,"AVG(TR.Priceclose)","sdate:#1 edate:#2",,INDEX(MO_SNA_FPStartDate,0,COLUMN()),INDEX(MO_Common_QEndDate,0,COLUMN())),"N/A")</f>
        <v>N/A</v>
      </c>
      <c r="M551" s="719" t="str">
        <f ca="1">IFERROR(_xll.TR(MO.Ticker.Thomson,"AVG(TR.Priceclose)","sdate:#1 edate:#2",,INDEX(MO_SNA_FPStartDate,0,COLUMN()),INDEX(MO_Common_QEndDate,0,COLUMN())),"N/A")</f>
        <v>N/A</v>
      </c>
      <c r="N551" s="719" t="str">
        <f ca="1">IFERROR(_xll.TR(MO.Ticker.Thomson,"AVG(TR.Priceclose)","sdate:#1 edate:#2",,INDEX(MO_SNA_FPStartDate,0,COLUMN()),INDEX(MO_Common_QEndDate,0,COLUMN())),"N/A")</f>
        <v>N/A</v>
      </c>
      <c r="O551" s="719" t="str">
        <f ca="1">IFERROR(_xll.TR(MO.Ticker.Thomson,"AVG(TR.Priceclose)","sdate:#1 edate:#2",,INDEX(MO_SNA_FPStartDate,0,COLUMN()),INDEX(MO_Common_QEndDate,0,COLUMN())),"N/A")</f>
        <v>N/A</v>
      </c>
      <c r="P551" s="718" t="str">
        <f ca="1">IFERROR(_xll.TR(MO.Ticker.Thomson,"AVG(TR.Priceclose)","sdate:#1 edate:#2",,INDEX(MO_SNA_FPStartDate,0,COLUMN()),INDEX(MO_Common_QEndDate,0,COLUMN())),"N/A")</f>
        <v>N/A</v>
      </c>
      <c r="Q551" s="718" t="str">
        <f ca="1">IFERROR(_xll.TR(MO.Ticker.Thomson,"AVG(TR.Priceclose)","sdate:#1 edate:#2",,INDEX(MO_SNA_FPStartDate,0,COLUMN()),INDEX(MO_Common_QEndDate,0,COLUMN())),"N/A")</f>
        <v>N/A</v>
      </c>
      <c r="R551" s="718" t="str">
        <f ca="1">IFERROR(_xll.TR(MO.Ticker.Thomson,"AVG(TR.Priceclose)","sdate:#1 edate:#2",,INDEX(MO_SNA_FPStartDate,0,COLUMN()),INDEX(MO_Common_QEndDate,0,COLUMN())),"N/A")</f>
        <v>N/A</v>
      </c>
      <c r="S551" s="718"/>
      <c r="T551" s="718"/>
      <c r="U551" s="718"/>
      <c r="V551" s="718"/>
      <c r="W551" s="718"/>
      <c r="X551" s="718"/>
      <c r="Y551" s="718"/>
      <c r="Z551" s="720" t="str">
        <f ca="1">IFERROR(_xll.TR(MO.Ticker.Thomson,"AVG(TR.Priceclose)","sdate:#1 edate:#2",,INDEX(MO_SNA_FPStartDate,0,COLUMN()),INDEX(MO_Common_QEndDate,0,COLUMN())),"N/A")</f>
        <v>N/A</v>
      </c>
      <c r="AA551" s="720" t="str">
        <f ca="1">IFERROR(_xll.TR(MO.Ticker.Thomson,"AVG(TR.Priceclose)","sdate:#1 edate:#2",,INDEX(MO_SNA_FPStartDate,0,COLUMN()),INDEX(MO_Common_QEndDate,0,COLUMN())),"N/A")</f>
        <v>N/A</v>
      </c>
      <c r="AB551" s="719" t="str">
        <f ca="1">IFERROR(_xll.TR(MO.Ticker.Thomson,"AVG(TR.Priceclose)","sdate:#1 edate:#2",,INDEX(MO_SNA_FPStartDate,0,COLUMN()),INDEX(MO_Common_QEndDate,0,COLUMN())),"N/A")</f>
        <v>N/A</v>
      </c>
      <c r="AC551" s="719" t="str">
        <f ca="1">IFERROR(_xll.TR(MO.Ticker.Thomson,"AVG(TR.Priceclose)","sdate:#1 edate:#2",,INDEX(MO_SNA_FPStartDate,0,COLUMN()),INDEX(MO_Common_QEndDate,0,COLUMN())),"N/A")</f>
        <v>N/A</v>
      </c>
      <c r="AD551" s="719" t="str">
        <f ca="1">IFERROR(_xll.TR(MO.Ticker.Thomson,"AVG(TR.Priceclose)","sdate:#1 edate:#2",,INDEX(MO_SNA_FPStartDate,0,COLUMN()),INDEX(MO_Common_QEndDate,0,COLUMN())),"N/A")</f>
        <v>N/A</v>
      </c>
      <c r="AE551" s="719" t="str">
        <f ca="1">IFERROR(_xll.TR(MO.Ticker.Thomson,"AVG(TR.Priceclose)","sdate:#1 edate:#2",,INDEX(MO_SNA_FPStartDate,0,COLUMN()),INDEX(MO_Common_QEndDate,0,COLUMN())),"N/A")</f>
        <v>N/A</v>
      </c>
      <c r="AF551" s="719" t="str">
        <f ca="1">IFERROR(_xll.TR(MO.Ticker.Thomson,"AVG(TR.Priceclose)","sdate:#1 edate:#2",,INDEX(MO_SNA_FPStartDate,0,COLUMN()),INDEX(MO_Common_QEndDate,0,COLUMN())),"N/A")</f>
        <v>N/A</v>
      </c>
      <c r="AG551" s="719" t="str">
        <f ca="1">IFERROR(_xll.TR(MO.Ticker.Thomson,"AVG(TR.Priceclose)","sdate:#1 edate:#2",,INDEX(MO_SNA_FPStartDate,0,COLUMN()),INDEX(MO_Common_QEndDate,0,COLUMN())),"N/A")</f>
        <v>N/A</v>
      </c>
      <c r="AH551" s="719" t="str">
        <f ca="1">IFERROR(_xll.TR(MO.Ticker.Thomson,"AVG(TR.Priceclose)","sdate:#1 edate:#2",,INDEX(MO_SNA_FPStartDate,0,COLUMN()),INDEX(MO_Common_QEndDate,0,COLUMN())),"N/A")</f>
        <v>N/A</v>
      </c>
      <c r="AI551" s="719" t="str">
        <f ca="1">IFERROR(_xll.TR(MO.Ticker.Thomson,"AVG(TR.Priceclose)","sdate:#1 edate:#2",,INDEX(MO_SNA_FPStartDate,0,COLUMN()),INDEX(MO_Common_QEndDate,0,COLUMN())),"N/A")</f>
        <v>N/A</v>
      </c>
      <c r="AJ551" s="719" t="str">
        <f ca="1">IFERROR(_xll.TR(MO.Ticker.Thomson,"AVG(TR.Priceclose)","sdate:#1 edate:#2",,INDEX(MO_SNA_FPStartDate,0,COLUMN()),INDEX(MO_Common_QEndDate,0,COLUMN())),"N/A")</f>
        <v>N/A</v>
      </c>
      <c r="AK551" s="719" t="str">
        <f ca="1">IFERROR(_xll.TR(MO.Ticker.Thomson,"AVG(TR.Priceclose)","sdate:#1 edate:#2",,INDEX(MO_SNA_FPStartDate,0,COLUMN()),INDEX(MO_Common_QEndDate,0,COLUMN())),"N/A")</f>
        <v>N/A</v>
      </c>
      <c r="AL551" s="719" t="str">
        <f ca="1">IFERROR(_xll.TR(MO.Ticker.Thomson,"AVG(TR.Priceclose)","sdate:#1 edate:#2",,INDEX(MO_SNA_FPStartDate,0,COLUMN()),INDEX(MO_Common_QEndDate,0,COLUMN())),"N/A")</f>
        <v>N/A</v>
      </c>
      <c r="AM551" s="719" t="str">
        <f ca="1">IFERROR(_xll.TR(MO.Ticker.Thomson,"AVG(TR.Priceclose)","sdate:#1 edate:#2",,INDEX(MO_SNA_FPStartDate,0,COLUMN()),INDEX(MO_Common_QEndDate,0,COLUMN())),"N/A")</f>
        <v>N/A</v>
      </c>
      <c r="AN551" s="719" t="str">
        <f ca="1">IFERROR(_xll.TR(MO.Ticker.Thomson,"AVG(TR.Priceclose)","sdate:#1 edate:#2",,INDEX(MO_SNA_FPStartDate,0,COLUMN()),INDEX(MO_Common_QEndDate,0,COLUMN())),"N/A")</f>
        <v>N/A</v>
      </c>
      <c r="AO551" s="718" t="str">
        <f ca="1">IFERROR(_xll.TR(MO.Ticker.Thomson,"AVG(TR.Priceclose)","sdate:#1 edate:#2",,INDEX(MO_SNA_FPStartDate,0,COLUMN()),INDEX(MO_Common_QEndDate,0,COLUMN())),"N/A")</f>
        <v>N/A</v>
      </c>
      <c r="AP551" s="718" t="str">
        <f ca="1">IFERROR(_xll.TR(MO.Ticker.Thomson,"AVG(TR.Priceclose)","sdate:#1 edate:#2",,INDEX(MO_SNA_FPStartDate,0,COLUMN()),INDEX(MO_Common_QEndDate,0,COLUMN())),"N/A")</f>
        <v>N/A</v>
      </c>
      <c r="AQ551" s="718" t="str">
        <f ca="1">IFERROR(_xll.TR(MO.Ticker.Thomson,"AVG(TR.Priceclose)","sdate:#1 edate:#2",,INDEX(MO_SNA_FPStartDate,0,COLUMN()),INDEX(MO_Common_QEndDate,0,COLUMN())),"N/A")</f>
        <v>N/A</v>
      </c>
      <c r="AR551" s="721" t="str">
        <f ca="1">IFERROR(_xll.TR(MO.Ticker.Thomson,"AVG(TR.Priceclose)","sdate:#1 edate:#2",,INDEX(MO_SNA_FPStartDate,0,COLUMN()),INDEX(MO_Common_QEndDate,0,COLUMN())),"N/A")</f>
        <v>N/A</v>
      </c>
      <c r="AS551" s="719"/>
    </row>
    <row r="552" spans="1:45" s="167" customFormat="1" hidden="1" outlineLevel="1" x14ac:dyDescent="0.35">
      <c r="A552" s="727"/>
      <c r="B552" s="164"/>
      <c r="C552" s="164"/>
      <c r="D552" s="164"/>
      <c r="E552" s="164"/>
      <c r="F552" s="164"/>
      <c r="G552" s="164"/>
      <c r="H552" s="164"/>
      <c r="I552" s="164"/>
      <c r="J552" s="164"/>
      <c r="K552" s="164"/>
      <c r="L552" s="164"/>
      <c r="M552" s="164"/>
      <c r="N552" s="164"/>
      <c r="O552" s="164"/>
      <c r="P552" s="164"/>
      <c r="Q552" s="164"/>
      <c r="R552" s="164"/>
      <c r="S552" s="164"/>
      <c r="T552" s="164"/>
      <c r="U552" s="164"/>
      <c r="V552" s="164"/>
      <c r="W552" s="164"/>
      <c r="X552" s="164"/>
      <c r="Y552" s="164"/>
      <c r="Z552" s="682"/>
      <c r="AA552" s="682"/>
      <c r="AB552" s="164"/>
      <c r="AC552" s="164"/>
      <c r="AD552" s="164"/>
      <c r="AE552" s="164"/>
      <c r="AF552" s="164"/>
      <c r="AG552" s="164"/>
      <c r="AH552" s="164"/>
      <c r="AI552" s="164"/>
      <c r="AJ552" s="164"/>
      <c r="AK552" s="164"/>
      <c r="AL552" s="164"/>
      <c r="AM552" s="164"/>
      <c r="AN552" s="164"/>
      <c r="AO552" s="164"/>
      <c r="AP552" s="164"/>
      <c r="AQ552" s="164"/>
      <c r="AR552" s="728"/>
      <c r="AS552" s="166"/>
    </row>
    <row r="553" spans="1:45" s="625" customFormat="1" collapsed="1" x14ac:dyDescent="0.35">
      <c r="A553" s="729" t="e">
        <f>"FX Average: "&amp;IF(OR(MO.RealTimeStockPriceToggle=FALSE,VLOOKUP(MO.DataSourceName,MO_SPT_FXAverage_Sources,COLUMN()+2,FALSE)="N/A"),"Real-Time Off Source",MO.DataSourceName)</f>
        <v>#REF!</v>
      </c>
      <c r="B553" s="730"/>
      <c r="C553" s="624" t="e">
        <f t="shared" ref="C553:R553" si="412">IF(OR(MO.RealTimeStockPriceToggle=FALSE,EXACT(HP.TradeCurrency,MO.ReportCurrency),VLOOKUP(MO.DataSourceName,MO_SPT_FXAverage_Sources,COLUMN(),FALSE)="N/A",MO.ApplyTradeCurrencyScaling),VLOOKUP("Real-Time Off Source",MO_SPT_FXAverage_Sources,COLUMN(),FALSE),VLOOKUP(MO.DataSourceName,MO_SPT_FXAverage_Sources,COLUMN(),FALSE))</f>
        <v>#REF!</v>
      </c>
      <c r="D553" s="624" t="e">
        <f t="shared" si="412"/>
        <v>#REF!</v>
      </c>
      <c r="E553" s="624" t="e">
        <f t="shared" si="412"/>
        <v>#REF!</v>
      </c>
      <c r="F553" s="624" t="e">
        <f t="shared" si="412"/>
        <v>#REF!</v>
      </c>
      <c r="G553" s="624" t="e">
        <f t="shared" si="412"/>
        <v>#REF!</v>
      </c>
      <c r="H553" s="624" t="e">
        <f t="shared" si="412"/>
        <v>#REF!</v>
      </c>
      <c r="I553" s="624" t="e">
        <f t="shared" si="412"/>
        <v>#REF!</v>
      </c>
      <c r="J553" s="624" t="e">
        <f t="shared" si="412"/>
        <v>#REF!</v>
      </c>
      <c r="K553" s="624" t="e">
        <f t="shared" si="412"/>
        <v>#REF!</v>
      </c>
      <c r="L553" s="624" t="e">
        <f t="shared" si="412"/>
        <v>#REF!</v>
      </c>
      <c r="M553" s="624" t="e">
        <f t="shared" si="412"/>
        <v>#REF!</v>
      </c>
      <c r="N553" s="624" t="e">
        <f t="shared" si="412"/>
        <v>#REF!</v>
      </c>
      <c r="O553" s="624" t="e">
        <f t="shared" si="412"/>
        <v>#REF!</v>
      </c>
      <c r="P553" s="730" t="e">
        <f t="shared" si="412"/>
        <v>#REF!</v>
      </c>
      <c r="Q553" s="730" t="e">
        <f t="shared" si="412"/>
        <v>#REF!</v>
      </c>
      <c r="R553" s="730" t="e">
        <f t="shared" si="412"/>
        <v>#REF!</v>
      </c>
      <c r="S553" s="730"/>
      <c r="T553" s="730"/>
      <c r="U553" s="730"/>
      <c r="V553" s="730"/>
      <c r="W553" s="730"/>
      <c r="X553" s="730"/>
      <c r="Y553" s="730"/>
      <c r="Z553" s="731" t="e">
        <f t="shared" ref="Z553:AR553" si="413">IF(OR(MO.RealTimeStockPriceToggle=FALSE,EXACT(HP.TradeCurrency,MO.ReportCurrency),VLOOKUP(MO.DataSourceName,MO_SPT_FXAverage_Sources,COLUMN(),FALSE)="N/A",MO.ApplyTradeCurrencyScaling),VLOOKUP("Real-Time Off Source",MO_SPT_FXAverage_Sources,COLUMN(),FALSE),VLOOKUP(MO.DataSourceName,MO_SPT_FXAverage_Sources,COLUMN(),FALSE))</f>
        <v>#REF!</v>
      </c>
      <c r="AA553" s="731" t="e">
        <f t="shared" si="413"/>
        <v>#REF!</v>
      </c>
      <c r="AB553" s="624" t="e">
        <f t="shared" si="413"/>
        <v>#REF!</v>
      </c>
      <c r="AC553" s="624" t="e">
        <f t="shared" si="413"/>
        <v>#REF!</v>
      </c>
      <c r="AD553" s="624" t="e">
        <f t="shared" si="413"/>
        <v>#REF!</v>
      </c>
      <c r="AE553" s="624" t="e">
        <f t="shared" si="413"/>
        <v>#REF!</v>
      </c>
      <c r="AF553" s="624" t="e">
        <f t="shared" si="413"/>
        <v>#REF!</v>
      </c>
      <c r="AG553" s="624" t="e">
        <f t="shared" si="413"/>
        <v>#REF!</v>
      </c>
      <c r="AH553" s="624" t="e">
        <f t="shared" si="413"/>
        <v>#REF!</v>
      </c>
      <c r="AI553" s="624" t="e">
        <f t="shared" si="413"/>
        <v>#REF!</v>
      </c>
      <c r="AJ553" s="624" t="e">
        <f t="shared" si="413"/>
        <v>#REF!</v>
      </c>
      <c r="AK553" s="624" t="e">
        <f t="shared" si="413"/>
        <v>#REF!</v>
      </c>
      <c r="AL553" s="624" t="e">
        <f t="shared" si="413"/>
        <v>#REF!</v>
      </c>
      <c r="AM553" s="624" t="e">
        <f t="shared" si="413"/>
        <v>#REF!</v>
      </c>
      <c r="AN553" s="624" t="e">
        <f t="shared" si="413"/>
        <v>#REF!</v>
      </c>
      <c r="AO553" s="730" t="e">
        <f t="shared" si="413"/>
        <v>#REF!</v>
      </c>
      <c r="AP553" s="730" t="e">
        <f t="shared" si="413"/>
        <v>#REF!</v>
      </c>
      <c r="AQ553" s="730" t="e">
        <f t="shared" si="413"/>
        <v>#REF!</v>
      </c>
      <c r="AR553" s="732" t="e">
        <f t="shared" si="413"/>
        <v>#REF!</v>
      </c>
      <c r="AS553" s="624"/>
    </row>
    <row r="554" spans="1:45" s="625" customFormat="1" hidden="1" outlineLevel="1" x14ac:dyDescent="0.35">
      <c r="A554" s="733" t="s">
        <v>981</v>
      </c>
      <c r="B554" s="730"/>
      <c r="C554" s="734">
        <v>100</v>
      </c>
      <c r="D554" s="734">
        <v>100</v>
      </c>
      <c r="E554" s="734">
        <v>100</v>
      </c>
      <c r="F554" s="734">
        <v>100</v>
      </c>
      <c r="G554" s="734">
        <v>100</v>
      </c>
      <c r="H554" s="734">
        <v>100</v>
      </c>
      <c r="I554" s="734">
        <v>100</v>
      </c>
      <c r="J554" s="734">
        <v>100</v>
      </c>
      <c r="K554" s="734">
        <v>100</v>
      </c>
      <c r="L554" s="734">
        <v>100</v>
      </c>
      <c r="M554" s="734">
        <v>100</v>
      </c>
      <c r="N554" s="734">
        <v>100</v>
      </c>
      <c r="O554" s="734">
        <v>100</v>
      </c>
      <c r="P554" s="730">
        <f>MO.MRFX.Hardcoded</f>
        <v>100</v>
      </c>
      <c r="Q554" s="730">
        <f>MO.MRFX.Hardcoded</f>
        <v>100</v>
      </c>
      <c r="R554" s="730">
        <f>MO.MRFX.Hardcoded</f>
        <v>100</v>
      </c>
      <c r="S554" s="730"/>
      <c r="T554" s="730"/>
      <c r="U554" s="730"/>
      <c r="V554" s="730"/>
      <c r="W554" s="730"/>
      <c r="X554" s="730"/>
      <c r="Y554" s="730"/>
      <c r="Z554" s="735">
        <v>100</v>
      </c>
      <c r="AA554" s="735">
        <v>100</v>
      </c>
      <c r="AB554" s="734">
        <v>100</v>
      </c>
      <c r="AC554" s="734">
        <v>100</v>
      </c>
      <c r="AD554" s="734">
        <v>100</v>
      </c>
      <c r="AE554" s="734">
        <v>100</v>
      </c>
      <c r="AF554" s="734">
        <v>100</v>
      </c>
      <c r="AG554" s="734">
        <v>100</v>
      </c>
      <c r="AH554" s="734">
        <v>100</v>
      </c>
      <c r="AI554" s="734">
        <v>100</v>
      </c>
      <c r="AJ554" s="734">
        <v>100</v>
      </c>
      <c r="AK554" s="734">
        <v>100</v>
      </c>
      <c r="AL554" s="734">
        <v>100</v>
      </c>
      <c r="AM554" s="734">
        <v>100</v>
      </c>
      <c r="AN554" s="624">
        <f>MO.MRFX.Hardcoded</f>
        <v>100</v>
      </c>
      <c r="AO554" s="730">
        <f>MO.MRFX.Hardcoded</f>
        <v>100</v>
      </c>
      <c r="AP554" s="730">
        <f>MO.MRFX.Hardcoded</f>
        <v>100</v>
      </c>
      <c r="AQ554" s="730">
        <f>MO.MRFX.Hardcoded</f>
        <v>100</v>
      </c>
      <c r="AR554" s="732">
        <f>MO.MRFX.Hardcoded</f>
        <v>100</v>
      </c>
      <c r="AS554" s="624"/>
    </row>
    <row r="555" spans="1:45" s="625" customFormat="1" hidden="1" outlineLevel="1" x14ac:dyDescent="0.35">
      <c r="A555" s="733" t="s">
        <v>982</v>
      </c>
      <c r="B555" s="730"/>
      <c r="C555" s="624"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D555" s="624"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E555" s="624"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F555" s="624"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G555" s="624"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H555" s="624"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I555" s="624"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J555" s="624"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K555" s="624"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L555" s="624"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M555" s="624"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N555" s="624"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O555" s="624"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P555" s="730"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Q555" s="730"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R555" s="730"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S555" s="730"/>
      <c r="T555" s="730"/>
      <c r="U555" s="730"/>
      <c r="V555" s="730"/>
      <c r="W555" s="730"/>
      <c r="X555" s="730"/>
      <c r="Y555" s="730"/>
      <c r="Z555" s="73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A555" s="731"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B555" s="624"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C555" s="624"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D555" s="624"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E555" s="624"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F555" s="624"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G555" s="624"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H555" s="624"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I555" s="624"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J555" s="624"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K555" s="624"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L555" s="624"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M555" s="624"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N555" s="624"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O555" s="730"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P555" s="730"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Q555" s="730"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R555" s="732" t="str">
        <f ca="1">IFERROR(IF(INDEX(MO_Common_QEndDate,0,COLUMN())&gt;TODAY(),BDP(MO.ReportCurrency&amp;HP.TradeCurrency&amp;" CURNCY","PX_LAST"),BDP(MO.ReportCurrency&amp;HP.TradeCurrency&amp;" CURNCY","INTERVAL_AVG","MARKET_DATA_OVERRIDE=PX_LAST","START_DATE_OVERRIDE",TEXT(INDEX(MO_SNA_FPStartDate,0,COLUMN()),"YYYYMMDD"),"END_DATE_OVERRIDE",TEXT(INDEX(MO_Common_QEndDate,0,COLUMN()),"YYYYMMDD"))),"N/A")</f>
        <v>N/A</v>
      </c>
      <c r="AS555" s="624"/>
    </row>
    <row r="556" spans="1:45" s="625" customFormat="1" hidden="1" outlineLevel="1" x14ac:dyDescent="0.35">
      <c r="A556" s="733" t="s">
        <v>983</v>
      </c>
      <c r="B556" s="730"/>
      <c r="C556" s="624">
        <f ca="1">IFERROR(IF(INDEX(MO_Common_QEndDate,0,COLUMN())&gt;TODAY(),_xll.ciqfunctions.udf.CIQ("$"&amp;HP.TradeCurrency&amp;MO.ReportCurrency,"IQ_LASTSALEPRICE"),_xll.ciqfunctions.udf.CIQAVG("$"&amp;HP.TradeCurrency&amp;MO.ReportCurrency,"IQ_LASTSALEPRICE",INDEX(MO_SNA_FPStartDate,0,COLUMN()),INDEX(MO_Common_QEndDate,0,COLUMN()))),"N/A")</f>
        <v>100</v>
      </c>
      <c r="D556" s="624">
        <f ca="1">IFERROR(IF(INDEX(MO_Common_QEndDate,0,COLUMN())&gt;TODAY(),_xll.ciqfunctions.udf.CIQ("$"&amp;HP.TradeCurrency&amp;MO.ReportCurrency,"IQ_LASTSALEPRICE"),_xll.ciqfunctions.udf.CIQAVG("$"&amp;HP.TradeCurrency&amp;MO.ReportCurrency,"IQ_LASTSALEPRICE",INDEX(MO_SNA_FPStartDate,0,COLUMN()),INDEX(MO_Common_QEndDate,0,COLUMN()))),"N/A")</f>
        <v>100</v>
      </c>
      <c r="E556" s="624">
        <f ca="1">IFERROR(IF(INDEX(MO_Common_QEndDate,0,COLUMN())&gt;TODAY(),_xll.ciqfunctions.udf.CIQ("$"&amp;HP.TradeCurrency&amp;MO.ReportCurrency,"IQ_LASTSALEPRICE"),_xll.ciqfunctions.udf.CIQAVG("$"&amp;HP.TradeCurrency&amp;MO.ReportCurrency,"IQ_LASTSALEPRICE",INDEX(MO_SNA_FPStartDate,0,COLUMN()),INDEX(MO_Common_QEndDate,0,COLUMN()))),"N/A")</f>
        <v>100</v>
      </c>
      <c r="F556" s="624">
        <f ca="1">IFERROR(IF(INDEX(MO_Common_QEndDate,0,COLUMN())&gt;TODAY(),_xll.ciqfunctions.udf.CIQ("$"&amp;HP.TradeCurrency&amp;MO.ReportCurrency,"IQ_LASTSALEPRICE"),_xll.ciqfunctions.udf.CIQAVG("$"&amp;HP.TradeCurrency&amp;MO.ReportCurrency,"IQ_LASTSALEPRICE",INDEX(MO_SNA_FPStartDate,0,COLUMN()),INDEX(MO_Common_QEndDate,0,COLUMN()))),"N/A")</f>
        <v>100</v>
      </c>
      <c r="G556" s="624">
        <f ca="1">IFERROR(IF(INDEX(MO_Common_QEndDate,0,COLUMN())&gt;TODAY(),_xll.ciqfunctions.udf.CIQ("$"&amp;HP.TradeCurrency&amp;MO.ReportCurrency,"IQ_LASTSALEPRICE"),_xll.ciqfunctions.udf.CIQAVG("$"&amp;HP.TradeCurrency&amp;MO.ReportCurrency,"IQ_LASTSALEPRICE",INDEX(MO_SNA_FPStartDate,0,COLUMN()),INDEX(MO_Common_QEndDate,0,COLUMN()))),"N/A")</f>
        <v>100</v>
      </c>
      <c r="H556" s="624">
        <f ca="1">IFERROR(IF(INDEX(MO_Common_QEndDate,0,COLUMN())&gt;TODAY(),_xll.ciqfunctions.udf.CIQ("$"&amp;HP.TradeCurrency&amp;MO.ReportCurrency,"IQ_LASTSALEPRICE"),_xll.ciqfunctions.udf.CIQAVG("$"&amp;HP.TradeCurrency&amp;MO.ReportCurrency,"IQ_LASTSALEPRICE",INDEX(MO_SNA_FPStartDate,0,COLUMN()),INDEX(MO_Common_QEndDate,0,COLUMN()))),"N/A")</f>
        <v>100</v>
      </c>
      <c r="I556" s="624">
        <f ca="1">IFERROR(IF(INDEX(MO_Common_QEndDate,0,COLUMN())&gt;TODAY(),_xll.ciqfunctions.udf.CIQ("$"&amp;HP.TradeCurrency&amp;MO.ReportCurrency,"IQ_LASTSALEPRICE"),_xll.ciqfunctions.udf.CIQAVG("$"&amp;HP.TradeCurrency&amp;MO.ReportCurrency,"IQ_LASTSALEPRICE",INDEX(MO_SNA_FPStartDate,0,COLUMN()),INDEX(MO_Common_QEndDate,0,COLUMN()))),"N/A")</f>
        <v>100</v>
      </c>
      <c r="J556" s="624">
        <f ca="1">IFERROR(IF(INDEX(MO_Common_QEndDate,0,COLUMN())&gt;TODAY(),_xll.ciqfunctions.udf.CIQ("$"&amp;HP.TradeCurrency&amp;MO.ReportCurrency,"IQ_LASTSALEPRICE"),_xll.ciqfunctions.udf.CIQAVG("$"&amp;HP.TradeCurrency&amp;MO.ReportCurrency,"IQ_LASTSALEPRICE",INDEX(MO_SNA_FPStartDate,0,COLUMN()),INDEX(MO_Common_QEndDate,0,COLUMN()))),"N/A")</f>
        <v>100</v>
      </c>
      <c r="K556" s="624">
        <f ca="1">IFERROR(IF(INDEX(MO_Common_QEndDate,0,COLUMN())&gt;TODAY(),_xll.ciqfunctions.udf.CIQ("$"&amp;HP.TradeCurrency&amp;MO.ReportCurrency,"IQ_LASTSALEPRICE"),_xll.ciqfunctions.udf.CIQAVG("$"&amp;HP.TradeCurrency&amp;MO.ReportCurrency,"IQ_LASTSALEPRICE",INDEX(MO_SNA_FPStartDate,0,COLUMN()),INDEX(MO_Common_QEndDate,0,COLUMN()))),"N/A")</f>
        <v>100</v>
      </c>
      <c r="L556" s="624">
        <f ca="1">IFERROR(IF(INDEX(MO_Common_QEndDate,0,COLUMN())&gt;TODAY(),_xll.ciqfunctions.udf.CIQ("$"&amp;HP.TradeCurrency&amp;MO.ReportCurrency,"IQ_LASTSALEPRICE"),_xll.ciqfunctions.udf.CIQAVG("$"&amp;HP.TradeCurrency&amp;MO.ReportCurrency,"IQ_LASTSALEPRICE",INDEX(MO_SNA_FPStartDate,0,COLUMN()),INDEX(MO_Common_QEndDate,0,COLUMN()))),"N/A")</f>
        <v>100</v>
      </c>
      <c r="M556" s="624">
        <f ca="1">IFERROR(IF(INDEX(MO_Common_QEndDate,0,COLUMN())&gt;TODAY(),_xll.ciqfunctions.udf.CIQ("$"&amp;HP.TradeCurrency&amp;MO.ReportCurrency,"IQ_LASTSALEPRICE"),_xll.ciqfunctions.udf.CIQAVG("$"&amp;HP.TradeCurrency&amp;MO.ReportCurrency,"IQ_LASTSALEPRICE",INDEX(MO_SNA_FPStartDate,0,COLUMN()),INDEX(MO_Common_QEndDate,0,COLUMN()))),"N/A")</f>
        <v>100</v>
      </c>
      <c r="N556" s="624">
        <f ca="1">IFERROR(IF(INDEX(MO_Common_QEndDate,0,COLUMN())&gt;TODAY(),_xll.ciqfunctions.udf.CIQ("$"&amp;HP.TradeCurrency&amp;MO.ReportCurrency,"IQ_LASTSALEPRICE"),_xll.ciqfunctions.udf.CIQAVG("$"&amp;HP.TradeCurrency&amp;MO.ReportCurrency,"IQ_LASTSALEPRICE",INDEX(MO_SNA_FPStartDate,0,COLUMN()),INDEX(MO_Common_QEndDate,0,COLUMN()))),"N/A")</f>
        <v>100</v>
      </c>
      <c r="O556" s="624">
        <f ca="1">IFERROR(IF(INDEX(MO_Common_QEndDate,0,COLUMN())&gt;TODAY(),_xll.ciqfunctions.udf.CIQ("$"&amp;HP.TradeCurrency&amp;MO.ReportCurrency,"IQ_LASTSALEPRICE"),_xll.ciqfunctions.udf.CIQAVG("$"&amp;HP.TradeCurrency&amp;MO.ReportCurrency,"IQ_LASTSALEPRICE",INDEX(MO_SNA_FPStartDate,0,COLUMN()),INDEX(MO_Common_QEndDate,0,COLUMN()))),"N/A")</f>
        <v>100</v>
      </c>
      <c r="P556" s="730">
        <f ca="1">IFERROR(IF(INDEX(MO_Common_QEndDate,0,COLUMN())&gt;TODAY(),_xll.ciqfunctions.udf.CIQ("$"&amp;HP.TradeCurrency&amp;MO.ReportCurrency,"IQ_LASTSALEPRICE"),_xll.ciqfunctions.udf.CIQAVG("$"&amp;HP.TradeCurrency&amp;MO.ReportCurrency,"IQ_LASTSALEPRICE",INDEX(MO_SNA_FPStartDate,0,COLUMN()),INDEX(MO_Common_QEndDate,0,COLUMN()))),"N/A")</f>
        <v>100</v>
      </c>
      <c r="Q556" s="730">
        <f ca="1">IFERROR(IF(INDEX(MO_Common_QEndDate,0,COLUMN())&gt;TODAY(),_xll.ciqfunctions.udf.CIQ("$"&amp;HP.TradeCurrency&amp;MO.ReportCurrency,"IQ_LASTSALEPRICE"),_xll.ciqfunctions.udf.CIQAVG("$"&amp;HP.TradeCurrency&amp;MO.ReportCurrency,"IQ_LASTSALEPRICE",INDEX(MO_SNA_FPStartDate,0,COLUMN()),INDEX(MO_Common_QEndDate,0,COLUMN()))),"N/A")</f>
        <v>100</v>
      </c>
      <c r="R556" s="730">
        <f ca="1">IFERROR(IF(INDEX(MO_Common_QEndDate,0,COLUMN())&gt;TODAY(),_xll.ciqfunctions.udf.CIQ("$"&amp;HP.TradeCurrency&amp;MO.ReportCurrency,"IQ_LASTSALEPRICE"),_xll.ciqfunctions.udf.CIQAVG("$"&amp;HP.TradeCurrency&amp;MO.ReportCurrency,"IQ_LASTSALEPRICE",INDEX(MO_SNA_FPStartDate,0,COLUMN()),INDEX(MO_Common_QEndDate,0,COLUMN()))),"N/A")</f>
        <v>100</v>
      </c>
      <c r="S556" s="730"/>
      <c r="T556" s="730"/>
      <c r="U556" s="730"/>
      <c r="V556" s="730"/>
      <c r="W556" s="730"/>
      <c r="X556" s="730"/>
      <c r="Y556" s="730"/>
      <c r="Z556" s="731">
        <f ca="1">IFERROR(IF(INDEX(MO_Common_QEndDate,0,COLUMN())&gt;TODAY(),_xll.ciqfunctions.udf.CIQ("$"&amp;HP.TradeCurrency&amp;MO.ReportCurrency,"IQ_LASTSALEPRICE"),_xll.ciqfunctions.udf.CIQAVG("$"&amp;HP.TradeCurrency&amp;MO.ReportCurrency,"IQ_LASTSALEPRICE",INDEX(MO_SNA_FPStartDate,0,COLUMN()),INDEX(MO_Common_QEndDate,0,COLUMN()))),"N/A")</f>
        <v>100</v>
      </c>
      <c r="AA556" s="731">
        <f ca="1">IFERROR(IF(INDEX(MO_Common_QEndDate,0,COLUMN())&gt;TODAY(),_xll.ciqfunctions.udf.CIQ("$"&amp;HP.TradeCurrency&amp;MO.ReportCurrency,"IQ_LASTSALEPRICE"),_xll.ciqfunctions.udf.CIQAVG("$"&amp;HP.TradeCurrency&amp;MO.ReportCurrency,"IQ_LASTSALEPRICE",INDEX(MO_SNA_FPStartDate,0,COLUMN()),INDEX(MO_Common_QEndDate,0,COLUMN()))),"N/A")</f>
        <v>100</v>
      </c>
      <c r="AB556" s="624">
        <f ca="1">IFERROR(IF(INDEX(MO_Common_QEndDate,0,COLUMN())&gt;TODAY(),_xll.ciqfunctions.udf.CIQ("$"&amp;HP.TradeCurrency&amp;MO.ReportCurrency,"IQ_LASTSALEPRICE"),_xll.ciqfunctions.udf.CIQAVG("$"&amp;HP.TradeCurrency&amp;MO.ReportCurrency,"IQ_LASTSALEPRICE",INDEX(MO_SNA_FPStartDate,0,COLUMN()),INDEX(MO_Common_QEndDate,0,COLUMN()))),"N/A")</f>
        <v>100</v>
      </c>
      <c r="AC556" s="624">
        <f ca="1">IFERROR(IF(INDEX(MO_Common_QEndDate,0,COLUMN())&gt;TODAY(),_xll.ciqfunctions.udf.CIQ("$"&amp;HP.TradeCurrency&amp;MO.ReportCurrency,"IQ_LASTSALEPRICE"),_xll.ciqfunctions.udf.CIQAVG("$"&amp;HP.TradeCurrency&amp;MO.ReportCurrency,"IQ_LASTSALEPRICE",INDEX(MO_SNA_FPStartDate,0,COLUMN()),INDEX(MO_Common_QEndDate,0,COLUMN()))),"N/A")</f>
        <v>100</v>
      </c>
      <c r="AD556" s="624">
        <f ca="1">IFERROR(IF(INDEX(MO_Common_QEndDate,0,COLUMN())&gt;TODAY(),_xll.ciqfunctions.udf.CIQ("$"&amp;HP.TradeCurrency&amp;MO.ReportCurrency,"IQ_LASTSALEPRICE"),_xll.ciqfunctions.udf.CIQAVG("$"&amp;HP.TradeCurrency&amp;MO.ReportCurrency,"IQ_LASTSALEPRICE",INDEX(MO_SNA_FPStartDate,0,COLUMN()),INDEX(MO_Common_QEndDate,0,COLUMN()))),"N/A")</f>
        <v>100</v>
      </c>
      <c r="AE556" s="624">
        <f ca="1">IFERROR(IF(INDEX(MO_Common_QEndDate,0,COLUMN())&gt;TODAY(),_xll.ciqfunctions.udf.CIQ("$"&amp;HP.TradeCurrency&amp;MO.ReportCurrency,"IQ_LASTSALEPRICE"),_xll.ciqfunctions.udf.CIQAVG("$"&amp;HP.TradeCurrency&amp;MO.ReportCurrency,"IQ_LASTSALEPRICE",INDEX(MO_SNA_FPStartDate,0,COLUMN()),INDEX(MO_Common_QEndDate,0,COLUMN()))),"N/A")</f>
        <v>100</v>
      </c>
      <c r="AF556" s="624">
        <f ca="1">IFERROR(IF(INDEX(MO_Common_QEndDate,0,COLUMN())&gt;TODAY(),_xll.ciqfunctions.udf.CIQ("$"&amp;HP.TradeCurrency&amp;MO.ReportCurrency,"IQ_LASTSALEPRICE"),_xll.ciqfunctions.udf.CIQAVG("$"&amp;HP.TradeCurrency&amp;MO.ReportCurrency,"IQ_LASTSALEPRICE",INDEX(MO_SNA_FPStartDate,0,COLUMN()),INDEX(MO_Common_QEndDate,0,COLUMN()))),"N/A")</f>
        <v>100</v>
      </c>
      <c r="AG556" s="624">
        <f ca="1">IFERROR(IF(INDEX(MO_Common_QEndDate,0,COLUMN())&gt;TODAY(),_xll.ciqfunctions.udf.CIQ("$"&amp;HP.TradeCurrency&amp;MO.ReportCurrency,"IQ_LASTSALEPRICE"),_xll.ciqfunctions.udf.CIQAVG("$"&amp;HP.TradeCurrency&amp;MO.ReportCurrency,"IQ_LASTSALEPRICE",INDEX(MO_SNA_FPStartDate,0,COLUMN()),INDEX(MO_Common_QEndDate,0,COLUMN()))),"N/A")</f>
        <v>100</v>
      </c>
      <c r="AH556" s="624">
        <f ca="1">IFERROR(IF(INDEX(MO_Common_QEndDate,0,COLUMN())&gt;TODAY(),_xll.ciqfunctions.udf.CIQ("$"&amp;HP.TradeCurrency&amp;MO.ReportCurrency,"IQ_LASTSALEPRICE"),_xll.ciqfunctions.udf.CIQAVG("$"&amp;HP.TradeCurrency&amp;MO.ReportCurrency,"IQ_LASTSALEPRICE",INDEX(MO_SNA_FPStartDate,0,COLUMN()),INDEX(MO_Common_QEndDate,0,COLUMN()))),"N/A")</f>
        <v>100</v>
      </c>
      <c r="AI556" s="624">
        <f ca="1">IFERROR(IF(INDEX(MO_Common_QEndDate,0,COLUMN())&gt;TODAY(),_xll.ciqfunctions.udf.CIQ("$"&amp;HP.TradeCurrency&amp;MO.ReportCurrency,"IQ_LASTSALEPRICE"),_xll.ciqfunctions.udf.CIQAVG("$"&amp;HP.TradeCurrency&amp;MO.ReportCurrency,"IQ_LASTSALEPRICE",INDEX(MO_SNA_FPStartDate,0,COLUMN()),INDEX(MO_Common_QEndDate,0,COLUMN()))),"N/A")</f>
        <v>100</v>
      </c>
      <c r="AJ556" s="624">
        <f ca="1">IFERROR(IF(INDEX(MO_Common_QEndDate,0,COLUMN())&gt;TODAY(),_xll.ciqfunctions.udf.CIQ("$"&amp;HP.TradeCurrency&amp;MO.ReportCurrency,"IQ_LASTSALEPRICE"),_xll.ciqfunctions.udf.CIQAVG("$"&amp;HP.TradeCurrency&amp;MO.ReportCurrency,"IQ_LASTSALEPRICE",INDEX(MO_SNA_FPStartDate,0,COLUMN()),INDEX(MO_Common_QEndDate,0,COLUMN()))),"N/A")</f>
        <v>100</v>
      </c>
      <c r="AK556" s="624">
        <f ca="1">IFERROR(IF(INDEX(MO_Common_QEndDate,0,COLUMN())&gt;TODAY(),_xll.ciqfunctions.udf.CIQ("$"&amp;HP.TradeCurrency&amp;MO.ReportCurrency,"IQ_LASTSALEPRICE"),_xll.ciqfunctions.udf.CIQAVG("$"&amp;HP.TradeCurrency&amp;MO.ReportCurrency,"IQ_LASTSALEPRICE",INDEX(MO_SNA_FPStartDate,0,COLUMN()),INDEX(MO_Common_QEndDate,0,COLUMN()))),"N/A")</f>
        <v>100</v>
      </c>
      <c r="AL556" s="624">
        <f ca="1">IFERROR(IF(INDEX(MO_Common_QEndDate,0,COLUMN())&gt;TODAY(),_xll.ciqfunctions.udf.CIQ("$"&amp;HP.TradeCurrency&amp;MO.ReportCurrency,"IQ_LASTSALEPRICE"),_xll.ciqfunctions.udf.CIQAVG("$"&amp;HP.TradeCurrency&amp;MO.ReportCurrency,"IQ_LASTSALEPRICE",INDEX(MO_SNA_FPStartDate,0,COLUMN()),INDEX(MO_Common_QEndDate,0,COLUMN()))),"N/A")</f>
        <v>100</v>
      </c>
      <c r="AM556" s="624">
        <f ca="1">IFERROR(IF(INDEX(MO_Common_QEndDate,0,COLUMN())&gt;TODAY(),_xll.ciqfunctions.udf.CIQ("$"&amp;HP.TradeCurrency&amp;MO.ReportCurrency,"IQ_LASTSALEPRICE"),_xll.ciqfunctions.udf.CIQAVG("$"&amp;HP.TradeCurrency&amp;MO.ReportCurrency,"IQ_LASTSALEPRICE",INDEX(MO_SNA_FPStartDate,0,COLUMN()),INDEX(MO_Common_QEndDate,0,COLUMN()))),"N/A")</f>
        <v>100</v>
      </c>
      <c r="AN556" s="624">
        <f ca="1">IFERROR(IF(INDEX(MO_Common_QEndDate,0,COLUMN())&gt;TODAY(),_xll.ciqfunctions.udf.CIQ("$"&amp;HP.TradeCurrency&amp;MO.ReportCurrency,"IQ_LASTSALEPRICE"),_xll.ciqfunctions.udf.CIQAVG("$"&amp;HP.TradeCurrency&amp;MO.ReportCurrency,"IQ_LASTSALEPRICE",INDEX(MO_SNA_FPStartDate,0,COLUMN()),INDEX(MO_Common_QEndDate,0,COLUMN()))),"N/A")</f>
        <v>100</v>
      </c>
      <c r="AO556" s="730">
        <f ca="1">IFERROR(IF(INDEX(MO_Common_QEndDate,0,COLUMN())&gt;TODAY(),_xll.ciqfunctions.udf.CIQ("$"&amp;HP.TradeCurrency&amp;MO.ReportCurrency,"IQ_LASTSALEPRICE"),_xll.ciqfunctions.udf.CIQAVG("$"&amp;HP.TradeCurrency&amp;MO.ReportCurrency,"IQ_LASTSALEPRICE",INDEX(MO_SNA_FPStartDate,0,COLUMN()),INDEX(MO_Common_QEndDate,0,COLUMN()))),"N/A")</f>
        <v>100</v>
      </c>
      <c r="AP556" s="730">
        <f ca="1">IFERROR(IF(INDEX(MO_Common_QEndDate,0,COLUMN())&gt;TODAY(),_xll.ciqfunctions.udf.CIQ("$"&amp;HP.TradeCurrency&amp;MO.ReportCurrency,"IQ_LASTSALEPRICE"),_xll.ciqfunctions.udf.CIQAVG("$"&amp;HP.TradeCurrency&amp;MO.ReportCurrency,"IQ_LASTSALEPRICE",INDEX(MO_SNA_FPStartDate,0,COLUMN()),INDEX(MO_Common_QEndDate,0,COLUMN()))),"N/A")</f>
        <v>100</v>
      </c>
      <c r="AQ556" s="730">
        <f ca="1">IFERROR(IF(INDEX(MO_Common_QEndDate,0,COLUMN())&gt;TODAY(),_xll.ciqfunctions.udf.CIQ("$"&amp;HP.TradeCurrency&amp;MO.ReportCurrency,"IQ_LASTSALEPRICE"),_xll.ciqfunctions.udf.CIQAVG("$"&amp;HP.TradeCurrency&amp;MO.ReportCurrency,"IQ_LASTSALEPRICE",INDEX(MO_SNA_FPStartDate,0,COLUMN()),INDEX(MO_Common_QEndDate,0,COLUMN()))),"N/A")</f>
        <v>100</v>
      </c>
      <c r="AR556" s="732">
        <f ca="1">IFERROR(IF(INDEX(MO_Common_QEndDate,0,COLUMN())&gt;TODAY(),_xll.ciqfunctions.udf.CIQ("$"&amp;HP.TradeCurrency&amp;MO.ReportCurrency,"IQ_LASTSALEPRICE"),_xll.ciqfunctions.udf.CIQAVG("$"&amp;HP.TradeCurrency&amp;MO.ReportCurrency,"IQ_LASTSALEPRICE",INDEX(MO_SNA_FPStartDate,0,COLUMN()),INDEX(MO_Common_QEndDate,0,COLUMN()))),"N/A")</f>
        <v>100</v>
      </c>
      <c r="AS556" s="624"/>
    </row>
    <row r="557" spans="1:45" s="625" customFormat="1" hidden="1" outlineLevel="1" x14ac:dyDescent="0.35">
      <c r="A557" s="733" t="s">
        <v>984</v>
      </c>
      <c r="B557" s="730"/>
      <c r="C557" s="624" t="str">
        <f ca="1">IFERROR(IF(INDEX(MO_Common_QEndDate,0,COLUMN())&gt;TODAY(),FDS(MO.ReportCurrency&amp;HP.TradeCurrency,"FG_PRICE(NOW)"),FDS(MO.ReportCurrency&amp;HP.TradeCurrency,"P_PRICE_AVG("&amp;INDEX(MO_SNA_FPStartDate,0,COLUMN())&amp;","&amp;INDEX(MO_Common_QEndDate,0,COLUMN())&amp;",,,,0)")),"N/A")</f>
        <v>N/A</v>
      </c>
      <c r="D557" s="624" t="str">
        <f ca="1">IFERROR(IF(INDEX(MO_Common_QEndDate,0,COLUMN())&gt;TODAY(),FDS(MO.ReportCurrency&amp;HP.TradeCurrency,"FG_PRICE(NOW)"),FDS(MO.ReportCurrency&amp;HP.TradeCurrency,"P_PRICE_AVG("&amp;INDEX(MO_SNA_FPStartDate,0,COLUMN())&amp;","&amp;INDEX(MO_Common_QEndDate,0,COLUMN())&amp;",,,,0)")),"N/A")</f>
        <v>N/A</v>
      </c>
      <c r="E557" s="624" t="str">
        <f ca="1">IFERROR(IF(INDEX(MO_Common_QEndDate,0,COLUMN())&gt;TODAY(),FDS(MO.ReportCurrency&amp;HP.TradeCurrency,"FG_PRICE(NOW)"),FDS(MO.ReportCurrency&amp;HP.TradeCurrency,"P_PRICE_AVG("&amp;INDEX(MO_SNA_FPStartDate,0,COLUMN())&amp;","&amp;INDEX(MO_Common_QEndDate,0,COLUMN())&amp;",,,,0)")),"N/A")</f>
        <v>N/A</v>
      </c>
      <c r="F557" s="624" t="str">
        <f ca="1">IFERROR(IF(INDEX(MO_Common_QEndDate,0,COLUMN())&gt;TODAY(),FDS(MO.ReportCurrency&amp;HP.TradeCurrency,"FG_PRICE(NOW)"),FDS(MO.ReportCurrency&amp;HP.TradeCurrency,"P_PRICE_AVG("&amp;INDEX(MO_SNA_FPStartDate,0,COLUMN())&amp;","&amp;INDEX(MO_Common_QEndDate,0,COLUMN())&amp;",,,,0)")),"N/A")</f>
        <v>N/A</v>
      </c>
      <c r="G557" s="624" t="str">
        <f ca="1">IFERROR(IF(INDEX(MO_Common_QEndDate,0,COLUMN())&gt;TODAY(),FDS(MO.ReportCurrency&amp;HP.TradeCurrency,"FG_PRICE(NOW)"),FDS(MO.ReportCurrency&amp;HP.TradeCurrency,"P_PRICE_AVG("&amp;INDEX(MO_SNA_FPStartDate,0,COLUMN())&amp;","&amp;INDEX(MO_Common_QEndDate,0,COLUMN())&amp;",,,,0)")),"N/A")</f>
        <v>N/A</v>
      </c>
      <c r="H557" s="624" t="str">
        <f ca="1">IFERROR(IF(INDEX(MO_Common_QEndDate,0,COLUMN())&gt;TODAY(),FDS(MO.ReportCurrency&amp;HP.TradeCurrency,"FG_PRICE(NOW)"),FDS(MO.ReportCurrency&amp;HP.TradeCurrency,"P_PRICE_AVG("&amp;INDEX(MO_SNA_FPStartDate,0,COLUMN())&amp;","&amp;INDEX(MO_Common_QEndDate,0,COLUMN())&amp;",,,,0)")),"N/A")</f>
        <v>N/A</v>
      </c>
      <c r="I557" s="624" t="str">
        <f ca="1">IFERROR(IF(INDEX(MO_Common_QEndDate,0,COLUMN())&gt;TODAY(),FDS(MO.ReportCurrency&amp;HP.TradeCurrency,"FG_PRICE(NOW)"),FDS(MO.ReportCurrency&amp;HP.TradeCurrency,"P_PRICE_AVG("&amp;INDEX(MO_SNA_FPStartDate,0,COLUMN())&amp;","&amp;INDEX(MO_Common_QEndDate,0,COLUMN())&amp;",,,,0)")),"N/A")</f>
        <v>N/A</v>
      </c>
      <c r="J557" s="624" t="str">
        <f ca="1">IFERROR(IF(INDEX(MO_Common_QEndDate,0,COLUMN())&gt;TODAY(),FDS(MO.ReportCurrency&amp;HP.TradeCurrency,"FG_PRICE(NOW)"),FDS(MO.ReportCurrency&amp;HP.TradeCurrency,"P_PRICE_AVG("&amp;INDEX(MO_SNA_FPStartDate,0,COLUMN())&amp;","&amp;INDEX(MO_Common_QEndDate,0,COLUMN())&amp;",,,,0)")),"N/A")</f>
        <v>N/A</v>
      </c>
      <c r="K557" s="624" t="str">
        <f ca="1">IFERROR(IF(INDEX(MO_Common_QEndDate,0,COLUMN())&gt;TODAY(),FDS(MO.ReportCurrency&amp;HP.TradeCurrency,"FG_PRICE(NOW)"),FDS(MO.ReportCurrency&amp;HP.TradeCurrency,"P_PRICE_AVG("&amp;INDEX(MO_SNA_FPStartDate,0,COLUMN())&amp;","&amp;INDEX(MO_Common_QEndDate,0,COLUMN())&amp;",,,,0)")),"N/A")</f>
        <v>N/A</v>
      </c>
      <c r="L557" s="624" t="str">
        <f ca="1">IFERROR(IF(INDEX(MO_Common_QEndDate,0,COLUMN())&gt;TODAY(),FDS(MO.ReportCurrency&amp;HP.TradeCurrency,"FG_PRICE(NOW)"),FDS(MO.ReportCurrency&amp;HP.TradeCurrency,"P_PRICE_AVG("&amp;INDEX(MO_SNA_FPStartDate,0,COLUMN())&amp;","&amp;INDEX(MO_Common_QEndDate,0,COLUMN())&amp;",,,,0)")),"N/A")</f>
        <v>N/A</v>
      </c>
      <c r="M557" s="624" t="str">
        <f ca="1">IFERROR(IF(INDEX(MO_Common_QEndDate,0,COLUMN())&gt;TODAY(),FDS(MO.ReportCurrency&amp;HP.TradeCurrency,"FG_PRICE(NOW)"),FDS(MO.ReportCurrency&amp;HP.TradeCurrency,"P_PRICE_AVG("&amp;INDEX(MO_SNA_FPStartDate,0,COLUMN())&amp;","&amp;INDEX(MO_Common_QEndDate,0,COLUMN())&amp;",,,,0)")),"N/A")</f>
        <v>N/A</v>
      </c>
      <c r="N557" s="624" t="str">
        <f ca="1">IFERROR(IF(INDEX(MO_Common_QEndDate,0,COLUMN())&gt;TODAY(),FDS(MO.ReportCurrency&amp;HP.TradeCurrency,"FG_PRICE(NOW)"),FDS(MO.ReportCurrency&amp;HP.TradeCurrency,"P_PRICE_AVG("&amp;INDEX(MO_SNA_FPStartDate,0,COLUMN())&amp;","&amp;INDEX(MO_Common_QEndDate,0,COLUMN())&amp;",,,,0)")),"N/A")</f>
        <v>N/A</v>
      </c>
      <c r="O557" s="624" t="str">
        <f ca="1">IFERROR(IF(INDEX(MO_Common_QEndDate,0,COLUMN())&gt;TODAY(),FDS(MO.ReportCurrency&amp;HP.TradeCurrency,"FG_PRICE(NOW)"),FDS(MO.ReportCurrency&amp;HP.TradeCurrency,"P_PRICE_AVG("&amp;INDEX(MO_SNA_FPStartDate,0,COLUMN())&amp;","&amp;INDEX(MO_Common_QEndDate,0,COLUMN())&amp;",,,,0)")),"N/A")</f>
        <v>N/A</v>
      </c>
      <c r="P557" s="730" t="str">
        <f ca="1">IFERROR(IF(INDEX(MO_Common_QEndDate,0,COLUMN())&gt;TODAY(),FDS(MO.ReportCurrency&amp;HP.TradeCurrency,"FG_PRICE(NOW)"),FDS(MO.ReportCurrency&amp;HP.TradeCurrency,"P_PRICE_AVG("&amp;INDEX(MO_SNA_FPStartDate,0,COLUMN())&amp;","&amp;INDEX(MO_Common_QEndDate,0,COLUMN())&amp;",,,,0)")),"N/A")</f>
        <v>N/A</v>
      </c>
      <c r="Q557" s="730" t="str">
        <f ca="1">IFERROR(IF(INDEX(MO_Common_QEndDate,0,COLUMN())&gt;TODAY(),FDS(MO.ReportCurrency&amp;HP.TradeCurrency,"FG_PRICE(NOW)"),FDS(MO.ReportCurrency&amp;HP.TradeCurrency,"P_PRICE_AVG("&amp;INDEX(MO_SNA_FPStartDate,0,COLUMN())&amp;","&amp;INDEX(MO_Common_QEndDate,0,COLUMN())&amp;",,,,0)")),"N/A")</f>
        <v>N/A</v>
      </c>
      <c r="R557" s="730" t="str">
        <f ca="1">IFERROR(IF(INDEX(MO_Common_QEndDate,0,COLUMN())&gt;TODAY(),FDS(MO.ReportCurrency&amp;HP.TradeCurrency,"FG_PRICE(NOW)"),FDS(MO.ReportCurrency&amp;HP.TradeCurrency,"P_PRICE_AVG("&amp;INDEX(MO_SNA_FPStartDate,0,COLUMN())&amp;","&amp;INDEX(MO_Common_QEndDate,0,COLUMN())&amp;",,,,0)")),"N/A")</f>
        <v>N/A</v>
      </c>
      <c r="S557" s="730"/>
      <c r="T557" s="730"/>
      <c r="U557" s="730"/>
      <c r="V557" s="730"/>
      <c r="W557" s="730"/>
      <c r="X557" s="730"/>
      <c r="Y557" s="730"/>
      <c r="Z557" s="731" t="str">
        <f ca="1">IFERROR(IF(INDEX(MO_Common_QEndDate,0,COLUMN())&gt;TODAY(),FDS(MO.ReportCurrency&amp;HP.TradeCurrency,"FG_PRICE(NOW)"),FDS(MO.ReportCurrency&amp;HP.TradeCurrency,"P_PRICE_AVG("&amp;INDEX(MO_SNA_FPStartDate,0,COLUMN())&amp;","&amp;INDEX(MO_Common_QEndDate,0,COLUMN())&amp;",,,,0)")),"N/A")</f>
        <v>N/A</v>
      </c>
      <c r="AA557" s="731" t="str">
        <f ca="1">IFERROR(IF(INDEX(MO_Common_QEndDate,0,COLUMN())&gt;TODAY(),FDS(MO.ReportCurrency&amp;HP.TradeCurrency,"FG_PRICE(NOW)"),FDS(MO.ReportCurrency&amp;HP.TradeCurrency,"P_PRICE_AVG("&amp;INDEX(MO_SNA_FPStartDate,0,COLUMN())&amp;","&amp;INDEX(MO_Common_QEndDate,0,COLUMN())&amp;",,,,0)")),"N/A")</f>
        <v>N/A</v>
      </c>
      <c r="AB557" s="624" t="str">
        <f ca="1">IFERROR(IF(INDEX(MO_Common_QEndDate,0,COLUMN())&gt;TODAY(),FDS(MO.ReportCurrency&amp;HP.TradeCurrency,"FG_PRICE(NOW)"),FDS(MO.ReportCurrency&amp;HP.TradeCurrency,"P_PRICE_AVG("&amp;INDEX(MO_SNA_FPStartDate,0,COLUMN())&amp;","&amp;INDEX(MO_Common_QEndDate,0,COLUMN())&amp;",,,,0)")),"N/A")</f>
        <v>N/A</v>
      </c>
      <c r="AC557" s="624" t="str">
        <f ca="1">IFERROR(IF(INDEX(MO_Common_QEndDate,0,COLUMN())&gt;TODAY(),FDS(MO.ReportCurrency&amp;HP.TradeCurrency,"FG_PRICE(NOW)"),FDS(MO.ReportCurrency&amp;HP.TradeCurrency,"P_PRICE_AVG("&amp;INDEX(MO_SNA_FPStartDate,0,COLUMN())&amp;","&amp;INDEX(MO_Common_QEndDate,0,COLUMN())&amp;",,,,0)")),"N/A")</f>
        <v>N/A</v>
      </c>
      <c r="AD557" s="624" t="str">
        <f ca="1">IFERROR(IF(INDEX(MO_Common_QEndDate,0,COLUMN())&gt;TODAY(),FDS(MO.ReportCurrency&amp;HP.TradeCurrency,"FG_PRICE(NOW)"),FDS(MO.ReportCurrency&amp;HP.TradeCurrency,"P_PRICE_AVG("&amp;INDEX(MO_SNA_FPStartDate,0,COLUMN())&amp;","&amp;INDEX(MO_Common_QEndDate,0,COLUMN())&amp;",,,,0)")),"N/A")</f>
        <v>N/A</v>
      </c>
      <c r="AE557" s="624" t="str">
        <f ca="1">IFERROR(IF(INDEX(MO_Common_QEndDate,0,COLUMN())&gt;TODAY(),FDS(MO.ReportCurrency&amp;HP.TradeCurrency,"FG_PRICE(NOW)"),FDS(MO.ReportCurrency&amp;HP.TradeCurrency,"P_PRICE_AVG("&amp;INDEX(MO_SNA_FPStartDate,0,COLUMN())&amp;","&amp;INDEX(MO_Common_QEndDate,0,COLUMN())&amp;",,,,0)")),"N/A")</f>
        <v>N/A</v>
      </c>
      <c r="AF557" s="624" t="str">
        <f ca="1">IFERROR(IF(INDEX(MO_Common_QEndDate,0,COLUMN())&gt;TODAY(),FDS(MO.ReportCurrency&amp;HP.TradeCurrency,"FG_PRICE(NOW)"),FDS(MO.ReportCurrency&amp;HP.TradeCurrency,"P_PRICE_AVG("&amp;INDEX(MO_SNA_FPStartDate,0,COLUMN())&amp;","&amp;INDEX(MO_Common_QEndDate,0,COLUMN())&amp;",,,,0)")),"N/A")</f>
        <v>N/A</v>
      </c>
      <c r="AG557" s="624" t="str">
        <f ca="1">IFERROR(IF(INDEX(MO_Common_QEndDate,0,COLUMN())&gt;TODAY(),FDS(MO.ReportCurrency&amp;HP.TradeCurrency,"FG_PRICE(NOW)"),FDS(MO.ReportCurrency&amp;HP.TradeCurrency,"P_PRICE_AVG("&amp;INDEX(MO_SNA_FPStartDate,0,COLUMN())&amp;","&amp;INDEX(MO_Common_QEndDate,0,COLUMN())&amp;",,,,0)")),"N/A")</f>
        <v>N/A</v>
      </c>
      <c r="AH557" s="624" t="str">
        <f ca="1">IFERROR(IF(INDEX(MO_Common_QEndDate,0,COLUMN())&gt;TODAY(),FDS(MO.ReportCurrency&amp;HP.TradeCurrency,"FG_PRICE(NOW)"),FDS(MO.ReportCurrency&amp;HP.TradeCurrency,"P_PRICE_AVG("&amp;INDEX(MO_SNA_FPStartDate,0,COLUMN())&amp;","&amp;INDEX(MO_Common_QEndDate,0,COLUMN())&amp;",,,,0)")),"N/A")</f>
        <v>N/A</v>
      </c>
      <c r="AI557" s="624" t="str">
        <f ca="1">IFERROR(IF(INDEX(MO_Common_QEndDate,0,COLUMN())&gt;TODAY(),FDS(MO.ReportCurrency&amp;HP.TradeCurrency,"FG_PRICE(NOW)"),FDS(MO.ReportCurrency&amp;HP.TradeCurrency,"P_PRICE_AVG("&amp;INDEX(MO_SNA_FPStartDate,0,COLUMN())&amp;","&amp;INDEX(MO_Common_QEndDate,0,COLUMN())&amp;",,,,0)")),"N/A")</f>
        <v>N/A</v>
      </c>
      <c r="AJ557" s="624" t="str">
        <f ca="1">IFERROR(IF(INDEX(MO_Common_QEndDate,0,COLUMN())&gt;TODAY(),FDS(MO.ReportCurrency&amp;HP.TradeCurrency,"FG_PRICE(NOW)"),FDS(MO.ReportCurrency&amp;HP.TradeCurrency,"P_PRICE_AVG("&amp;INDEX(MO_SNA_FPStartDate,0,COLUMN())&amp;","&amp;INDEX(MO_Common_QEndDate,0,COLUMN())&amp;",,,,0)")),"N/A")</f>
        <v>N/A</v>
      </c>
      <c r="AK557" s="624" t="str">
        <f ca="1">IFERROR(IF(INDEX(MO_Common_QEndDate,0,COLUMN())&gt;TODAY(),FDS(MO.ReportCurrency&amp;HP.TradeCurrency,"FG_PRICE(NOW)"),FDS(MO.ReportCurrency&amp;HP.TradeCurrency,"P_PRICE_AVG("&amp;INDEX(MO_SNA_FPStartDate,0,COLUMN())&amp;","&amp;INDEX(MO_Common_QEndDate,0,COLUMN())&amp;",,,,0)")),"N/A")</f>
        <v>N/A</v>
      </c>
      <c r="AL557" s="624" t="str">
        <f ca="1">IFERROR(IF(INDEX(MO_Common_QEndDate,0,COLUMN())&gt;TODAY(),FDS(MO.ReportCurrency&amp;HP.TradeCurrency,"FG_PRICE(NOW)"),FDS(MO.ReportCurrency&amp;HP.TradeCurrency,"P_PRICE_AVG("&amp;INDEX(MO_SNA_FPStartDate,0,COLUMN())&amp;","&amp;INDEX(MO_Common_QEndDate,0,COLUMN())&amp;",,,,0)")),"N/A")</f>
        <v>N/A</v>
      </c>
      <c r="AM557" s="624" t="str">
        <f ca="1">IFERROR(IF(INDEX(MO_Common_QEndDate,0,COLUMN())&gt;TODAY(),FDS(MO.ReportCurrency&amp;HP.TradeCurrency,"FG_PRICE(NOW)"),FDS(MO.ReportCurrency&amp;HP.TradeCurrency,"P_PRICE_AVG("&amp;INDEX(MO_SNA_FPStartDate,0,COLUMN())&amp;","&amp;INDEX(MO_Common_QEndDate,0,COLUMN())&amp;",,,,0)")),"N/A")</f>
        <v>N/A</v>
      </c>
      <c r="AN557" s="624" t="str">
        <f ca="1">IFERROR(IF(INDEX(MO_Common_QEndDate,0,COLUMN())&gt;TODAY(),FDS(MO.ReportCurrency&amp;HP.TradeCurrency,"FG_PRICE(NOW)"),FDS(MO.ReportCurrency&amp;HP.TradeCurrency,"P_PRICE_AVG("&amp;INDEX(MO_SNA_FPStartDate,0,COLUMN())&amp;","&amp;INDEX(MO_Common_QEndDate,0,COLUMN())&amp;",,,,0)")),"N/A")</f>
        <v>N/A</v>
      </c>
      <c r="AO557" s="730" t="str">
        <f ca="1">IFERROR(IF(INDEX(MO_Common_QEndDate,0,COLUMN())&gt;TODAY(),FDS(MO.ReportCurrency&amp;HP.TradeCurrency,"FG_PRICE(NOW)"),FDS(MO.ReportCurrency&amp;HP.TradeCurrency,"P_PRICE_AVG("&amp;INDEX(MO_SNA_FPStartDate,0,COLUMN())&amp;","&amp;INDEX(MO_Common_QEndDate,0,COLUMN())&amp;",,,,0)")),"N/A")</f>
        <v>N/A</v>
      </c>
      <c r="AP557" s="730" t="str">
        <f ca="1">IFERROR(IF(INDEX(MO_Common_QEndDate,0,COLUMN())&gt;TODAY(),FDS(MO.ReportCurrency&amp;HP.TradeCurrency,"FG_PRICE(NOW)"),FDS(MO.ReportCurrency&amp;HP.TradeCurrency,"P_PRICE_AVG("&amp;INDEX(MO_SNA_FPStartDate,0,COLUMN())&amp;","&amp;INDEX(MO_Common_QEndDate,0,COLUMN())&amp;",,,,0)")),"N/A")</f>
        <v>N/A</v>
      </c>
      <c r="AQ557" s="730" t="str">
        <f ca="1">IFERROR(IF(INDEX(MO_Common_QEndDate,0,COLUMN())&gt;TODAY(),FDS(MO.ReportCurrency&amp;HP.TradeCurrency,"FG_PRICE(NOW)"),FDS(MO.ReportCurrency&amp;HP.TradeCurrency,"P_PRICE_AVG("&amp;INDEX(MO_SNA_FPStartDate,0,COLUMN())&amp;","&amp;INDEX(MO_Common_QEndDate,0,COLUMN())&amp;",,,,0)")),"N/A")</f>
        <v>N/A</v>
      </c>
      <c r="AR557" s="732" t="str">
        <f ca="1">IFERROR(IF(INDEX(MO_Common_QEndDate,0,COLUMN())&gt;TODAY(),FDS(MO.ReportCurrency&amp;HP.TradeCurrency,"FG_PRICE(NOW)"),FDS(MO.ReportCurrency&amp;HP.TradeCurrency,"P_PRICE_AVG("&amp;INDEX(MO_SNA_FPStartDate,0,COLUMN())&amp;","&amp;INDEX(MO_Common_QEndDate,0,COLUMN())&amp;",,,,0)")),"N/A")</f>
        <v>N/A</v>
      </c>
      <c r="AS557" s="624"/>
    </row>
    <row r="558" spans="1:45" s="625" customFormat="1" hidden="1" outlineLevel="1" x14ac:dyDescent="0.35">
      <c r="A558" s="733" t="s">
        <v>985</v>
      </c>
      <c r="B558" s="730"/>
      <c r="C558" s="624" t="str">
        <f t="shared" ref="C558:R558" si="414">"N/A"</f>
        <v>N/A</v>
      </c>
      <c r="D558" s="624" t="str">
        <f t="shared" si="414"/>
        <v>N/A</v>
      </c>
      <c r="E558" s="624" t="str">
        <f t="shared" si="414"/>
        <v>N/A</v>
      </c>
      <c r="F558" s="624" t="str">
        <f t="shared" si="414"/>
        <v>N/A</v>
      </c>
      <c r="G558" s="624" t="str">
        <f t="shared" si="414"/>
        <v>N/A</v>
      </c>
      <c r="H558" s="624" t="str">
        <f t="shared" si="414"/>
        <v>N/A</v>
      </c>
      <c r="I558" s="624" t="str">
        <f t="shared" si="414"/>
        <v>N/A</v>
      </c>
      <c r="J558" s="624" t="str">
        <f t="shared" si="414"/>
        <v>N/A</v>
      </c>
      <c r="K558" s="624" t="str">
        <f t="shared" si="414"/>
        <v>N/A</v>
      </c>
      <c r="L558" s="624" t="str">
        <f t="shared" si="414"/>
        <v>N/A</v>
      </c>
      <c r="M558" s="624" t="str">
        <f t="shared" si="414"/>
        <v>N/A</v>
      </c>
      <c r="N558" s="624" t="str">
        <f t="shared" si="414"/>
        <v>N/A</v>
      </c>
      <c r="O558" s="624" t="str">
        <f t="shared" si="414"/>
        <v>N/A</v>
      </c>
      <c r="P558" s="730" t="str">
        <f t="shared" si="414"/>
        <v>N/A</v>
      </c>
      <c r="Q558" s="730" t="str">
        <f t="shared" si="414"/>
        <v>N/A</v>
      </c>
      <c r="R558" s="730" t="str">
        <f t="shared" si="414"/>
        <v>N/A</v>
      </c>
      <c r="S558" s="730"/>
      <c r="T558" s="730"/>
      <c r="U558" s="730"/>
      <c r="V558" s="730"/>
      <c r="W558" s="730"/>
      <c r="X558" s="730"/>
      <c r="Y558" s="730"/>
      <c r="Z558" s="731" t="str">
        <f t="shared" ref="Z558:AR558" si="415">"N/A"</f>
        <v>N/A</v>
      </c>
      <c r="AA558" s="731" t="str">
        <f t="shared" si="415"/>
        <v>N/A</v>
      </c>
      <c r="AB558" s="624" t="str">
        <f t="shared" si="415"/>
        <v>N/A</v>
      </c>
      <c r="AC558" s="624" t="str">
        <f t="shared" si="415"/>
        <v>N/A</v>
      </c>
      <c r="AD558" s="624" t="str">
        <f t="shared" si="415"/>
        <v>N/A</v>
      </c>
      <c r="AE558" s="624" t="str">
        <f t="shared" si="415"/>
        <v>N/A</v>
      </c>
      <c r="AF558" s="624" t="str">
        <f t="shared" si="415"/>
        <v>N/A</v>
      </c>
      <c r="AG558" s="624" t="str">
        <f t="shared" si="415"/>
        <v>N/A</v>
      </c>
      <c r="AH558" s="624" t="str">
        <f t="shared" si="415"/>
        <v>N/A</v>
      </c>
      <c r="AI558" s="624" t="str">
        <f t="shared" si="415"/>
        <v>N/A</v>
      </c>
      <c r="AJ558" s="624" t="str">
        <f t="shared" si="415"/>
        <v>N/A</v>
      </c>
      <c r="AK558" s="624" t="str">
        <f t="shared" si="415"/>
        <v>N/A</v>
      </c>
      <c r="AL558" s="624" t="str">
        <f t="shared" si="415"/>
        <v>N/A</v>
      </c>
      <c r="AM558" s="624" t="str">
        <f t="shared" si="415"/>
        <v>N/A</v>
      </c>
      <c r="AN558" s="624" t="str">
        <f t="shared" si="415"/>
        <v>N/A</v>
      </c>
      <c r="AO558" s="730" t="str">
        <f t="shared" si="415"/>
        <v>N/A</v>
      </c>
      <c r="AP558" s="730" t="str">
        <f t="shared" si="415"/>
        <v>N/A</v>
      </c>
      <c r="AQ558" s="730" t="str">
        <f t="shared" si="415"/>
        <v>N/A</v>
      </c>
      <c r="AR558" s="732" t="str">
        <f t="shared" si="415"/>
        <v>N/A</v>
      </c>
      <c r="AS558" s="624"/>
    </row>
    <row r="559" spans="1:45" s="167" customFormat="1" hidden="1" outlineLevel="1" collapsed="1" x14ac:dyDescent="0.35">
      <c r="A559" s="727"/>
      <c r="B559" s="164"/>
      <c r="C559" s="164"/>
      <c r="D559" s="164"/>
      <c r="E559" s="164"/>
      <c r="F559" s="164"/>
      <c r="G559" s="164"/>
      <c r="H559" s="164"/>
      <c r="I559" s="164"/>
      <c r="J559" s="164"/>
      <c r="K559" s="164"/>
      <c r="L559" s="164"/>
      <c r="M559" s="164"/>
      <c r="N559" s="164"/>
      <c r="O559" s="164"/>
      <c r="P559" s="164"/>
      <c r="Q559" s="164"/>
      <c r="R559" s="164"/>
      <c r="S559" s="164"/>
      <c r="T559" s="164"/>
      <c r="U559" s="164"/>
      <c r="V559" s="164"/>
      <c r="W559" s="164"/>
      <c r="X559" s="164"/>
      <c r="Y559" s="164"/>
      <c r="Z559" s="682"/>
      <c r="AA559" s="682"/>
      <c r="AB559" s="164"/>
      <c r="AC559" s="164"/>
      <c r="AD559" s="164"/>
      <c r="AE559" s="164"/>
      <c r="AF559" s="164"/>
      <c r="AG559" s="164"/>
      <c r="AH559" s="164"/>
      <c r="AI559" s="164"/>
      <c r="AJ559" s="164"/>
      <c r="AK559" s="164"/>
      <c r="AL559" s="164"/>
      <c r="AM559" s="164"/>
      <c r="AN559" s="164"/>
      <c r="AO559" s="164"/>
      <c r="AP559" s="164"/>
      <c r="AQ559" s="164"/>
      <c r="AR559" s="728"/>
      <c r="AS559" s="166"/>
    </row>
    <row r="560" spans="1:45" s="167" customFormat="1" collapsed="1" x14ac:dyDescent="0.35">
      <c r="A560" s="727" t="s">
        <v>986</v>
      </c>
      <c r="B560" s="164"/>
      <c r="C560" s="714">
        <f t="shared" ref="C560:R560" si="416">WORKDAY(INDEX(MO_Common_QEndDate,0,COLUMN()),-1)</f>
        <v>42765</v>
      </c>
      <c r="D560" s="714">
        <f t="shared" si="416"/>
        <v>42944</v>
      </c>
      <c r="E560" s="714">
        <f t="shared" si="416"/>
        <v>43130</v>
      </c>
      <c r="F560" s="714">
        <f t="shared" si="416"/>
        <v>43311</v>
      </c>
      <c r="G560" s="714">
        <f t="shared" si="416"/>
        <v>43495</v>
      </c>
      <c r="H560" s="714">
        <f t="shared" si="416"/>
        <v>43676</v>
      </c>
      <c r="I560" s="714">
        <f t="shared" si="416"/>
        <v>43860</v>
      </c>
      <c r="J560" s="714">
        <f t="shared" si="416"/>
        <v>44042</v>
      </c>
      <c r="K560" s="714">
        <f t="shared" si="416"/>
        <v>44225</v>
      </c>
      <c r="L560" s="714">
        <f t="shared" si="416"/>
        <v>44407</v>
      </c>
      <c r="M560" s="714">
        <f t="shared" si="416"/>
        <v>44589</v>
      </c>
      <c r="N560" s="714">
        <f t="shared" si="416"/>
        <v>44771</v>
      </c>
      <c r="O560" s="714">
        <f t="shared" si="416"/>
        <v>44956</v>
      </c>
      <c r="P560" s="714">
        <f t="shared" si="416"/>
        <v>45135</v>
      </c>
      <c r="Q560" s="714">
        <f t="shared" si="416"/>
        <v>45321</v>
      </c>
      <c r="R560" s="714">
        <f t="shared" si="416"/>
        <v>45503</v>
      </c>
      <c r="S560" s="714"/>
      <c r="T560" s="714"/>
      <c r="U560" s="714"/>
      <c r="V560" s="714"/>
      <c r="W560" s="714"/>
      <c r="X560" s="714"/>
      <c r="Y560" s="714"/>
      <c r="Z560" s="715">
        <f t="shared" ref="Z560:AR560" si="417">WORKDAY(INDEX(MO_Common_QEndDate,0,COLUMN()),-1)</f>
        <v>40024</v>
      </c>
      <c r="AA560" s="715">
        <f t="shared" si="417"/>
        <v>40389</v>
      </c>
      <c r="AB560" s="714">
        <f t="shared" si="417"/>
        <v>40753</v>
      </c>
      <c r="AC560" s="714">
        <f t="shared" si="417"/>
        <v>41120</v>
      </c>
      <c r="AD560" s="714">
        <f t="shared" si="417"/>
        <v>41485</v>
      </c>
      <c r="AE560" s="714">
        <f t="shared" si="417"/>
        <v>41850</v>
      </c>
      <c r="AF560" s="714">
        <f t="shared" si="417"/>
        <v>42215</v>
      </c>
      <c r="AG560" s="714">
        <f t="shared" si="417"/>
        <v>42580</v>
      </c>
      <c r="AH560" s="714">
        <f t="shared" si="417"/>
        <v>42944</v>
      </c>
      <c r="AI560" s="714">
        <f t="shared" si="417"/>
        <v>43311</v>
      </c>
      <c r="AJ560" s="714">
        <f t="shared" si="417"/>
        <v>43676</v>
      </c>
      <c r="AK560" s="714">
        <f t="shared" si="417"/>
        <v>44042</v>
      </c>
      <c r="AL560" s="714">
        <f t="shared" si="417"/>
        <v>44407</v>
      </c>
      <c r="AM560" s="714">
        <f t="shared" si="417"/>
        <v>44771</v>
      </c>
      <c r="AN560" s="714">
        <f t="shared" si="417"/>
        <v>45135</v>
      </c>
      <c r="AO560" s="714">
        <f t="shared" si="417"/>
        <v>45503</v>
      </c>
      <c r="AP560" s="714">
        <f t="shared" si="417"/>
        <v>45868</v>
      </c>
      <c r="AQ560" s="714">
        <f t="shared" si="417"/>
        <v>46233</v>
      </c>
      <c r="AR560" s="716">
        <f t="shared" si="417"/>
        <v>46598</v>
      </c>
      <c r="AS560" s="166"/>
    </row>
    <row r="561" spans="1:45" s="167" customFormat="1" collapsed="1" x14ac:dyDescent="0.35">
      <c r="A561" s="727" t="s">
        <v>987</v>
      </c>
      <c r="B561" s="164"/>
      <c r="C561" s="736"/>
      <c r="D561" s="736"/>
      <c r="E561" s="736"/>
      <c r="F561" s="736"/>
      <c r="G561" s="736"/>
      <c r="H561" s="736"/>
      <c r="I561" s="736"/>
      <c r="J561" s="736"/>
      <c r="K561" s="736"/>
      <c r="L561" s="736"/>
      <c r="M561" s="736"/>
      <c r="N561" s="736"/>
      <c r="O561" s="736"/>
      <c r="P561" s="736"/>
      <c r="Q561" s="736"/>
      <c r="R561" s="736"/>
      <c r="S561" s="736"/>
      <c r="T561" s="736"/>
      <c r="U561" s="736"/>
      <c r="V561" s="736"/>
      <c r="W561" s="736"/>
      <c r="X561" s="736"/>
      <c r="Y561" s="736"/>
      <c r="Z561" s="737"/>
      <c r="AA561" s="737"/>
      <c r="AB561" s="736"/>
      <c r="AC561" s="736"/>
      <c r="AD561" s="736"/>
      <c r="AE561" s="736"/>
      <c r="AF561" s="736"/>
      <c r="AG561" s="736"/>
      <c r="AH561" s="736"/>
      <c r="AI561" s="736"/>
      <c r="AJ561" s="736"/>
      <c r="AK561" s="736"/>
      <c r="AL561" s="736"/>
      <c r="AM561" s="736"/>
      <c r="AN561" s="736"/>
      <c r="AO561" s="736"/>
      <c r="AP561" s="736"/>
      <c r="AQ561" s="736"/>
      <c r="AR561" s="738"/>
      <c r="AS561" s="166"/>
    </row>
    <row r="562" spans="1:45" s="167" customFormat="1" collapsed="1" x14ac:dyDescent="0.35">
      <c r="A562" s="727" t="s">
        <v>988</v>
      </c>
      <c r="B562" s="164"/>
      <c r="C562" s="734">
        <v>99.999999999999986</v>
      </c>
      <c r="D562" s="734">
        <v>100</v>
      </c>
      <c r="E562" s="734">
        <v>100.00000000000001</v>
      </c>
      <c r="F562" s="734">
        <v>100</v>
      </c>
      <c r="G562" s="734">
        <v>100</v>
      </c>
      <c r="H562" s="734">
        <v>99.999999999999986</v>
      </c>
      <c r="I562" s="734">
        <v>100</v>
      </c>
      <c r="J562" s="734">
        <v>100</v>
      </c>
      <c r="K562" s="734">
        <v>100</v>
      </c>
      <c r="L562" s="734">
        <v>99.999999999999986</v>
      </c>
      <c r="M562" s="734">
        <v>100.00000000000001</v>
      </c>
      <c r="N562" s="734">
        <v>99.999999999999986</v>
      </c>
      <c r="O562" s="734">
        <v>100</v>
      </c>
      <c r="P562" s="730"/>
      <c r="Q562" s="730"/>
      <c r="R562" s="730"/>
      <c r="S562" s="730"/>
      <c r="T562" s="730"/>
      <c r="U562" s="730"/>
      <c r="V562" s="730"/>
      <c r="W562" s="730"/>
      <c r="X562" s="730"/>
      <c r="Y562" s="730"/>
      <c r="Z562" s="735">
        <v>100</v>
      </c>
      <c r="AA562" s="735">
        <v>100</v>
      </c>
      <c r="AB562" s="734">
        <v>100</v>
      </c>
      <c r="AC562" s="734">
        <v>100.00000000000001</v>
      </c>
      <c r="AD562" s="734">
        <v>99.999999999999986</v>
      </c>
      <c r="AE562" s="734">
        <v>100</v>
      </c>
      <c r="AF562" s="734">
        <v>99.999999999999986</v>
      </c>
      <c r="AG562" s="734">
        <v>100</v>
      </c>
      <c r="AH562" s="734">
        <v>100</v>
      </c>
      <c r="AI562" s="734">
        <v>100</v>
      </c>
      <c r="AJ562" s="734">
        <v>99.999999999999986</v>
      </c>
      <c r="AK562" s="734">
        <v>100</v>
      </c>
      <c r="AL562" s="734">
        <v>99.999999999999986</v>
      </c>
      <c r="AM562" s="734">
        <v>99.999999999999986</v>
      </c>
      <c r="AN562" s="730"/>
      <c r="AO562" s="730"/>
      <c r="AP562" s="730"/>
      <c r="AQ562" s="730"/>
      <c r="AR562" s="732"/>
      <c r="AS562" s="166"/>
    </row>
    <row r="563" spans="1:45" s="167" customFormat="1" collapsed="1" x14ac:dyDescent="0.35">
      <c r="A563" s="739"/>
      <c r="B563" s="362"/>
      <c r="C563" s="740"/>
      <c r="D563" s="740"/>
      <c r="E563" s="740"/>
      <c r="F563" s="740"/>
      <c r="G563" s="740"/>
      <c r="H563" s="740"/>
      <c r="I563" s="740"/>
      <c r="J563" s="740"/>
      <c r="K563" s="740"/>
      <c r="L563" s="740"/>
      <c r="M563" s="740"/>
      <c r="N563" s="740"/>
      <c r="O563" s="740"/>
      <c r="P563" s="740"/>
      <c r="Q563" s="740"/>
      <c r="R563" s="740"/>
      <c r="S563" s="740"/>
      <c r="T563" s="740"/>
      <c r="U563" s="740"/>
      <c r="V563" s="740"/>
      <c r="W563" s="740"/>
      <c r="X563" s="740"/>
      <c r="Y563" s="740"/>
      <c r="Z563" s="741"/>
      <c r="AA563" s="741"/>
      <c r="AB563" s="740"/>
      <c r="AC563" s="740"/>
      <c r="AD563" s="740"/>
      <c r="AE563" s="740"/>
      <c r="AF563" s="740"/>
      <c r="AG563" s="740"/>
      <c r="AH563" s="740"/>
      <c r="AI563" s="740"/>
      <c r="AJ563" s="740"/>
      <c r="AK563" s="740"/>
      <c r="AL563" s="740"/>
      <c r="AM563" s="740"/>
      <c r="AN563" s="740"/>
      <c r="AO563" s="740"/>
      <c r="AP563" s="740"/>
      <c r="AQ563" s="740"/>
      <c r="AR563" s="742"/>
      <c r="AS563" s="166"/>
    </row>
    <row r="564" spans="1:45" s="167" customFormat="1" x14ac:dyDescent="0.35">
      <c r="A564" s="681"/>
      <c r="B564" s="164"/>
      <c r="C564" s="164"/>
      <c r="D564" s="164"/>
      <c r="E564" s="164"/>
      <c r="F564" s="164"/>
      <c r="G564" s="164"/>
      <c r="H564" s="164"/>
      <c r="I564" s="164"/>
      <c r="J564" s="164"/>
      <c r="K564" s="164"/>
      <c r="L564" s="164"/>
      <c r="M564" s="164"/>
      <c r="N564" s="164"/>
      <c r="O564" s="164"/>
      <c r="P564" s="164"/>
      <c r="Q564" s="164"/>
      <c r="R564" s="164"/>
      <c r="S564" s="164"/>
      <c r="T564" s="164"/>
      <c r="U564" s="164"/>
      <c r="V564" s="164"/>
      <c r="W564" s="164"/>
      <c r="X564" s="164"/>
      <c r="Y564" s="164"/>
      <c r="Z564" s="682"/>
      <c r="AA564" s="682"/>
      <c r="AB564" s="164"/>
      <c r="AC564" s="164"/>
      <c r="AD564" s="164"/>
      <c r="AE564" s="164"/>
      <c r="AF564" s="164"/>
      <c r="AG564" s="164"/>
      <c r="AH564" s="164"/>
      <c r="AI564" s="164"/>
      <c r="AJ564" s="164"/>
      <c r="AK564" s="164"/>
      <c r="AL564" s="164"/>
      <c r="AM564" s="164"/>
      <c r="AN564" s="164"/>
      <c r="AO564" s="164"/>
      <c r="AP564" s="164"/>
      <c r="AQ564" s="164"/>
      <c r="AR564" s="164"/>
      <c r="AS564" s="166"/>
    </row>
    <row r="565" spans="1:45" s="167" customFormat="1" x14ac:dyDescent="0.35">
      <c r="A565" s="743" t="s">
        <v>989</v>
      </c>
      <c r="B565" s="709"/>
      <c r="C565" s="164"/>
      <c r="D565" s="164"/>
      <c r="E565" s="164"/>
      <c r="F565" s="164"/>
      <c r="G565" s="164"/>
      <c r="H565" s="164"/>
      <c r="I565" s="164"/>
      <c r="J565" s="164"/>
      <c r="K565" s="164"/>
      <c r="L565" s="164"/>
      <c r="M565" s="164"/>
      <c r="N565" s="164"/>
      <c r="O565" s="164"/>
      <c r="P565" s="164"/>
      <c r="Q565" s="164"/>
      <c r="R565" s="164"/>
      <c r="S565" s="164"/>
      <c r="T565" s="164"/>
      <c r="U565" s="164"/>
      <c r="V565" s="164"/>
      <c r="W565" s="164"/>
      <c r="X565" s="164"/>
      <c r="Y565" s="164"/>
      <c r="Z565" s="164"/>
      <c r="AA565" s="164"/>
      <c r="AB565" s="164"/>
      <c r="AC565" s="164"/>
      <c r="AD565" s="164"/>
      <c r="AE565" s="164"/>
      <c r="AF565" s="164"/>
      <c r="AG565" s="164"/>
      <c r="AH565" s="164"/>
      <c r="AI565" s="164"/>
      <c r="AJ565" s="164"/>
      <c r="AK565" s="164"/>
      <c r="AL565" s="164"/>
      <c r="AM565" s="164"/>
      <c r="AN565" s="164"/>
      <c r="AO565" s="164"/>
      <c r="AP565" s="164"/>
      <c r="AQ565" s="164"/>
      <c r="AR565" s="164"/>
      <c r="AS565" s="166"/>
    </row>
    <row r="566" spans="1:45" s="747" customFormat="1" x14ac:dyDescent="0.35">
      <c r="A566" s="744" t="s">
        <v>990</v>
      </c>
      <c r="B566" s="718" t="e">
        <f>FP.LastPrice</f>
        <v>#REF!</v>
      </c>
      <c r="C566" s="745"/>
      <c r="D566" s="745"/>
      <c r="E566" s="745"/>
      <c r="F566" s="745"/>
      <c r="G566" s="745"/>
      <c r="H566" s="745"/>
      <c r="I566" s="745"/>
      <c r="J566" s="745"/>
      <c r="K566" s="745"/>
      <c r="L566" s="745"/>
      <c r="M566" s="745"/>
      <c r="N566" s="745"/>
      <c r="O566" s="745"/>
      <c r="P566" s="745"/>
      <c r="Q566" s="745"/>
      <c r="R566" s="745"/>
      <c r="S566" s="745"/>
      <c r="T566" s="745"/>
      <c r="U566" s="745"/>
      <c r="V566" s="745"/>
      <c r="W566" s="745"/>
      <c r="X566" s="745"/>
      <c r="Y566" s="745"/>
      <c r="Z566" s="745"/>
      <c r="AA566" s="745"/>
      <c r="AB566" s="745"/>
      <c r="AC566" s="745"/>
      <c r="AD566" s="745"/>
      <c r="AE566" s="745"/>
      <c r="AF566" s="745"/>
      <c r="AG566" s="745"/>
      <c r="AH566" s="745"/>
      <c r="AI566" s="745"/>
      <c r="AJ566" s="745"/>
      <c r="AK566" s="745"/>
      <c r="AL566" s="745"/>
      <c r="AM566" s="745"/>
      <c r="AN566" s="745"/>
      <c r="AO566" s="745"/>
      <c r="AP566" s="745"/>
      <c r="AQ566" s="745"/>
      <c r="AR566" s="745"/>
      <c r="AS566" s="746"/>
    </row>
    <row r="567" spans="1:45" x14ac:dyDescent="0.35">
      <c r="A567" s="303" t="s">
        <v>991</v>
      </c>
      <c r="B567" s="748" t="e">
        <f>FP.LastPriceDate</f>
        <v>#REF!</v>
      </c>
      <c r="C567" s="170"/>
      <c r="D567" s="170"/>
      <c r="E567" s="170"/>
      <c r="F567" s="170"/>
      <c r="G567" s="170"/>
      <c r="H567" s="170"/>
      <c r="I567" s="170"/>
      <c r="J567" s="170"/>
      <c r="K567" s="170"/>
      <c r="L567" s="170"/>
      <c r="M567" s="170"/>
      <c r="N567" s="170"/>
      <c r="O567" s="170"/>
      <c r="P567" s="170"/>
      <c r="Q567" s="170"/>
      <c r="R567" s="170"/>
      <c r="S567" s="170"/>
      <c r="T567" s="170"/>
      <c r="U567" s="170"/>
      <c r="V567" s="170"/>
      <c r="W567" s="170"/>
      <c r="X567" s="170"/>
      <c r="Y567" s="170"/>
      <c r="Z567" s="170"/>
      <c r="AA567" s="170"/>
      <c r="AB567" s="170"/>
      <c r="AC567" s="170"/>
      <c r="AD567" s="170"/>
      <c r="AE567" s="170"/>
      <c r="AF567" s="170"/>
      <c r="AG567" s="170"/>
      <c r="AH567" s="170"/>
      <c r="AI567" s="170"/>
      <c r="AJ567" s="170"/>
      <c r="AK567" s="170"/>
      <c r="AL567" s="170"/>
      <c r="AM567" s="170"/>
      <c r="AN567" s="170"/>
      <c r="AO567" s="170"/>
      <c r="AP567" s="170"/>
      <c r="AQ567" s="170"/>
      <c r="AR567" s="170"/>
      <c r="AS567" s="171"/>
    </row>
    <row r="568" spans="1:45" x14ac:dyDescent="0.35">
      <c r="A568" s="303" t="s">
        <v>992</v>
      </c>
      <c r="B568" s="171" t="e">
        <f>IF(FP.RealTimeToggle="ON",TRUE,FALSE)</f>
        <v>#REF!</v>
      </c>
      <c r="C568" s="170"/>
      <c r="D568" s="170"/>
      <c r="E568" s="170"/>
      <c r="F568" s="170"/>
      <c r="G568" s="170"/>
      <c r="H568" s="170"/>
      <c r="I568" s="170"/>
      <c r="J568" s="170"/>
      <c r="K568" s="170"/>
      <c r="L568" s="170"/>
      <c r="M568" s="170"/>
      <c r="N568" s="170"/>
      <c r="O568" s="170"/>
      <c r="P568" s="170"/>
      <c r="Q568" s="170"/>
      <c r="R568" s="170"/>
      <c r="S568" s="170"/>
      <c r="T568" s="170"/>
      <c r="U568" s="170"/>
      <c r="V568" s="170"/>
      <c r="W568" s="170"/>
      <c r="X568" s="170"/>
      <c r="Y568" s="170"/>
      <c r="Z568" s="170"/>
      <c r="AA568" s="170"/>
      <c r="AB568" s="170"/>
      <c r="AC568" s="170"/>
      <c r="AD568" s="170"/>
      <c r="AE568" s="170"/>
      <c r="AF568" s="170"/>
      <c r="AG568" s="170"/>
      <c r="AH568" s="170"/>
      <c r="AI568" s="170"/>
      <c r="AJ568" s="170"/>
      <c r="AK568" s="170"/>
      <c r="AL568" s="170"/>
      <c r="AM568" s="170"/>
      <c r="AN568" s="170"/>
      <c r="AO568" s="170"/>
      <c r="AP568" s="170"/>
      <c r="AQ568" s="170"/>
      <c r="AR568" s="170"/>
      <c r="AS568" s="171"/>
    </row>
    <row r="569" spans="1:45" s="747" customFormat="1" x14ac:dyDescent="0.35">
      <c r="A569" s="744" t="s">
        <v>993</v>
      </c>
      <c r="B569" s="746" t="str">
        <f>IFERROR(CHOOSE(MO.DataSourceIndex,BDP(MO.Ticker.Bloomberg&amp;" EQUITY","LAST_PRICE"),_xll.ciqfunctions.udf.CIQ(MO.Ticker.CapIQ,"IQ_LASTSALEPRICE"),FDS(MO.Ticker.FactSet,"FG_PRICE(NOW)"),_xll.TR(MO.Ticker.Thomson,"TRDPRC_1")),"N/A")</f>
        <v>N/A</v>
      </c>
      <c r="C569" s="745"/>
      <c r="D569" s="745"/>
      <c r="E569" s="745"/>
      <c r="F569" s="745"/>
      <c r="G569" s="745"/>
      <c r="H569" s="745"/>
      <c r="I569" s="745"/>
      <c r="J569" s="745"/>
      <c r="K569" s="745"/>
      <c r="L569" s="745"/>
      <c r="M569" s="745"/>
      <c r="N569" s="745"/>
      <c r="O569" s="745"/>
      <c r="P569" s="745"/>
      <c r="Q569" s="745"/>
      <c r="R569" s="745"/>
      <c r="S569" s="745"/>
      <c r="T569" s="745"/>
      <c r="U569" s="745"/>
      <c r="V569" s="745"/>
      <c r="W569" s="745"/>
      <c r="X569" s="745"/>
      <c r="Y569" s="745"/>
      <c r="Z569" s="745"/>
      <c r="AA569" s="745"/>
      <c r="AB569" s="745"/>
      <c r="AC569" s="745"/>
      <c r="AD569" s="745"/>
      <c r="AE569" s="745"/>
      <c r="AF569" s="745"/>
      <c r="AG569" s="745"/>
      <c r="AH569" s="745"/>
      <c r="AI569" s="745"/>
      <c r="AJ569" s="745"/>
      <c r="AK569" s="745"/>
      <c r="AL569" s="745"/>
      <c r="AM569" s="745"/>
      <c r="AN569" s="745"/>
      <c r="AO569" s="745"/>
      <c r="AP569" s="745"/>
      <c r="AQ569" s="745"/>
      <c r="AR569" s="745"/>
      <c r="AS569" s="746"/>
    </row>
    <row r="570" spans="1:45" s="747" customFormat="1" x14ac:dyDescent="0.35">
      <c r="A570" s="744" t="s">
        <v>994</v>
      </c>
      <c r="B570" s="746" t="b">
        <f>OR(AND(OR(EXACT(HP.TradeCurrency.HardCoded,"GBp"),EXACT(HP.TradeCurrency.HardCoded,"GBX")),EXACT(HP.ReportCurrency,"GBP")),AND(OR(EXACT(HP.TradeCurrency.HardCoded,"ZAc"),EXACT(HP.TradeCurrency.HardCoded,"ZAC")),EXACT(HP.ReportCurrency,"ZAR")))</f>
        <v>1</v>
      </c>
      <c r="C570" s="745"/>
      <c r="D570" s="745"/>
      <c r="E570" s="745"/>
      <c r="F570" s="745"/>
      <c r="G570" s="745"/>
      <c r="H570" s="745"/>
      <c r="I570" s="745"/>
      <c r="J570" s="745"/>
      <c r="K570" s="745"/>
      <c r="L570" s="745"/>
      <c r="M570" s="745"/>
      <c r="N570" s="745"/>
      <c r="O570" s="745"/>
      <c r="P570" s="745"/>
      <c r="Q570" s="745"/>
      <c r="R570" s="745"/>
      <c r="S570" s="745"/>
      <c r="T570" s="745"/>
      <c r="U570" s="745"/>
      <c r="V570" s="745"/>
      <c r="W570" s="745"/>
      <c r="X570" s="745"/>
      <c r="Y570" s="745"/>
      <c r="Z570" s="745"/>
      <c r="AA570" s="745"/>
      <c r="AB570" s="745"/>
      <c r="AC570" s="745"/>
      <c r="AD570" s="745"/>
      <c r="AE570" s="745"/>
      <c r="AF570" s="745"/>
      <c r="AG570" s="745"/>
      <c r="AH570" s="745"/>
      <c r="AI570" s="745"/>
      <c r="AJ570" s="745"/>
      <c r="AK570" s="745"/>
      <c r="AL570" s="745"/>
      <c r="AM570" s="745"/>
      <c r="AN570" s="745"/>
      <c r="AO570" s="745"/>
      <c r="AP570" s="745"/>
      <c r="AQ570" s="745"/>
      <c r="AR570" s="745"/>
      <c r="AS570" s="746"/>
    </row>
    <row r="571" spans="1:45" s="747" customFormat="1" x14ac:dyDescent="0.35">
      <c r="A571" s="744" t="s">
        <v>995</v>
      </c>
      <c r="B571" s="746" t="str">
        <f>IFERROR(CHOOSE(MO.DataSourceIndex,BDP(HP.Ticker&amp;" Equity","CRNCY"),_xll.ciqfunctions.udf.CIQ(HP.Ticker,"IQ_TRADING_CURRENCY"),FDS(HP.Ticker,"P_CURRENCY(""ISO"")"),_xll.TR(HP.Ticker,"Currency")),HP.TradeCurrency.HardCoded)</f>
        <v>GBX</v>
      </c>
      <c r="C571" s="745"/>
      <c r="D571" s="745"/>
      <c r="E571" s="745"/>
      <c r="F571" s="745"/>
      <c r="G571" s="745"/>
      <c r="H571" s="745"/>
      <c r="I571" s="745"/>
      <c r="J571" s="745"/>
      <c r="K571" s="745"/>
      <c r="L571" s="745"/>
      <c r="M571" s="745"/>
      <c r="N571" s="745"/>
      <c r="O571" s="745"/>
      <c r="P571" s="745"/>
      <c r="Q571" s="745"/>
      <c r="R571" s="745"/>
      <c r="S571" s="745"/>
      <c r="T571" s="745"/>
      <c r="U571" s="745"/>
      <c r="V571" s="745"/>
      <c r="W571" s="745"/>
      <c r="X571" s="745"/>
      <c r="Y571" s="745"/>
      <c r="Z571" s="745"/>
      <c r="AA571" s="745"/>
      <c r="AB571" s="745"/>
      <c r="AC571" s="745"/>
      <c r="AD571" s="745"/>
      <c r="AE571" s="745"/>
      <c r="AF571" s="745"/>
      <c r="AG571" s="745"/>
      <c r="AH571" s="745"/>
      <c r="AI571" s="745"/>
      <c r="AJ571" s="745"/>
      <c r="AK571" s="745"/>
      <c r="AL571" s="745"/>
      <c r="AM571" s="745"/>
      <c r="AN571" s="745"/>
      <c r="AO571" s="745"/>
      <c r="AP571" s="745"/>
      <c r="AQ571" s="745"/>
      <c r="AR571" s="745"/>
      <c r="AS571" s="746"/>
    </row>
    <row r="572" spans="1:45" s="747" customFormat="1" x14ac:dyDescent="0.35">
      <c r="A572" s="744" t="s">
        <v>996</v>
      </c>
      <c r="B572" s="749" t="s">
        <v>997</v>
      </c>
      <c r="C572" s="745"/>
      <c r="D572" s="745"/>
      <c r="E572" s="745"/>
      <c r="F572" s="745"/>
      <c r="G572" s="745"/>
      <c r="H572" s="745"/>
      <c r="I572" s="745"/>
      <c r="J572" s="745"/>
      <c r="K572" s="745"/>
      <c r="L572" s="745"/>
      <c r="M572" s="745"/>
      <c r="N572" s="745"/>
      <c r="O572" s="745"/>
      <c r="P572" s="745"/>
      <c r="Q572" s="745"/>
      <c r="R572" s="745"/>
      <c r="S572" s="745"/>
      <c r="T572" s="745"/>
      <c r="U572" s="745"/>
      <c r="V572" s="745"/>
      <c r="W572" s="745"/>
      <c r="X572" s="745"/>
      <c r="Y572" s="745"/>
      <c r="Z572" s="745"/>
      <c r="AA572" s="745"/>
      <c r="AB572" s="745"/>
      <c r="AC572" s="745"/>
      <c r="AD572" s="745"/>
      <c r="AE572" s="745"/>
      <c r="AF572" s="745"/>
      <c r="AG572" s="745"/>
      <c r="AH572" s="745"/>
      <c r="AI572" s="745"/>
      <c r="AJ572" s="745"/>
      <c r="AK572" s="745"/>
      <c r="AL572" s="745"/>
      <c r="AM572" s="745"/>
      <c r="AN572" s="745"/>
      <c r="AO572" s="745"/>
      <c r="AP572" s="745"/>
      <c r="AQ572" s="745"/>
      <c r="AR572" s="745"/>
      <c r="AS572" s="746"/>
    </row>
    <row r="573" spans="1:45" s="747" customFormat="1" x14ac:dyDescent="0.35">
      <c r="A573" s="744" t="s">
        <v>998</v>
      </c>
      <c r="B573" s="749" t="s">
        <v>88</v>
      </c>
      <c r="C573" s="745"/>
      <c r="D573" s="745"/>
      <c r="E573" s="745"/>
      <c r="F573" s="745"/>
      <c r="G573" s="745"/>
      <c r="H573" s="745"/>
      <c r="I573" s="745"/>
      <c r="J573" s="745"/>
      <c r="K573" s="745"/>
      <c r="L573" s="745"/>
      <c r="M573" s="745"/>
      <c r="N573" s="745"/>
      <c r="O573" s="745"/>
      <c r="P573" s="745"/>
      <c r="Q573" s="745"/>
      <c r="R573" s="745"/>
      <c r="S573" s="745"/>
      <c r="T573" s="745"/>
      <c r="U573" s="745"/>
      <c r="V573" s="745"/>
      <c r="W573" s="745"/>
      <c r="X573" s="745"/>
      <c r="Y573" s="745"/>
      <c r="Z573" s="745"/>
      <c r="AA573" s="745"/>
      <c r="AB573" s="745"/>
      <c r="AC573" s="745"/>
      <c r="AD573" s="745"/>
      <c r="AE573" s="745"/>
      <c r="AF573" s="745"/>
      <c r="AG573" s="745"/>
      <c r="AH573" s="745"/>
      <c r="AI573" s="745"/>
      <c r="AJ573" s="745"/>
      <c r="AK573" s="745"/>
      <c r="AL573" s="745"/>
      <c r="AM573" s="745"/>
      <c r="AN573" s="745"/>
      <c r="AO573" s="745"/>
      <c r="AP573" s="745"/>
      <c r="AQ573" s="745"/>
      <c r="AR573" s="745"/>
      <c r="AS573" s="746"/>
    </row>
    <row r="574" spans="1:45" s="747" customFormat="1" x14ac:dyDescent="0.35">
      <c r="A574" s="744" t="s">
        <v>999</v>
      </c>
      <c r="B574" s="624" t="e">
        <f>IF(EXACT(MO.ReportFX,HP.TradeCurrency),1,IF(OR(INDEX(MO_SPT_FXAverage,1,MO.MRFPColumnNumber+1)="N/A",ISERROR(INDEX(MO_SPT_FXAverage,1,MO.MRFPColumnNumber+1))),MO.MRFX.Hardcoded,INDEX(MO_SPT_FXAverage,1,MO.MRFPColumnNumber+1)))</f>
        <v>#REF!</v>
      </c>
      <c r="C574" s="745"/>
      <c r="D574" s="745"/>
      <c r="E574" s="745"/>
      <c r="F574" s="745"/>
      <c r="G574" s="745"/>
      <c r="H574" s="745"/>
      <c r="I574" s="745"/>
      <c r="J574" s="745"/>
      <c r="K574" s="745"/>
      <c r="L574" s="745"/>
      <c r="M574" s="745"/>
      <c r="N574" s="745"/>
      <c r="O574" s="745"/>
      <c r="P574" s="745"/>
      <c r="Q574" s="745"/>
      <c r="R574" s="745"/>
      <c r="S574" s="745"/>
      <c r="T574" s="745"/>
      <c r="U574" s="745"/>
      <c r="V574" s="745"/>
      <c r="W574" s="745"/>
      <c r="X574" s="745"/>
      <c r="Y574" s="745"/>
      <c r="Z574" s="745"/>
      <c r="AA574" s="745"/>
      <c r="AB574" s="745"/>
      <c r="AC574" s="745"/>
      <c r="AD574" s="745"/>
      <c r="AE574" s="745"/>
      <c r="AF574" s="745"/>
      <c r="AG574" s="745"/>
      <c r="AH574" s="745"/>
      <c r="AI574" s="745"/>
      <c r="AJ574" s="745"/>
      <c r="AK574" s="745"/>
      <c r="AL574" s="745"/>
      <c r="AM574" s="745"/>
      <c r="AN574" s="745"/>
      <c r="AO574" s="745"/>
      <c r="AP574" s="745"/>
      <c r="AQ574" s="745"/>
      <c r="AR574" s="745"/>
      <c r="AS574" s="746"/>
    </row>
    <row r="575" spans="1:45" s="747" customFormat="1" x14ac:dyDescent="0.35">
      <c r="A575" s="744" t="s">
        <v>1000</v>
      </c>
      <c r="B575" s="734">
        <v>100</v>
      </c>
      <c r="C575" s="745"/>
      <c r="D575" s="745"/>
      <c r="E575" s="745"/>
      <c r="F575" s="745"/>
      <c r="G575" s="745"/>
      <c r="H575" s="745"/>
      <c r="I575" s="745"/>
      <c r="J575" s="745"/>
      <c r="K575" s="745"/>
      <c r="L575" s="745"/>
      <c r="M575" s="745"/>
      <c r="N575" s="745"/>
      <c r="O575" s="745"/>
      <c r="P575" s="745"/>
      <c r="Q575" s="745"/>
      <c r="R575" s="745"/>
      <c r="S575" s="745"/>
      <c r="T575" s="745"/>
      <c r="U575" s="745"/>
      <c r="V575" s="745"/>
      <c r="W575" s="745"/>
      <c r="X575" s="745"/>
      <c r="Y575" s="745"/>
      <c r="Z575" s="745"/>
      <c r="AA575" s="745"/>
      <c r="AB575" s="745"/>
      <c r="AC575" s="745"/>
      <c r="AD575" s="745"/>
      <c r="AE575" s="745"/>
      <c r="AF575" s="745"/>
      <c r="AG575" s="745"/>
      <c r="AH575" s="745"/>
      <c r="AI575" s="745"/>
      <c r="AJ575" s="745"/>
      <c r="AK575" s="745"/>
      <c r="AL575" s="745"/>
      <c r="AM575" s="745"/>
      <c r="AN575" s="745"/>
      <c r="AO575" s="745"/>
      <c r="AP575" s="745"/>
      <c r="AQ575" s="745"/>
      <c r="AR575" s="745"/>
      <c r="AS575" s="746"/>
    </row>
    <row r="576" spans="1:45" s="332" customFormat="1" x14ac:dyDescent="0.35">
      <c r="A576" s="750" t="s">
        <v>1001</v>
      </c>
      <c r="B576" s="331">
        <f>MATCH(MO.MRFP,MO_Common_ColumnHeader,0)</f>
        <v>15</v>
      </c>
      <c r="C576" s="326"/>
      <c r="D576" s="326"/>
      <c r="E576" s="326"/>
      <c r="F576" s="326"/>
      <c r="G576" s="326"/>
      <c r="H576" s="326"/>
      <c r="I576" s="326"/>
      <c r="J576" s="326"/>
      <c r="K576" s="326"/>
      <c r="L576" s="326"/>
      <c r="M576" s="326"/>
      <c r="N576" s="326"/>
      <c r="O576" s="326"/>
      <c r="P576" s="326"/>
      <c r="Q576" s="326"/>
      <c r="R576" s="326"/>
      <c r="S576" s="326"/>
      <c r="T576" s="326"/>
      <c r="U576" s="326"/>
      <c r="V576" s="326"/>
      <c r="W576" s="326"/>
      <c r="X576" s="326"/>
      <c r="Y576" s="326"/>
      <c r="Z576" s="326"/>
      <c r="AA576" s="326"/>
      <c r="AB576" s="326"/>
      <c r="AC576" s="326"/>
      <c r="AD576" s="326"/>
      <c r="AE576" s="326"/>
      <c r="AF576" s="326"/>
      <c r="AG576" s="326"/>
      <c r="AH576" s="326"/>
      <c r="AI576" s="326"/>
      <c r="AJ576" s="326"/>
      <c r="AK576" s="326"/>
      <c r="AL576" s="326"/>
      <c r="AM576" s="326"/>
      <c r="AN576" s="326"/>
      <c r="AO576" s="326"/>
      <c r="AP576" s="326"/>
      <c r="AQ576" s="326"/>
      <c r="AR576" s="326"/>
      <c r="AS576" s="331"/>
    </row>
    <row r="577" spans="1:45" s="332" customFormat="1" x14ac:dyDescent="0.35">
      <c r="A577" s="750" t="s">
        <v>1002</v>
      </c>
      <c r="B577" s="350" t="s">
        <v>1003</v>
      </c>
      <c r="C577" s="326"/>
      <c r="D577" s="326"/>
      <c r="E577" s="326"/>
      <c r="F577" s="326"/>
      <c r="G577" s="326"/>
      <c r="H577" s="326"/>
      <c r="I577" s="326"/>
      <c r="J577" s="326"/>
      <c r="K577" s="326"/>
      <c r="L577" s="326"/>
      <c r="M577" s="326"/>
      <c r="N577" s="326"/>
      <c r="O577" s="326"/>
      <c r="P577" s="326"/>
      <c r="Q577" s="326"/>
      <c r="R577" s="326"/>
      <c r="S577" s="326"/>
      <c r="T577" s="326"/>
      <c r="U577" s="326"/>
      <c r="V577" s="326"/>
      <c r="W577" s="326"/>
      <c r="X577" s="326"/>
      <c r="Y577" s="326"/>
      <c r="Z577" s="326"/>
      <c r="AA577" s="326"/>
      <c r="AB577" s="326"/>
      <c r="AC577" s="326"/>
      <c r="AD577" s="326"/>
      <c r="AE577" s="326"/>
      <c r="AF577" s="326"/>
      <c r="AG577" s="326"/>
      <c r="AH577" s="326"/>
      <c r="AI577" s="326"/>
      <c r="AJ577" s="326"/>
      <c r="AK577" s="326"/>
      <c r="AL577" s="326"/>
      <c r="AM577" s="326"/>
      <c r="AN577" s="326"/>
      <c r="AO577" s="326"/>
      <c r="AP577" s="326"/>
      <c r="AQ577" s="326"/>
      <c r="AR577" s="326"/>
      <c r="AS577" s="331"/>
    </row>
    <row r="578" spans="1:45" s="332" customFormat="1" x14ac:dyDescent="0.35">
      <c r="A578" s="750" t="s">
        <v>1004</v>
      </c>
      <c r="B578" s="331" t="str">
        <f>"FY"&amp;RIGHT(MO.MRFP,4)</f>
        <v>FY2023</v>
      </c>
      <c r="C578" s="326"/>
      <c r="D578" s="326"/>
      <c r="E578" s="326"/>
      <c r="F578" s="326"/>
      <c r="G578" s="326"/>
      <c r="H578" s="326"/>
      <c r="I578" s="326"/>
      <c r="J578" s="326"/>
      <c r="K578" s="326"/>
      <c r="L578" s="326"/>
      <c r="M578" s="326"/>
      <c r="N578" s="326"/>
      <c r="O578" s="326"/>
      <c r="P578" s="326"/>
      <c r="Q578" s="326"/>
      <c r="R578" s="326"/>
      <c r="S578" s="326"/>
      <c r="T578" s="326"/>
      <c r="U578" s="326"/>
      <c r="V578" s="326"/>
      <c r="W578" s="326"/>
      <c r="X578" s="326"/>
      <c r="Y578" s="326"/>
      <c r="Z578" s="326"/>
      <c r="AA578" s="326"/>
      <c r="AB578" s="326"/>
      <c r="AC578" s="326"/>
      <c r="AD578" s="326"/>
      <c r="AE578" s="326"/>
      <c r="AF578" s="326"/>
      <c r="AG578" s="326"/>
      <c r="AH578" s="326"/>
      <c r="AI578" s="326"/>
      <c r="AJ578" s="326"/>
      <c r="AK578" s="326"/>
      <c r="AL578" s="326"/>
      <c r="AM578" s="326"/>
      <c r="AN578" s="326"/>
      <c r="AO578" s="326"/>
      <c r="AP578" s="326"/>
      <c r="AQ578" s="326"/>
      <c r="AR578" s="326"/>
      <c r="AS578" s="331"/>
    </row>
    <row r="579" spans="1:45" s="332" customFormat="1" x14ac:dyDescent="0.35">
      <c r="A579" s="750" t="s">
        <v>1005</v>
      </c>
      <c r="B579" s="331" t="str">
        <f>"FY"&amp;RIGHT(MO.MRFP,4)+IF(LEFT(MO.MRFP,2)="FY",1,0)</f>
        <v>FY2023</v>
      </c>
      <c r="C579" s="326"/>
      <c r="D579" s="326"/>
      <c r="E579" s="326"/>
      <c r="F579" s="326"/>
      <c r="G579" s="326"/>
      <c r="H579" s="326"/>
      <c r="I579" s="326"/>
      <c r="J579" s="326"/>
      <c r="K579" s="326"/>
      <c r="L579" s="326"/>
      <c r="M579" s="326"/>
      <c r="N579" s="326"/>
      <c r="O579" s="326"/>
      <c r="P579" s="326"/>
      <c r="Q579" s="326"/>
      <c r="R579" s="326"/>
      <c r="S579" s="326"/>
      <c r="T579" s="326"/>
      <c r="U579" s="326"/>
      <c r="V579" s="326"/>
      <c r="W579" s="326"/>
      <c r="X579" s="326"/>
      <c r="Y579" s="326"/>
      <c r="Z579" s="326"/>
      <c r="AA579" s="326"/>
      <c r="AB579" s="326"/>
      <c r="AC579" s="326"/>
      <c r="AD579" s="326"/>
      <c r="AE579" s="326"/>
      <c r="AF579" s="326"/>
      <c r="AG579" s="326"/>
      <c r="AH579" s="326"/>
      <c r="AI579" s="326"/>
      <c r="AJ579" s="326"/>
      <c r="AK579" s="326"/>
      <c r="AL579" s="326"/>
      <c r="AM579" s="326"/>
      <c r="AN579" s="326"/>
      <c r="AO579" s="326"/>
      <c r="AP579" s="326"/>
      <c r="AQ579" s="326"/>
      <c r="AR579" s="326"/>
      <c r="AS579" s="331"/>
    </row>
    <row r="580" spans="1:45" s="332" customFormat="1" x14ac:dyDescent="0.35">
      <c r="A580" s="750" t="s">
        <v>1006</v>
      </c>
      <c r="B580" s="331">
        <f>COUNTA(tb_KPIs)-1</f>
        <v>6</v>
      </c>
      <c r="C580" s="326"/>
      <c r="D580" s="326"/>
      <c r="E580" s="326"/>
      <c r="F580" s="326"/>
      <c r="G580" s="326"/>
      <c r="H580" s="326"/>
      <c r="I580" s="326"/>
      <c r="J580" s="326"/>
      <c r="K580" s="326"/>
      <c r="L580" s="326"/>
      <c r="M580" s="326"/>
      <c r="N580" s="326"/>
      <c r="O580" s="326"/>
      <c r="P580" s="326"/>
      <c r="Q580" s="326"/>
      <c r="R580" s="326"/>
      <c r="S580" s="326"/>
      <c r="T580" s="326"/>
      <c r="U580" s="326"/>
      <c r="V580" s="326"/>
      <c r="W580" s="326"/>
      <c r="X580" s="326"/>
      <c r="Y580" s="326"/>
      <c r="Z580" s="326"/>
      <c r="AA580" s="326"/>
      <c r="AB580" s="326"/>
      <c r="AC580" s="326"/>
      <c r="AD580" s="326"/>
      <c r="AE580" s="326"/>
      <c r="AF580" s="326"/>
      <c r="AG580" s="326"/>
      <c r="AH580" s="326"/>
      <c r="AI580" s="326"/>
      <c r="AJ580" s="326"/>
      <c r="AK580" s="326"/>
      <c r="AL580" s="326"/>
      <c r="AM580" s="326"/>
      <c r="AN580" s="326"/>
      <c r="AO580" s="326"/>
      <c r="AP580" s="326"/>
      <c r="AQ580" s="326"/>
      <c r="AR580" s="326"/>
      <c r="AS580" s="331"/>
    </row>
    <row r="581" spans="1:45" s="332" customFormat="1" x14ac:dyDescent="0.35">
      <c r="A581" s="751" t="s">
        <v>1007</v>
      </c>
      <c r="B581" s="752" t="e">
        <f>IF(MO.DataSourceName="Bloomberg",1,IF(MO.DataSourceName="Capital IQ",2,IF(MO.DataSourceName="FactSet",3,IF(MO.DataSourceName="Refinitiv",4,1))))</f>
        <v>#REF!</v>
      </c>
      <c r="C581" s="326"/>
      <c r="D581" s="326"/>
      <c r="E581" s="326"/>
      <c r="F581" s="326"/>
      <c r="G581" s="326"/>
      <c r="H581" s="326"/>
      <c r="I581" s="326"/>
      <c r="J581" s="326"/>
      <c r="K581" s="326"/>
      <c r="L581" s="326"/>
      <c r="M581" s="326"/>
      <c r="N581" s="326"/>
      <c r="O581" s="326"/>
      <c r="P581" s="326"/>
      <c r="Q581" s="326"/>
      <c r="R581" s="326"/>
      <c r="S581" s="326"/>
      <c r="T581" s="326"/>
      <c r="U581" s="326"/>
      <c r="V581" s="326"/>
      <c r="W581" s="326"/>
      <c r="X581" s="326"/>
      <c r="Y581" s="326"/>
      <c r="Z581" s="326"/>
      <c r="AA581" s="326"/>
      <c r="AB581" s="326"/>
      <c r="AC581" s="326"/>
      <c r="AD581" s="326"/>
      <c r="AE581" s="326"/>
      <c r="AF581" s="326"/>
      <c r="AG581" s="326"/>
      <c r="AH581" s="326"/>
      <c r="AI581" s="326"/>
      <c r="AJ581" s="326"/>
      <c r="AK581" s="326"/>
      <c r="AL581" s="326"/>
      <c r="AM581" s="326"/>
      <c r="AN581" s="326"/>
      <c r="AO581" s="326"/>
      <c r="AP581" s="326"/>
      <c r="AQ581" s="326"/>
      <c r="AR581" s="326"/>
      <c r="AS581" s="331"/>
    </row>
    <row r="582" spans="1:45" x14ac:dyDescent="0.35">
      <c r="A582" s="170"/>
      <c r="B582" s="170"/>
      <c r="C582" s="170"/>
      <c r="D582" s="170"/>
      <c r="E582" s="170"/>
      <c r="F582" s="170"/>
      <c r="G582" s="170"/>
      <c r="H582" s="170"/>
      <c r="I582" s="170"/>
      <c r="J582" s="170"/>
      <c r="K582" s="170"/>
      <c r="L582" s="170"/>
      <c r="M582" s="170"/>
      <c r="N582" s="170"/>
      <c r="O582" s="170"/>
      <c r="P582" s="170"/>
      <c r="Q582" s="170"/>
      <c r="R582" s="170"/>
      <c r="S582" s="170"/>
      <c r="T582" s="170"/>
      <c r="U582" s="170"/>
      <c r="V582" s="170"/>
      <c r="W582" s="170"/>
      <c r="X582" s="170"/>
      <c r="Y582" s="170"/>
      <c r="Z582" s="170"/>
      <c r="AA582" s="170"/>
      <c r="AB582" s="170"/>
      <c r="AC582" s="170"/>
      <c r="AD582" s="170"/>
      <c r="AE582" s="170"/>
      <c r="AF582" s="170"/>
      <c r="AG582" s="170"/>
      <c r="AH582" s="170"/>
      <c r="AI582" s="170"/>
      <c r="AJ582" s="170"/>
      <c r="AK582" s="170"/>
      <c r="AL582" s="170"/>
      <c r="AM582" s="170"/>
      <c r="AN582" s="170"/>
      <c r="AO582" s="170"/>
      <c r="AP582" s="170"/>
      <c r="AQ582" s="170"/>
      <c r="AR582" s="170"/>
      <c r="AS582" s="171"/>
    </row>
    <row r="583" spans="1:45" x14ac:dyDescent="0.35">
      <c r="A583" s="467" t="s">
        <v>1008</v>
      </c>
      <c r="B583" s="753"/>
      <c r="C583" s="753"/>
      <c r="D583" s="753"/>
      <c r="E583" s="753"/>
      <c r="F583" s="753"/>
      <c r="G583" s="753"/>
      <c r="H583" s="753"/>
      <c r="I583" s="753"/>
      <c r="J583" s="753"/>
      <c r="K583" s="753"/>
      <c r="L583" s="753"/>
      <c r="M583" s="753"/>
      <c r="N583" s="753"/>
      <c r="O583" s="753"/>
      <c r="P583" s="753"/>
      <c r="Q583" s="753"/>
      <c r="R583" s="753"/>
      <c r="S583" s="753"/>
      <c r="T583" s="753"/>
      <c r="U583" s="753"/>
      <c r="V583" s="753"/>
      <c r="W583" s="753"/>
      <c r="X583" s="753"/>
      <c r="Y583" s="753"/>
      <c r="Z583" s="753"/>
      <c r="AA583" s="753"/>
      <c r="AB583" s="753"/>
      <c r="AC583" s="753"/>
      <c r="AD583" s="753"/>
      <c r="AE583" s="753"/>
      <c r="AF583" s="753"/>
      <c r="AG583" s="753"/>
      <c r="AH583" s="753"/>
      <c r="AI583" s="753"/>
      <c r="AJ583" s="753"/>
      <c r="AK583" s="753"/>
      <c r="AL583" s="753"/>
      <c r="AM583" s="753"/>
      <c r="AN583" s="753"/>
      <c r="AO583" s="753"/>
      <c r="AP583" s="753"/>
      <c r="AQ583" s="753"/>
      <c r="AR583" s="753"/>
      <c r="AS583" s="171"/>
    </row>
    <row r="584" spans="1:45" x14ac:dyDescent="0.35">
      <c r="A584" s="171"/>
      <c r="B584" s="171"/>
      <c r="C584" s="171"/>
      <c r="D584" s="171"/>
      <c r="E584" s="171"/>
      <c r="F584" s="171"/>
      <c r="G584" s="171"/>
      <c r="H584" s="171"/>
      <c r="I584" s="171"/>
      <c r="J584" s="171"/>
      <c r="K584" s="171"/>
      <c r="L584" s="171"/>
      <c r="M584" s="171"/>
      <c r="N584" s="171"/>
      <c r="O584" s="171"/>
      <c r="P584" s="171"/>
      <c r="Q584" s="171"/>
      <c r="R584" s="171"/>
      <c r="S584" s="171"/>
      <c r="T584" s="171"/>
      <c r="U584" s="171"/>
      <c r="V584" s="171"/>
      <c r="W584" s="171"/>
      <c r="X584" s="171"/>
      <c r="Y584" s="171"/>
      <c r="Z584" s="171"/>
      <c r="AA584" s="171"/>
      <c r="AB584" s="171"/>
      <c r="AC584" s="171"/>
      <c r="AD584" s="171"/>
      <c r="AE584" s="171"/>
      <c r="AF584" s="171"/>
      <c r="AG584" s="171"/>
      <c r="AH584" s="171"/>
      <c r="AI584" s="171"/>
      <c r="AJ584" s="171"/>
      <c r="AK584" s="171"/>
      <c r="AL584" s="171"/>
      <c r="AM584" s="171"/>
      <c r="AN584" s="171"/>
      <c r="AO584" s="171"/>
      <c r="AP584" s="171"/>
      <c r="AQ584" s="171"/>
      <c r="AR584" s="171"/>
      <c r="AS584" s="171"/>
    </row>
  </sheetData>
  <conditionalFormatting sqref="C156:AR156">
    <cfRule type="cellIs" dxfId="7" priority="7" operator="notEqual">
      <formula>0</formula>
    </cfRule>
    <cfRule type="cellIs" dxfId="6" priority="8" operator="equal">
      <formula>0</formula>
    </cfRule>
  </conditionalFormatting>
  <conditionalFormatting sqref="C357:AR357">
    <cfRule type="cellIs" dxfId="5" priority="5" operator="notEqual">
      <formula>0</formula>
    </cfRule>
    <cfRule type="cellIs" dxfId="4" priority="6" operator="equal">
      <formula>0</formula>
    </cfRule>
  </conditionalFormatting>
  <conditionalFormatting sqref="C464:AR464">
    <cfRule type="cellIs" dxfId="3" priority="3" operator="notEqual">
      <formula>0</formula>
    </cfRule>
    <cfRule type="cellIs" dxfId="2" priority="4" operator="equal">
      <formula>0</formula>
    </cfRule>
  </conditionalFormatting>
  <conditionalFormatting sqref="C467:AR483">
    <cfRule type="cellIs" dxfId="1" priority="1" operator="notEqual">
      <formula>0</formula>
    </cfRule>
    <cfRule type="cellIs" dxfId="0" priority="2" operator="equal">
      <formula>0</formula>
    </cfRule>
  </conditionalFormatting>
  <dataValidations count="1">
    <dataValidation type="list" allowBlank="1" showInputMessage="1" showErrorMessage="1" sqref="B290" xr:uid="{34176588-078A-435B-9A1A-DCB0EF289303}">
      <formula1>OFFSET(tb_ValuationToggle,1,0,3,1)</formula1>
    </dataValidation>
  </dataValidations>
  <hyperlinks>
    <hyperlink ref="A1" r:id="rId1" xr:uid="{142A49B3-9F75-40A7-802C-025E4197A991}"/>
  </hyperlinks>
  <pageMargins left="0" right="0" top="0.39370078740157499" bottom="0" header="0.196850393700787" footer="0"/>
  <pageSetup scale="29" fitToHeight="0" orientation="landscape" r:id="rId2"/>
  <headerFooter>
    <oddHeader>&amp;CSoftcat&amp;RPage &amp;P</oddHeader>
  </headerFooter>
  <legacy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290"/>
  <sheetViews>
    <sheetView zoomScale="75" zoomScaleNormal="75" workbookViewId="0">
      <pane xSplit="1" ySplit="9" topLeftCell="B10" activePane="bottomRight" state="frozen"/>
      <selection pane="topRight" activeCell="B1" sqref="B1"/>
      <selection pane="bottomLeft" activeCell="A9" sqref="A9"/>
      <selection pane="bottomRight" activeCell="D33" sqref="D33"/>
    </sheetView>
  </sheetViews>
  <sheetFormatPr defaultRowHeight="10" outlineLevelRow="1" x14ac:dyDescent="0.2"/>
  <cols>
    <col min="1" max="2" width="45.81640625" style="2" customWidth="1"/>
    <col min="3" max="22" width="14.81640625" style="2" customWidth="1"/>
    <col min="23" max="23" width="9.1796875" style="2"/>
    <col min="24" max="24" width="45.81640625" style="2" customWidth="1"/>
    <col min="25" max="26" width="14.81640625" style="2" customWidth="1"/>
    <col min="27" max="27" width="13.1796875" style="2" customWidth="1"/>
    <col min="28" max="257" width="9.1796875" style="2"/>
    <col min="258" max="258" width="45.81640625" style="2" customWidth="1"/>
    <col min="259" max="278" width="14.81640625" style="2" customWidth="1"/>
    <col min="279" max="279" width="9.1796875" style="2"/>
    <col min="280" max="280" width="45.81640625" style="2" customWidth="1"/>
    <col min="281" max="282" width="14.81640625" style="2" customWidth="1"/>
    <col min="283" max="283" width="13.1796875" style="2" customWidth="1"/>
    <col min="284" max="513" width="9.1796875" style="2"/>
    <col min="514" max="514" width="45.81640625" style="2" customWidth="1"/>
    <col min="515" max="534" width="14.81640625" style="2" customWidth="1"/>
    <col min="535" max="535" width="9.1796875" style="2"/>
    <col min="536" max="536" width="45.81640625" style="2" customWidth="1"/>
    <col min="537" max="538" width="14.81640625" style="2" customWidth="1"/>
    <col min="539" max="539" width="13.1796875" style="2" customWidth="1"/>
    <col min="540" max="769" width="9.1796875" style="2"/>
    <col min="770" max="770" width="45.81640625" style="2" customWidth="1"/>
    <col min="771" max="790" width="14.81640625" style="2" customWidth="1"/>
    <col min="791" max="791" width="9.1796875" style="2"/>
    <col min="792" max="792" width="45.81640625" style="2" customWidth="1"/>
    <col min="793" max="794" width="14.81640625" style="2" customWidth="1"/>
    <col min="795" max="795" width="13.1796875" style="2" customWidth="1"/>
    <col min="796" max="1025" width="9.1796875" style="2"/>
    <col min="1026" max="1026" width="45.81640625" style="2" customWidth="1"/>
    <col min="1027" max="1046" width="14.81640625" style="2" customWidth="1"/>
    <col min="1047" max="1047" width="9.1796875" style="2"/>
    <col min="1048" max="1048" width="45.81640625" style="2" customWidth="1"/>
    <col min="1049" max="1050" width="14.81640625" style="2" customWidth="1"/>
    <col min="1051" max="1051" width="13.1796875" style="2" customWidth="1"/>
    <col min="1052" max="1281" width="9.1796875" style="2"/>
    <col min="1282" max="1282" width="45.81640625" style="2" customWidth="1"/>
    <col min="1283" max="1302" width="14.81640625" style="2" customWidth="1"/>
    <col min="1303" max="1303" width="9.1796875" style="2"/>
    <col min="1304" max="1304" width="45.81640625" style="2" customWidth="1"/>
    <col min="1305" max="1306" width="14.81640625" style="2" customWidth="1"/>
    <col min="1307" max="1307" width="13.1796875" style="2" customWidth="1"/>
    <col min="1308" max="1537" width="9.1796875" style="2"/>
    <col min="1538" max="1538" width="45.81640625" style="2" customWidth="1"/>
    <col min="1539" max="1558" width="14.81640625" style="2" customWidth="1"/>
    <col min="1559" max="1559" width="9.1796875" style="2"/>
    <col min="1560" max="1560" width="45.81640625" style="2" customWidth="1"/>
    <col min="1561" max="1562" width="14.81640625" style="2" customWidth="1"/>
    <col min="1563" max="1563" width="13.1796875" style="2" customWidth="1"/>
    <col min="1564" max="1793" width="9.1796875" style="2"/>
    <col min="1794" max="1794" width="45.81640625" style="2" customWidth="1"/>
    <col min="1795" max="1814" width="14.81640625" style="2" customWidth="1"/>
    <col min="1815" max="1815" width="9.1796875" style="2"/>
    <col min="1816" max="1816" width="45.81640625" style="2" customWidth="1"/>
    <col min="1817" max="1818" width="14.81640625" style="2" customWidth="1"/>
    <col min="1819" max="1819" width="13.1796875" style="2" customWidth="1"/>
    <col min="1820" max="2049" width="9.1796875" style="2"/>
    <col min="2050" max="2050" width="45.81640625" style="2" customWidth="1"/>
    <col min="2051" max="2070" width="14.81640625" style="2" customWidth="1"/>
    <col min="2071" max="2071" width="9.1796875" style="2"/>
    <col min="2072" max="2072" width="45.81640625" style="2" customWidth="1"/>
    <col min="2073" max="2074" width="14.81640625" style="2" customWidth="1"/>
    <col min="2075" max="2075" width="13.1796875" style="2" customWidth="1"/>
    <col min="2076" max="2305" width="9.1796875" style="2"/>
    <col min="2306" max="2306" width="45.81640625" style="2" customWidth="1"/>
    <col min="2307" max="2326" width="14.81640625" style="2" customWidth="1"/>
    <col min="2327" max="2327" width="9.1796875" style="2"/>
    <col min="2328" max="2328" width="45.81640625" style="2" customWidth="1"/>
    <col min="2329" max="2330" width="14.81640625" style="2" customWidth="1"/>
    <col min="2331" max="2331" width="13.1796875" style="2" customWidth="1"/>
    <col min="2332" max="2561" width="9.1796875" style="2"/>
    <col min="2562" max="2562" width="45.81640625" style="2" customWidth="1"/>
    <col min="2563" max="2582" width="14.81640625" style="2" customWidth="1"/>
    <col min="2583" max="2583" width="9.1796875" style="2"/>
    <col min="2584" max="2584" width="45.81640625" style="2" customWidth="1"/>
    <col min="2585" max="2586" width="14.81640625" style="2" customWidth="1"/>
    <col min="2587" max="2587" width="13.1796875" style="2" customWidth="1"/>
    <col min="2588" max="2817" width="9.1796875" style="2"/>
    <col min="2818" max="2818" width="45.81640625" style="2" customWidth="1"/>
    <col min="2819" max="2838" width="14.81640625" style="2" customWidth="1"/>
    <col min="2839" max="2839" width="9.1796875" style="2"/>
    <col min="2840" max="2840" width="45.81640625" style="2" customWidth="1"/>
    <col min="2841" max="2842" width="14.81640625" style="2" customWidth="1"/>
    <col min="2843" max="2843" width="13.1796875" style="2" customWidth="1"/>
    <col min="2844" max="3073" width="9.1796875" style="2"/>
    <col min="3074" max="3074" width="45.81640625" style="2" customWidth="1"/>
    <col min="3075" max="3094" width="14.81640625" style="2" customWidth="1"/>
    <col min="3095" max="3095" width="9.1796875" style="2"/>
    <col min="3096" max="3096" width="45.81640625" style="2" customWidth="1"/>
    <col min="3097" max="3098" width="14.81640625" style="2" customWidth="1"/>
    <col min="3099" max="3099" width="13.1796875" style="2" customWidth="1"/>
    <col min="3100" max="3329" width="9.1796875" style="2"/>
    <col min="3330" max="3330" width="45.81640625" style="2" customWidth="1"/>
    <col min="3331" max="3350" width="14.81640625" style="2" customWidth="1"/>
    <col min="3351" max="3351" width="9.1796875" style="2"/>
    <col min="3352" max="3352" width="45.81640625" style="2" customWidth="1"/>
    <col min="3353" max="3354" width="14.81640625" style="2" customWidth="1"/>
    <col min="3355" max="3355" width="13.1796875" style="2" customWidth="1"/>
    <col min="3356" max="3585" width="9.1796875" style="2"/>
    <col min="3586" max="3586" width="45.81640625" style="2" customWidth="1"/>
    <col min="3587" max="3606" width="14.81640625" style="2" customWidth="1"/>
    <col min="3607" max="3607" width="9.1796875" style="2"/>
    <col min="3608" max="3608" width="45.81640625" style="2" customWidth="1"/>
    <col min="3609" max="3610" width="14.81640625" style="2" customWidth="1"/>
    <col min="3611" max="3611" width="13.1796875" style="2" customWidth="1"/>
    <col min="3612" max="3841" width="9.1796875" style="2"/>
    <col min="3842" max="3842" width="45.81640625" style="2" customWidth="1"/>
    <col min="3843" max="3862" width="14.81640625" style="2" customWidth="1"/>
    <col min="3863" max="3863" width="9.1796875" style="2"/>
    <col min="3864" max="3864" width="45.81640625" style="2" customWidth="1"/>
    <col min="3865" max="3866" width="14.81640625" style="2" customWidth="1"/>
    <col min="3867" max="3867" width="13.1796875" style="2" customWidth="1"/>
    <col min="3868" max="4097" width="9.1796875" style="2"/>
    <col min="4098" max="4098" width="45.81640625" style="2" customWidth="1"/>
    <col min="4099" max="4118" width="14.81640625" style="2" customWidth="1"/>
    <col min="4119" max="4119" width="9.1796875" style="2"/>
    <col min="4120" max="4120" width="45.81640625" style="2" customWidth="1"/>
    <col min="4121" max="4122" width="14.81640625" style="2" customWidth="1"/>
    <col min="4123" max="4123" width="13.1796875" style="2" customWidth="1"/>
    <col min="4124" max="4353" width="9.1796875" style="2"/>
    <col min="4354" max="4354" width="45.81640625" style="2" customWidth="1"/>
    <col min="4355" max="4374" width="14.81640625" style="2" customWidth="1"/>
    <col min="4375" max="4375" width="9.1796875" style="2"/>
    <col min="4376" max="4376" width="45.81640625" style="2" customWidth="1"/>
    <col min="4377" max="4378" width="14.81640625" style="2" customWidth="1"/>
    <col min="4379" max="4379" width="13.1796875" style="2" customWidth="1"/>
    <col min="4380" max="4609" width="9.1796875" style="2"/>
    <col min="4610" max="4610" width="45.81640625" style="2" customWidth="1"/>
    <col min="4611" max="4630" width="14.81640625" style="2" customWidth="1"/>
    <col min="4631" max="4631" width="9.1796875" style="2"/>
    <col min="4632" max="4632" width="45.81640625" style="2" customWidth="1"/>
    <col min="4633" max="4634" width="14.81640625" style="2" customWidth="1"/>
    <col min="4635" max="4635" width="13.1796875" style="2" customWidth="1"/>
    <col min="4636" max="4865" width="9.1796875" style="2"/>
    <col min="4866" max="4866" width="45.81640625" style="2" customWidth="1"/>
    <col min="4867" max="4886" width="14.81640625" style="2" customWidth="1"/>
    <col min="4887" max="4887" width="9.1796875" style="2"/>
    <col min="4888" max="4888" width="45.81640625" style="2" customWidth="1"/>
    <col min="4889" max="4890" width="14.81640625" style="2" customWidth="1"/>
    <col min="4891" max="4891" width="13.1796875" style="2" customWidth="1"/>
    <col min="4892" max="5121" width="9.1796875" style="2"/>
    <col min="5122" max="5122" width="45.81640625" style="2" customWidth="1"/>
    <col min="5123" max="5142" width="14.81640625" style="2" customWidth="1"/>
    <col min="5143" max="5143" width="9.1796875" style="2"/>
    <col min="5144" max="5144" width="45.81640625" style="2" customWidth="1"/>
    <col min="5145" max="5146" width="14.81640625" style="2" customWidth="1"/>
    <col min="5147" max="5147" width="13.1796875" style="2" customWidth="1"/>
    <col min="5148" max="5377" width="9.1796875" style="2"/>
    <col min="5378" max="5378" width="45.81640625" style="2" customWidth="1"/>
    <col min="5379" max="5398" width="14.81640625" style="2" customWidth="1"/>
    <col min="5399" max="5399" width="9.1796875" style="2"/>
    <col min="5400" max="5400" width="45.81640625" style="2" customWidth="1"/>
    <col min="5401" max="5402" width="14.81640625" style="2" customWidth="1"/>
    <col min="5403" max="5403" width="13.1796875" style="2" customWidth="1"/>
    <col min="5404" max="5633" width="9.1796875" style="2"/>
    <col min="5634" max="5634" width="45.81640625" style="2" customWidth="1"/>
    <col min="5635" max="5654" width="14.81640625" style="2" customWidth="1"/>
    <col min="5655" max="5655" width="9.1796875" style="2"/>
    <col min="5656" max="5656" width="45.81640625" style="2" customWidth="1"/>
    <col min="5657" max="5658" width="14.81640625" style="2" customWidth="1"/>
    <col min="5659" max="5659" width="13.1796875" style="2" customWidth="1"/>
    <col min="5660" max="5889" width="9.1796875" style="2"/>
    <col min="5890" max="5890" width="45.81640625" style="2" customWidth="1"/>
    <col min="5891" max="5910" width="14.81640625" style="2" customWidth="1"/>
    <col min="5911" max="5911" width="9.1796875" style="2"/>
    <col min="5912" max="5912" width="45.81640625" style="2" customWidth="1"/>
    <col min="5913" max="5914" width="14.81640625" style="2" customWidth="1"/>
    <col min="5915" max="5915" width="13.1796875" style="2" customWidth="1"/>
    <col min="5916" max="6145" width="9.1796875" style="2"/>
    <col min="6146" max="6146" width="45.81640625" style="2" customWidth="1"/>
    <col min="6147" max="6166" width="14.81640625" style="2" customWidth="1"/>
    <col min="6167" max="6167" width="9.1796875" style="2"/>
    <col min="6168" max="6168" width="45.81640625" style="2" customWidth="1"/>
    <col min="6169" max="6170" width="14.81640625" style="2" customWidth="1"/>
    <col min="6171" max="6171" width="13.1796875" style="2" customWidth="1"/>
    <col min="6172" max="6401" width="9.1796875" style="2"/>
    <col min="6402" max="6402" width="45.81640625" style="2" customWidth="1"/>
    <col min="6403" max="6422" width="14.81640625" style="2" customWidth="1"/>
    <col min="6423" max="6423" width="9.1796875" style="2"/>
    <col min="6424" max="6424" width="45.81640625" style="2" customWidth="1"/>
    <col min="6425" max="6426" width="14.81640625" style="2" customWidth="1"/>
    <col min="6427" max="6427" width="13.1796875" style="2" customWidth="1"/>
    <col min="6428" max="6657" width="9.1796875" style="2"/>
    <col min="6658" max="6658" width="45.81640625" style="2" customWidth="1"/>
    <col min="6659" max="6678" width="14.81640625" style="2" customWidth="1"/>
    <col min="6679" max="6679" width="9.1796875" style="2"/>
    <col min="6680" max="6680" width="45.81640625" style="2" customWidth="1"/>
    <col min="6681" max="6682" width="14.81640625" style="2" customWidth="1"/>
    <col min="6683" max="6683" width="13.1796875" style="2" customWidth="1"/>
    <col min="6684" max="6913" width="9.1796875" style="2"/>
    <col min="6914" max="6914" width="45.81640625" style="2" customWidth="1"/>
    <col min="6915" max="6934" width="14.81640625" style="2" customWidth="1"/>
    <col min="6935" max="6935" width="9.1796875" style="2"/>
    <col min="6936" max="6936" width="45.81640625" style="2" customWidth="1"/>
    <col min="6937" max="6938" width="14.81640625" style="2" customWidth="1"/>
    <col min="6939" max="6939" width="13.1796875" style="2" customWidth="1"/>
    <col min="6940" max="7169" width="9.1796875" style="2"/>
    <col min="7170" max="7170" width="45.81640625" style="2" customWidth="1"/>
    <col min="7171" max="7190" width="14.81640625" style="2" customWidth="1"/>
    <col min="7191" max="7191" width="9.1796875" style="2"/>
    <col min="7192" max="7192" width="45.81640625" style="2" customWidth="1"/>
    <col min="7193" max="7194" width="14.81640625" style="2" customWidth="1"/>
    <col min="7195" max="7195" width="13.1796875" style="2" customWidth="1"/>
    <col min="7196" max="7425" width="9.1796875" style="2"/>
    <col min="7426" max="7426" width="45.81640625" style="2" customWidth="1"/>
    <col min="7427" max="7446" width="14.81640625" style="2" customWidth="1"/>
    <col min="7447" max="7447" width="9.1796875" style="2"/>
    <col min="7448" max="7448" width="45.81640625" style="2" customWidth="1"/>
    <col min="7449" max="7450" width="14.81640625" style="2" customWidth="1"/>
    <col min="7451" max="7451" width="13.1796875" style="2" customWidth="1"/>
    <col min="7452" max="7681" width="9.1796875" style="2"/>
    <col min="7682" max="7682" width="45.81640625" style="2" customWidth="1"/>
    <col min="7683" max="7702" width="14.81640625" style="2" customWidth="1"/>
    <col min="7703" max="7703" width="9.1796875" style="2"/>
    <col min="7704" max="7704" width="45.81640625" style="2" customWidth="1"/>
    <col min="7705" max="7706" width="14.81640625" style="2" customWidth="1"/>
    <col min="7707" max="7707" width="13.1796875" style="2" customWidth="1"/>
    <col min="7708" max="7937" width="9.1796875" style="2"/>
    <col min="7938" max="7938" width="45.81640625" style="2" customWidth="1"/>
    <col min="7939" max="7958" width="14.81640625" style="2" customWidth="1"/>
    <col min="7959" max="7959" width="9.1796875" style="2"/>
    <col min="7960" max="7960" width="45.81640625" style="2" customWidth="1"/>
    <col min="7961" max="7962" width="14.81640625" style="2" customWidth="1"/>
    <col min="7963" max="7963" width="13.1796875" style="2" customWidth="1"/>
    <col min="7964" max="8193" width="9.1796875" style="2"/>
    <col min="8194" max="8194" width="45.81640625" style="2" customWidth="1"/>
    <col min="8195" max="8214" width="14.81640625" style="2" customWidth="1"/>
    <col min="8215" max="8215" width="9.1796875" style="2"/>
    <col min="8216" max="8216" width="45.81640625" style="2" customWidth="1"/>
    <col min="8217" max="8218" width="14.81640625" style="2" customWidth="1"/>
    <col min="8219" max="8219" width="13.1796875" style="2" customWidth="1"/>
    <col min="8220" max="8449" width="9.1796875" style="2"/>
    <col min="8450" max="8450" width="45.81640625" style="2" customWidth="1"/>
    <col min="8451" max="8470" width="14.81640625" style="2" customWidth="1"/>
    <col min="8471" max="8471" width="9.1796875" style="2"/>
    <col min="8472" max="8472" width="45.81640625" style="2" customWidth="1"/>
    <col min="8473" max="8474" width="14.81640625" style="2" customWidth="1"/>
    <col min="8475" max="8475" width="13.1796875" style="2" customWidth="1"/>
    <col min="8476" max="8705" width="9.1796875" style="2"/>
    <col min="8706" max="8706" width="45.81640625" style="2" customWidth="1"/>
    <col min="8707" max="8726" width="14.81640625" style="2" customWidth="1"/>
    <col min="8727" max="8727" width="9.1796875" style="2"/>
    <col min="8728" max="8728" width="45.81640625" style="2" customWidth="1"/>
    <col min="8729" max="8730" width="14.81640625" style="2" customWidth="1"/>
    <col min="8731" max="8731" width="13.1796875" style="2" customWidth="1"/>
    <col min="8732" max="8961" width="9.1796875" style="2"/>
    <col min="8962" max="8962" width="45.81640625" style="2" customWidth="1"/>
    <col min="8963" max="8982" width="14.81640625" style="2" customWidth="1"/>
    <col min="8983" max="8983" width="9.1796875" style="2"/>
    <col min="8984" max="8984" width="45.81640625" style="2" customWidth="1"/>
    <col min="8985" max="8986" width="14.81640625" style="2" customWidth="1"/>
    <col min="8987" max="8987" width="13.1796875" style="2" customWidth="1"/>
    <col min="8988" max="9217" width="9.1796875" style="2"/>
    <col min="9218" max="9218" width="45.81640625" style="2" customWidth="1"/>
    <col min="9219" max="9238" width="14.81640625" style="2" customWidth="1"/>
    <col min="9239" max="9239" width="9.1796875" style="2"/>
    <col min="9240" max="9240" width="45.81640625" style="2" customWidth="1"/>
    <col min="9241" max="9242" width="14.81640625" style="2" customWidth="1"/>
    <col min="9243" max="9243" width="13.1796875" style="2" customWidth="1"/>
    <col min="9244" max="9473" width="9.1796875" style="2"/>
    <col min="9474" max="9474" width="45.81640625" style="2" customWidth="1"/>
    <col min="9475" max="9494" width="14.81640625" style="2" customWidth="1"/>
    <col min="9495" max="9495" width="9.1796875" style="2"/>
    <col min="9496" max="9496" width="45.81640625" style="2" customWidth="1"/>
    <col min="9497" max="9498" width="14.81640625" style="2" customWidth="1"/>
    <col min="9499" max="9499" width="13.1796875" style="2" customWidth="1"/>
    <col min="9500" max="9729" width="9.1796875" style="2"/>
    <col min="9730" max="9730" width="45.81640625" style="2" customWidth="1"/>
    <col min="9731" max="9750" width="14.81640625" style="2" customWidth="1"/>
    <col min="9751" max="9751" width="9.1796875" style="2"/>
    <col min="9752" max="9752" width="45.81640625" style="2" customWidth="1"/>
    <col min="9753" max="9754" width="14.81640625" style="2" customWidth="1"/>
    <col min="9755" max="9755" width="13.1796875" style="2" customWidth="1"/>
    <col min="9756" max="9985" width="9.1796875" style="2"/>
    <col min="9986" max="9986" width="45.81640625" style="2" customWidth="1"/>
    <col min="9987" max="10006" width="14.81640625" style="2" customWidth="1"/>
    <col min="10007" max="10007" width="9.1796875" style="2"/>
    <col min="10008" max="10008" width="45.81640625" style="2" customWidth="1"/>
    <col min="10009" max="10010" width="14.81640625" style="2" customWidth="1"/>
    <col min="10011" max="10011" width="13.1796875" style="2" customWidth="1"/>
    <col min="10012" max="10241" width="9.1796875" style="2"/>
    <col min="10242" max="10242" width="45.81640625" style="2" customWidth="1"/>
    <col min="10243" max="10262" width="14.81640625" style="2" customWidth="1"/>
    <col min="10263" max="10263" width="9.1796875" style="2"/>
    <col min="10264" max="10264" width="45.81640625" style="2" customWidth="1"/>
    <col min="10265" max="10266" width="14.81640625" style="2" customWidth="1"/>
    <col min="10267" max="10267" width="13.1796875" style="2" customWidth="1"/>
    <col min="10268" max="10497" width="9.1796875" style="2"/>
    <col min="10498" max="10498" width="45.81640625" style="2" customWidth="1"/>
    <col min="10499" max="10518" width="14.81640625" style="2" customWidth="1"/>
    <col min="10519" max="10519" width="9.1796875" style="2"/>
    <col min="10520" max="10520" width="45.81640625" style="2" customWidth="1"/>
    <col min="10521" max="10522" width="14.81640625" style="2" customWidth="1"/>
    <col min="10523" max="10523" width="13.1796875" style="2" customWidth="1"/>
    <col min="10524" max="10753" width="9.1796875" style="2"/>
    <col min="10754" max="10754" width="45.81640625" style="2" customWidth="1"/>
    <col min="10755" max="10774" width="14.81640625" style="2" customWidth="1"/>
    <col min="10775" max="10775" width="9.1796875" style="2"/>
    <col min="10776" max="10776" width="45.81640625" style="2" customWidth="1"/>
    <col min="10777" max="10778" width="14.81640625" style="2" customWidth="1"/>
    <col min="10779" max="10779" width="13.1796875" style="2" customWidth="1"/>
    <col min="10780" max="11009" width="9.1796875" style="2"/>
    <col min="11010" max="11010" width="45.81640625" style="2" customWidth="1"/>
    <col min="11011" max="11030" width="14.81640625" style="2" customWidth="1"/>
    <col min="11031" max="11031" width="9.1796875" style="2"/>
    <col min="11032" max="11032" width="45.81640625" style="2" customWidth="1"/>
    <col min="11033" max="11034" width="14.81640625" style="2" customWidth="1"/>
    <col min="11035" max="11035" width="13.1796875" style="2" customWidth="1"/>
    <col min="11036" max="11265" width="9.1796875" style="2"/>
    <col min="11266" max="11266" width="45.81640625" style="2" customWidth="1"/>
    <col min="11267" max="11286" width="14.81640625" style="2" customWidth="1"/>
    <col min="11287" max="11287" width="9.1796875" style="2"/>
    <col min="11288" max="11288" width="45.81640625" style="2" customWidth="1"/>
    <col min="11289" max="11290" width="14.81640625" style="2" customWidth="1"/>
    <col min="11291" max="11291" width="13.1796875" style="2" customWidth="1"/>
    <col min="11292" max="11521" width="9.1796875" style="2"/>
    <col min="11522" max="11522" width="45.81640625" style="2" customWidth="1"/>
    <col min="11523" max="11542" width="14.81640625" style="2" customWidth="1"/>
    <col min="11543" max="11543" width="9.1796875" style="2"/>
    <col min="11544" max="11544" width="45.81640625" style="2" customWidth="1"/>
    <col min="11545" max="11546" width="14.81640625" style="2" customWidth="1"/>
    <col min="11547" max="11547" width="13.1796875" style="2" customWidth="1"/>
    <col min="11548" max="11777" width="9.1796875" style="2"/>
    <col min="11778" max="11778" width="45.81640625" style="2" customWidth="1"/>
    <col min="11779" max="11798" width="14.81640625" style="2" customWidth="1"/>
    <col min="11799" max="11799" width="9.1796875" style="2"/>
    <col min="11800" max="11800" width="45.81640625" style="2" customWidth="1"/>
    <col min="11801" max="11802" width="14.81640625" style="2" customWidth="1"/>
    <col min="11803" max="11803" width="13.1796875" style="2" customWidth="1"/>
    <col min="11804" max="12033" width="9.1796875" style="2"/>
    <col min="12034" max="12034" width="45.81640625" style="2" customWidth="1"/>
    <col min="12035" max="12054" width="14.81640625" style="2" customWidth="1"/>
    <col min="12055" max="12055" width="9.1796875" style="2"/>
    <col min="12056" max="12056" width="45.81640625" style="2" customWidth="1"/>
    <col min="12057" max="12058" width="14.81640625" style="2" customWidth="1"/>
    <col min="12059" max="12059" width="13.1796875" style="2" customWidth="1"/>
    <col min="12060" max="12289" width="9.1796875" style="2"/>
    <col min="12290" max="12290" width="45.81640625" style="2" customWidth="1"/>
    <col min="12291" max="12310" width="14.81640625" style="2" customWidth="1"/>
    <col min="12311" max="12311" width="9.1796875" style="2"/>
    <col min="12312" max="12312" width="45.81640625" style="2" customWidth="1"/>
    <col min="12313" max="12314" width="14.81640625" style="2" customWidth="1"/>
    <col min="12315" max="12315" width="13.1796875" style="2" customWidth="1"/>
    <col min="12316" max="12545" width="9.1796875" style="2"/>
    <col min="12546" max="12546" width="45.81640625" style="2" customWidth="1"/>
    <col min="12547" max="12566" width="14.81640625" style="2" customWidth="1"/>
    <col min="12567" max="12567" width="9.1796875" style="2"/>
    <col min="12568" max="12568" width="45.81640625" style="2" customWidth="1"/>
    <col min="12569" max="12570" width="14.81640625" style="2" customWidth="1"/>
    <col min="12571" max="12571" width="13.1796875" style="2" customWidth="1"/>
    <col min="12572" max="12801" width="9.1796875" style="2"/>
    <col min="12802" max="12802" width="45.81640625" style="2" customWidth="1"/>
    <col min="12803" max="12822" width="14.81640625" style="2" customWidth="1"/>
    <col min="12823" max="12823" width="9.1796875" style="2"/>
    <col min="12824" max="12824" width="45.81640625" style="2" customWidth="1"/>
    <col min="12825" max="12826" width="14.81640625" style="2" customWidth="1"/>
    <col min="12827" max="12827" width="13.1796875" style="2" customWidth="1"/>
    <col min="12828" max="13057" width="9.1796875" style="2"/>
    <col min="13058" max="13058" width="45.81640625" style="2" customWidth="1"/>
    <col min="13059" max="13078" width="14.81640625" style="2" customWidth="1"/>
    <col min="13079" max="13079" width="9.1796875" style="2"/>
    <col min="13080" max="13080" width="45.81640625" style="2" customWidth="1"/>
    <col min="13081" max="13082" width="14.81640625" style="2" customWidth="1"/>
    <col min="13083" max="13083" width="13.1796875" style="2" customWidth="1"/>
    <col min="13084" max="13313" width="9.1796875" style="2"/>
    <col min="13314" max="13314" width="45.81640625" style="2" customWidth="1"/>
    <col min="13315" max="13334" width="14.81640625" style="2" customWidth="1"/>
    <col min="13335" max="13335" width="9.1796875" style="2"/>
    <col min="13336" max="13336" width="45.81640625" style="2" customWidth="1"/>
    <col min="13337" max="13338" width="14.81640625" style="2" customWidth="1"/>
    <col min="13339" max="13339" width="13.1796875" style="2" customWidth="1"/>
    <col min="13340" max="13569" width="9.1796875" style="2"/>
    <col min="13570" max="13570" width="45.81640625" style="2" customWidth="1"/>
    <col min="13571" max="13590" width="14.81640625" style="2" customWidth="1"/>
    <col min="13591" max="13591" width="9.1796875" style="2"/>
    <col min="13592" max="13592" width="45.81640625" style="2" customWidth="1"/>
    <col min="13593" max="13594" width="14.81640625" style="2" customWidth="1"/>
    <col min="13595" max="13595" width="13.1796875" style="2" customWidth="1"/>
    <col min="13596" max="13825" width="9.1796875" style="2"/>
    <col min="13826" max="13826" width="45.81640625" style="2" customWidth="1"/>
    <col min="13827" max="13846" width="14.81640625" style="2" customWidth="1"/>
    <col min="13847" max="13847" width="9.1796875" style="2"/>
    <col min="13848" max="13848" width="45.81640625" style="2" customWidth="1"/>
    <col min="13849" max="13850" width="14.81640625" style="2" customWidth="1"/>
    <col min="13851" max="13851" width="13.1796875" style="2" customWidth="1"/>
    <col min="13852" max="14081" width="9.1796875" style="2"/>
    <col min="14082" max="14082" width="45.81640625" style="2" customWidth="1"/>
    <col min="14083" max="14102" width="14.81640625" style="2" customWidth="1"/>
    <col min="14103" max="14103" width="9.1796875" style="2"/>
    <col min="14104" max="14104" width="45.81640625" style="2" customWidth="1"/>
    <col min="14105" max="14106" width="14.81640625" style="2" customWidth="1"/>
    <col min="14107" max="14107" width="13.1796875" style="2" customWidth="1"/>
    <col min="14108" max="14337" width="9.1796875" style="2"/>
    <col min="14338" max="14338" width="45.81640625" style="2" customWidth="1"/>
    <col min="14339" max="14358" width="14.81640625" style="2" customWidth="1"/>
    <col min="14359" max="14359" width="9.1796875" style="2"/>
    <col min="14360" max="14360" width="45.81640625" style="2" customWidth="1"/>
    <col min="14361" max="14362" width="14.81640625" style="2" customWidth="1"/>
    <col min="14363" max="14363" width="13.1796875" style="2" customWidth="1"/>
    <col min="14364" max="14593" width="9.1796875" style="2"/>
    <col min="14594" max="14594" width="45.81640625" style="2" customWidth="1"/>
    <col min="14595" max="14614" width="14.81640625" style="2" customWidth="1"/>
    <col min="14615" max="14615" width="9.1796875" style="2"/>
    <col min="14616" max="14616" width="45.81640625" style="2" customWidth="1"/>
    <col min="14617" max="14618" width="14.81640625" style="2" customWidth="1"/>
    <col min="14619" max="14619" width="13.1796875" style="2" customWidth="1"/>
    <col min="14620" max="14849" width="9.1796875" style="2"/>
    <col min="14850" max="14850" width="45.81640625" style="2" customWidth="1"/>
    <col min="14851" max="14870" width="14.81640625" style="2" customWidth="1"/>
    <col min="14871" max="14871" width="9.1796875" style="2"/>
    <col min="14872" max="14872" width="45.81640625" style="2" customWidth="1"/>
    <col min="14873" max="14874" width="14.81640625" style="2" customWidth="1"/>
    <col min="14875" max="14875" width="13.1796875" style="2" customWidth="1"/>
    <col min="14876" max="15105" width="9.1796875" style="2"/>
    <col min="15106" max="15106" width="45.81640625" style="2" customWidth="1"/>
    <col min="15107" max="15126" width="14.81640625" style="2" customWidth="1"/>
    <col min="15127" max="15127" width="9.1796875" style="2"/>
    <col min="15128" max="15128" width="45.81640625" style="2" customWidth="1"/>
    <col min="15129" max="15130" width="14.81640625" style="2" customWidth="1"/>
    <col min="15131" max="15131" width="13.1796875" style="2" customWidth="1"/>
    <col min="15132" max="15361" width="9.1796875" style="2"/>
    <col min="15362" max="15362" width="45.81640625" style="2" customWidth="1"/>
    <col min="15363" max="15382" width="14.81640625" style="2" customWidth="1"/>
    <col min="15383" max="15383" width="9.1796875" style="2"/>
    <col min="15384" max="15384" width="45.81640625" style="2" customWidth="1"/>
    <col min="15385" max="15386" width="14.81640625" style="2" customWidth="1"/>
    <col min="15387" max="15387" width="13.1796875" style="2" customWidth="1"/>
    <col min="15388" max="15617" width="9.1796875" style="2"/>
    <col min="15618" max="15618" width="45.81640625" style="2" customWidth="1"/>
    <col min="15619" max="15638" width="14.81640625" style="2" customWidth="1"/>
    <col min="15639" max="15639" width="9.1796875" style="2"/>
    <col min="15640" max="15640" width="45.81640625" style="2" customWidth="1"/>
    <col min="15641" max="15642" width="14.81640625" style="2" customWidth="1"/>
    <col min="15643" max="15643" width="13.1796875" style="2" customWidth="1"/>
    <col min="15644" max="15873" width="9.1796875" style="2"/>
    <col min="15874" max="15874" width="45.81640625" style="2" customWidth="1"/>
    <col min="15875" max="15894" width="14.81640625" style="2" customWidth="1"/>
    <col min="15895" max="15895" width="9.1796875" style="2"/>
    <col min="15896" max="15896" width="45.81640625" style="2" customWidth="1"/>
    <col min="15897" max="15898" width="14.81640625" style="2" customWidth="1"/>
    <col min="15899" max="15899" width="13.1796875" style="2" customWidth="1"/>
    <col min="15900" max="16129" width="9.1796875" style="2"/>
    <col min="16130" max="16130" width="45.81640625" style="2" customWidth="1"/>
    <col min="16131" max="16150" width="14.81640625" style="2" customWidth="1"/>
    <col min="16151" max="16151" width="9.1796875" style="2"/>
    <col min="16152" max="16152" width="45.81640625" style="2" customWidth="1"/>
    <col min="16153" max="16154" width="14.81640625" style="2" customWidth="1"/>
    <col min="16155" max="16155" width="13.1796875" style="2" customWidth="1"/>
    <col min="16156" max="16384" width="9.1796875" style="2"/>
  </cols>
  <sheetData>
    <row r="1" spans="1:28" s="139" customFormat="1" ht="12" x14ac:dyDescent="0.3">
      <c r="A1" s="138" t="s">
        <v>0</v>
      </c>
      <c r="B1" s="138"/>
      <c r="V1" s="140">
        <f ca="1">TODAY()</f>
        <v>45797</v>
      </c>
      <c r="W1" s="140"/>
      <c r="X1" s="140"/>
      <c r="Y1" s="140"/>
      <c r="Z1" s="140"/>
      <c r="AA1" s="140"/>
      <c r="AB1" s="140"/>
    </row>
    <row r="2" spans="1:28" s="139" customFormat="1" ht="12" x14ac:dyDescent="0.3">
      <c r="A2" s="141" t="s">
        <v>1009</v>
      </c>
      <c r="B2" s="141"/>
      <c r="D2" s="142"/>
      <c r="E2" s="142"/>
      <c r="F2" s="142"/>
      <c r="G2" s="142"/>
      <c r="H2" s="142"/>
      <c r="I2" s="142"/>
      <c r="J2" s="142"/>
      <c r="S2" s="143"/>
      <c r="T2" s="143"/>
      <c r="U2" s="143"/>
      <c r="V2" s="143"/>
      <c r="W2" s="143"/>
      <c r="X2" s="143"/>
      <c r="Y2" s="143"/>
      <c r="Z2" s="143"/>
      <c r="AA2" s="143"/>
      <c r="AB2" s="143"/>
    </row>
    <row r="3" spans="1:28" s="139" customFormat="1" ht="12" x14ac:dyDescent="0.3">
      <c r="A3" s="144" t="s">
        <v>3</v>
      </c>
      <c r="B3" s="144"/>
      <c r="C3" s="145"/>
      <c r="K3" s="145"/>
      <c r="L3" s="145"/>
      <c r="M3" s="145"/>
      <c r="N3" s="145"/>
      <c r="O3" s="145"/>
      <c r="P3" s="145"/>
      <c r="Q3" s="145"/>
      <c r="R3" s="145"/>
      <c r="S3" s="146"/>
      <c r="T3" s="146"/>
      <c r="U3" s="146"/>
      <c r="V3" s="146"/>
      <c r="W3" s="146"/>
      <c r="X3" s="146"/>
      <c r="Y3" s="146"/>
      <c r="Z3" s="146"/>
      <c r="AA3" s="146"/>
      <c r="AB3" s="146"/>
    </row>
    <row r="5" spans="1:28" ht="13.5" x14ac:dyDescent="0.55000000000000004">
      <c r="C5" s="137" t="s">
        <v>113</v>
      </c>
      <c r="D5" s="137"/>
      <c r="E5" s="137"/>
      <c r="F5" s="137"/>
      <c r="G5" s="137"/>
      <c r="H5" s="137"/>
      <c r="I5" s="137"/>
      <c r="J5" s="137"/>
      <c r="K5" s="137"/>
      <c r="L5" s="137"/>
      <c r="M5" s="137"/>
      <c r="N5" s="137"/>
      <c r="O5" s="137"/>
      <c r="P5" s="137"/>
      <c r="Q5" s="137"/>
      <c r="R5" s="137"/>
      <c r="S5" s="137"/>
      <c r="T5" s="137"/>
      <c r="U5" s="137"/>
      <c r="V5" s="137"/>
      <c r="Y5" s="137" t="s">
        <v>113</v>
      </c>
      <c r="Z5" s="137"/>
      <c r="AA5" s="137"/>
    </row>
    <row r="6" spans="1:28" s="149" customFormat="1" ht="10.5" x14ac:dyDescent="0.2">
      <c r="A6" s="147" t="s">
        <v>1010</v>
      </c>
      <c r="B6" s="150">
        <f t="shared" ref="B6:T6" si="0">C6-1</f>
        <v>1995</v>
      </c>
      <c r="C6" s="150">
        <f t="shared" si="0"/>
        <v>1996</v>
      </c>
      <c r="D6" s="150">
        <f t="shared" si="0"/>
        <v>1997</v>
      </c>
      <c r="E6" s="150">
        <f t="shared" si="0"/>
        <v>1998</v>
      </c>
      <c r="F6" s="150">
        <f t="shared" si="0"/>
        <v>1999</v>
      </c>
      <c r="G6" s="150">
        <f t="shared" si="0"/>
        <v>2000</v>
      </c>
      <c r="H6" s="150">
        <f t="shared" si="0"/>
        <v>2001</v>
      </c>
      <c r="I6" s="150">
        <f t="shared" si="0"/>
        <v>2002</v>
      </c>
      <c r="J6" s="150">
        <f t="shared" si="0"/>
        <v>2003</v>
      </c>
      <c r="K6" s="150">
        <f t="shared" si="0"/>
        <v>2004</v>
      </c>
      <c r="L6" s="150">
        <f t="shared" si="0"/>
        <v>2005</v>
      </c>
      <c r="M6" s="150">
        <f t="shared" si="0"/>
        <v>2006</v>
      </c>
      <c r="N6" s="150">
        <f t="shared" si="0"/>
        <v>2007</v>
      </c>
      <c r="O6" s="150">
        <f t="shared" si="0"/>
        <v>2008</v>
      </c>
      <c r="P6" s="150">
        <f t="shared" si="0"/>
        <v>2009</v>
      </c>
      <c r="Q6" s="150">
        <f t="shared" si="0"/>
        <v>2010</v>
      </c>
      <c r="R6" s="150">
        <f t="shared" si="0"/>
        <v>2011</v>
      </c>
      <c r="S6" s="150">
        <f t="shared" si="0"/>
        <v>2012</v>
      </c>
      <c r="T6" s="150">
        <f t="shared" si="0"/>
        <v>2013</v>
      </c>
      <c r="U6" s="150">
        <f>V6-1</f>
        <v>2014</v>
      </c>
      <c r="V6" s="150">
        <v>2015</v>
      </c>
      <c r="X6" s="147" t="s">
        <v>1010</v>
      </c>
      <c r="Y6" s="150" t="s">
        <v>117</v>
      </c>
      <c r="Z6" s="150" t="s">
        <v>118</v>
      </c>
      <c r="AA6" s="150" t="s">
        <v>119</v>
      </c>
    </row>
    <row r="7" spans="1:28" ht="10.5" hidden="1" outlineLevel="1" x14ac:dyDescent="0.2">
      <c r="A7" s="14" t="s">
        <v>1011</v>
      </c>
      <c r="B7" s="14"/>
      <c r="C7" s="5" t="s">
        <v>1012</v>
      </c>
      <c r="D7" s="5" t="s">
        <v>1013</v>
      </c>
      <c r="E7" s="5" t="s">
        <v>1014</v>
      </c>
      <c r="F7" s="5" t="s">
        <v>1015</v>
      </c>
      <c r="G7" s="5" t="s">
        <v>1016</v>
      </c>
      <c r="H7" s="5" t="s">
        <v>1017</v>
      </c>
      <c r="I7" s="5" t="s">
        <v>1018</v>
      </c>
      <c r="J7" s="5" t="s">
        <v>1019</v>
      </c>
      <c r="K7" s="5" t="s">
        <v>1020</v>
      </c>
      <c r="L7" s="5" t="s">
        <v>1021</v>
      </c>
      <c r="M7" s="5" t="s">
        <v>1022</v>
      </c>
      <c r="N7" s="5" t="s">
        <v>1023</v>
      </c>
      <c r="O7" s="5" t="s">
        <v>1024</v>
      </c>
      <c r="P7" s="5" t="s">
        <v>1025</v>
      </c>
      <c r="Q7" s="5" t="s">
        <v>1026</v>
      </c>
      <c r="R7" s="5" t="s">
        <v>1027</v>
      </c>
      <c r="S7" s="5" t="s">
        <v>1028</v>
      </c>
      <c r="T7" s="5" t="s">
        <v>1029</v>
      </c>
      <c r="U7" s="5" t="s">
        <v>1030</v>
      </c>
      <c r="V7" s="5" t="s">
        <v>1031</v>
      </c>
      <c r="X7" s="14" t="s">
        <v>1011</v>
      </c>
      <c r="Y7" s="5" t="s">
        <v>1032</v>
      </c>
      <c r="Z7" s="5" t="s">
        <v>1033</v>
      </c>
      <c r="AA7" s="5" t="s">
        <v>1034</v>
      </c>
    </row>
    <row r="8" spans="1:28" ht="10.5" hidden="1" outlineLevel="1" x14ac:dyDescent="0.2">
      <c r="A8" s="14" t="s">
        <v>1035</v>
      </c>
      <c r="B8" s="14"/>
      <c r="C8" s="5" t="s">
        <v>88</v>
      </c>
      <c r="D8" s="5" t="s">
        <v>88</v>
      </c>
      <c r="E8" s="5" t="s">
        <v>88</v>
      </c>
      <c r="F8" s="5" t="s">
        <v>88</v>
      </c>
      <c r="G8" s="5" t="s">
        <v>88</v>
      </c>
      <c r="H8" s="5" t="s">
        <v>88</v>
      </c>
      <c r="I8" s="5" t="s">
        <v>88</v>
      </c>
      <c r="J8" s="5" t="s">
        <v>88</v>
      </c>
      <c r="K8" s="5" t="s">
        <v>88</v>
      </c>
      <c r="L8" s="5" t="s">
        <v>88</v>
      </c>
      <c r="M8" s="5" t="s">
        <v>88</v>
      </c>
      <c r="N8" s="5" t="s">
        <v>88</v>
      </c>
      <c r="O8" s="5" t="s">
        <v>88</v>
      </c>
      <c r="P8" s="5" t="s">
        <v>88</v>
      </c>
      <c r="Q8" s="5" t="s">
        <v>88</v>
      </c>
      <c r="R8" s="5" t="s">
        <v>88</v>
      </c>
      <c r="S8" s="5" t="s">
        <v>88</v>
      </c>
      <c r="T8" s="5" t="s">
        <v>88</v>
      </c>
      <c r="U8" s="5" t="s">
        <v>88</v>
      </c>
      <c r="V8" s="5" t="s">
        <v>88</v>
      </c>
      <c r="X8" s="14" t="s">
        <v>1035</v>
      </c>
      <c r="Y8" s="5" t="s">
        <v>88</v>
      </c>
      <c r="Z8" s="5" t="s">
        <v>88</v>
      </c>
      <c r="AA8" s="5" t="s">
        <v>88</v>
      </c>
    </row>
    <row r="9" spans="1:28" ht="10.5" hidden="1" outlineLevel="1" x14ac:dyDescent="0.2">
      <c r="A9" s="14" t="s">
        <v>1036</v>
      </c>
      <c r="B9" s="14"/>
      <c r="C9" s="5" t="s">
        <v>1037</v>
      </c>
      <c r="D9" s="5" t="s">
        <v>1037</v>
      </c>
      <c r="E9" s="5" t="s">
        <v>1037</v>
      </c>
      <c r="F9" s="5" t="s">
        <v>1037</v>
      </c>
      <c r="G9" s="5" t="s">
        <v>1037</v>
      </c>
      <c r="H9" s="5" t="s">
        <v>1037</v>
      </c>
      <c r="I9" s="5" t="s">
        <v>1037</v>
      </c>
      <c r="J9" s="5" t="s">
        <v>1037</v>
      </c>
      <c r="K9" s="5" t="s">
        <v>1037</v>
      </c>
      <c r="L9" s="5" t="s">
        <v>1037</v>
      </c>
      <c r="M9" s="5" t="s">
        <v>1037</v>
      </c>
      <c r="N9" s="5" t="s">
        <v>1037</v>
      </c>
      <c r="O9" s="5" t="s">
        <v>1037</v>
      </c>
      <c r="P9" s="5" t="s">
        <v>1037</v>
      </c>
      <c r="Q9" s="5" t="s">
        <v>1037</v>
      </c>
      <c r="R9" s="5" t="s">
        <v>1037</v>
      </c>
      <c r="S9" s="5" t="s">
        <v>1037</v>
      </c>
      <c r="T9" s="5" t="s">
        <v>1037</v>
      </c>
      <c r="U9" s="5" t="s">
        <v>1038</v>
      </c>
      <c r="V9" s="5" t="s">
        <v>1038</v>
      </c>
      <c r="X9" s="14" t="s">
        <v>1036</v>
      </c>
      <c r="Y9" s="5" t="s">
        <v>1038</v>
      </c>
      <c r="Z9" s="5" t="s">
        <v>1038</v>
      </c>
      <c r="AA9" s="5" t="s">
        <v>1038</v>
      </c>
    </row>
    <row r="10" spans="1:28" ht="10.5" collapsed="1" x14ac:dyDescent="0.2">
      <c r="A10" s="14" t="s">
        <v>1039</v>
      </c>
      <c r="B10" s="14"/>
      <c r="C10" s="5"/>
      <c r="D10" s="5"/>
      <c r="E10" s="5"/>
      <c r="F10" s="5"/>
      <c r="G10" s="5"/>
      <c r="H10" s="5"/>
      <c r="I10" s="5"/>
      <c r="J10" s="5"/>
      <c r="K10" s="5"/>
      <c r="L10" s="5"/>
      <c r="M10" s="5"/>
      <c r="N10" s="5"/>
      <c r="O10" s="5"/>
      <c r="P10" s="5"/>
      <c r="Q10" s="5"/>
      <c r="R10" s="5"/>
      <c r="S10" s="5"/>
      <c r="T10" s="5"/>
      <c r="U10" s="5"/>
      <c r="V10" s="5"/>
      <c r="X10" s="14" t="s">
        <v>1039</v>
      </c>
      <c r="Y10" s="5"/>
      <c r="Z10" s="5"/>
      <c r="AA10" s="5"/>
    </row>
    <row r="11" spans="1:28" x14ac:dyDescent="0.2">
      <c r="A11" s="5" t="s">
        <v>1040</v>
      </c>
      <c r="B11" s="26">
        <v>1800000</v>
      </c>
      <c r="C11" s="26">
        <v>3395736</v>
      </c>
      <c r="D11" s="26">
        <v>4764225</v>
      </c>
      <c r="E11" s="26">
        <v>9036566</v>
      </c>
      <c r="F11" s="26">
        <v>16317861</v>
      </c>
      <c r="G11" s="26">
        <v>18367162</v>
      </c>
      <c r="H11" s="26">
        <v>31868970</v>
      </c>
      <c r="I11" s="26">
        <v>38608545</v>
      </c>
      <c r="J11" s="26">
        <v>39477041</v>
      </c>
      <c r="K11" s="26">
        <v>51132738</v>
      </c>
      <c r="L11" s="26">
        <v>57104958</v>
      </c>
      <c r="M11" s="26">
        <v>67277881</v>
      </c>
      <c r="N11" s="26">
        <v>89142482</v>
      </c>
      <c r="O11" s="26">
        <v>102915905</v>
      </c>
      <c r="P11" s="26">
        <v>113114247</v>
      </c>
      <c r="Q11" s="26">
        <v>145751401</v>
      </c>
      <c r="R11" s="26">
        <v>219228118</v>
      </c>
      <c r="S11" s="26">
        <v>304055497</v>
      </c>
      <c r="T11" s="26">
        <v>395755868</v>
      </c>
      <c r="U11" s="26">
        <v>504797</v>
      </c>
      <c r="V11" s="26">
        <v>596084</v>
      </c>
      <c r="X11" s="5" t="s">
        <v>1040</v>
      </c>
      <c r="Y11" s="15">
        <v>265820</v>
      </c>
      <c r="Z11" s="15">
        <f>V11-Y11</f>
        <v>330264</v>
      </c>
      <c r="AA11" s="15">
        <v>293591</v>
      </c>
    </row>
    <row r="12" spans="1:28" x14ac:dyDescent="0.2">
      <c r="A12" s="5"/>
      <c r="B12" s="5"/>
      <c r="C12" s="151"/>
      <c r="D12" s="151"/>
      <c r="E12" s="151"/>
      <c r="F12" s="151"/>
      <c r="G12" s="151"/>
      <c r="H12" s="151"/>
      <c r="I12" s="151"/>
      <c r="J12" s="151"/>
      <c r="K12" s="151"/>
      <c r="L12" s="151"/>
      <c r="M12" s="151"/>
      <c r="N12" s="151"/>
      <c r="O12" s="151"/>
      <c r="P12" s="151"/>
      <c r="Q12" s="151"/>
      <c r="R12" s="151"/>
      <c r="S12" s="151"/>
      <c r="T12" s="151"/>
      <c r="U12" s="151"/>
      <c r="V12" s="151"/>
      <c r="X12" s="5"/>
      <c r="Y12" s="5"/>
      <c r="Z12" s="5"/>
      <c r="AA12" s="5"/>
    </row>
    <row r="13" spans="1:28" ht="10.5" x14ac:dyDescent="0.2">
      <c r="A13" s="14" t="s">
        <v>1041</v>
      </c>
      <c r="B13" s="14"/>
      <c r="C13" s="151"/>
      <c r="D13" s="151"/>
      <c r="E13" s="151"/>
      <c r="F13" s="151"/>
      <c r="G13" s="151"/>
      <c r="H13" s="151"/>
      <c r="I13" s="151"/>
      <c r="J13" s="151"/>
      <c r="K13" s="151"/>
      <c r="L13" s="151"/>
      <c r="M13" s="151"/>
      <c r="N13" s="151"/>
      <c r="O13" s="151"/>
      <c r="P13" s="151"/>
      <c r="Q13" s="151"/>
      <c r="R13" s="151"/>
      <c r="S13" s="151"/>
      <c r="T13" s="151"/>
      <c r="U13" s="151"/>
      <c r="V13" s="151"/>
      <c r="X13" s="14" t="s">
        <v>1041</v>
      </c>
      <c r="Y13" s="5"/>
      <c r="Z13" s="5"/>
      <c r="AA13" s="5"/>
    </row>
    <row r="14" spans="1:28" x14ac:dyDescent="0.2">
      <c r="A14" s="5" t="s">
        <v>1042</v>
      </c>
      <c r="B14" s="5"/>
      <c r="C14" s="26">
        <v>-2399822</v>
      </c>
      <c r="D14" s="26">
        <v>-3532796</v>
      </c>
      <c r="E14" s="26">
        <v>-7077813</v>
      </c>
      <c r="F14" s="26">
        <v>-13508307</v>
      </c>
      <c r="G14" s="26">
        <v>-15189681</v>
      </c>
      <c r="H14" s="26">
        <v>-27331930</v>
      </c>
      <c r="I14" s="26">
        <v>-31456070</v>
      </c>
      <c r="J14" s="26">
        <v>-32128468</v>
      </c>
      <c r="K14" s="26">
        <v>-42426369</v>
      </c>
      <c r="L14" s="26">
        <v>-48542505</v>
      </c>
      <c r="M14" s="26">
        <v>-56419194</v>
      </c>
      <c r="N14" s="26">
        <v>-73947437</v>
      </c>
      <c r="O14" s="26">
        <v>-83157478</v>
      </c>
      <c r="P14" s="26">
        <v>-91032034</v>
      </c>
      <c r="Q14" s="26">
        <v>-117232649</v>
      </c>
      <c r="R14" s="26">
        <v>-175921917</v>
      </c>
      <c r="S14" s="26">
        <v>-247771071</v>
      </c>
      <c r="T14" s="26">
        <v>-325245029</v>
      </c>
      <c r="U14" s="26">
        <v>-416276</v>
      </c>
      <c r="V14" s="26">
        <v>-493309</v>
      </c>
      <c r="X14" s="5" t="s">
        <v>1042</v>
      </c>
      <c r="Y14" s="15">
        <v>-219181</v>
      </c>
      <c r="Z14" s="15">
        <f t="shared" ref="Z14:Z15" si="1">V14-Y14</f>
        <v>-274128</v>
      </c>
      <c r="AA14" s="15">
        <v>-239916</v>
      </c>
    </row>
    <row r="15" spans="1:28" x14ac:dyDescent="0.2">
      <c r="A15" s="5" t="s">
        <v>1043</v>
      </c>
      <c r="B15" s="5"/>
      <c r="C15" s="26">
        <v>-946922</v>
      </c>
      <c r="D15" s="26">
        <v>-1049464</v>
      </c>
      <c r="E15" s="26">
        <v>-1477919</v>
      </c>
      <c r="F15" s="26">
        <v>-2032979</v>
      </c>
      <c r="G15" s="26">
        <v>-2643970</v>
      </c>
      <c r="H15" s="26">
        <v>-3730710</v>
      </c>
      <c r="I15" s="26">
        <v>-5968755</v>
      </c>
      <c r="J15" s="26">
        <v>-5691702</v>
      </c>
      <c r="K15" s="26">
        <v>-6712752</v>
      </c>
      <c r="L15" s="26">
        <v>-7415324</v>
      </c>
      <c r="M15" s="26">
        <v>-9546186</v>
      </c>
      <c r="N15" s="26">
        <v>-11861407</v>
      </c>
      <c r="O15" s="26">
        <v>-14020988</v>
      </c>
      <c r="P15" s="26">
        <v>-14682206</v>
      </c>
      <c r="Q15" s="26">
        <v>-18485997</v>
      </c>
      <c r="R15" s="26">
        <v>-27016509</v>
      </c>
      <c r="S15" s="26">
        <v>-33994319</v>
      </c>
      <c r="T15" s="26">
        <v>-43142717</v>
      </c>
      <c r="U15" s="26">
        <v>-52993</v>
      </c>
      <c r="V15" s="26">
        <v>-63193</v>
      </c>
      <c r="X15" s="5" t="s">
        <v>1043</v>
      </c>
      <c r="Y15" s="15">
        <v>-29406</v>
      </c>
      <c r="Z15" s="15">
        <f t="shared" si="1"/>
        <v>-33787</v>
      </c>
      <c r="AA15" s="15">
        <v>-38347</v>
      </c>
    </row>
    <row r="16" spans="1:28" x14ac:dyDescent="0.2">
      <c r="A16" s="5" t="s">
        <v>1044</v>
      </c>
      <c r="B16" s="5"/>
      <c r="C16" s="26">
        <v>0</v>
      </c>
      <c r="D16" s="26">
        <v>0</v>
      </c>
      <c r="E16" s="26">
        <v>907</v>
      </c>
      <c r="F16" s="26">
        <v>0</v>
      </c>
      <c r="G16" s="26">
        <v>0</v>
      </c>
      <c r="H16" s="26">
        <v>0</v>
      </c>
      <c r="I16" s="26">
        <v>0</v>
      </c>
      <c r="J16" s="26">
        <v>0</v>
      </c>
      <c r="K16" s="26">
        <v>0</v>
      </c>
      <c r="L16" s="26">
        <v>0</v>
      </c>
      <c r="M16" s="26">
        <v>0</v>
      </c>
      <c r="N16" s="26">
        <v>0</v>
      </c>
      <c r="O16" s="26">
        <v>0</v>
      </c>
      <c r="P16" s="26">
        <v>0</v>
      </c>
      <c r="Q16" s="26">
        <v>0</v>
      </c>
      <c r="R16" s="26">
        <v>0</v>
      </c>
      <c r="S16" s="26">
        <v>0</v>
      </c>
      <c r="T16" s="26">
        <v>0</v>
      </c>
      <c r="U16" s="26">
        <v>0</v>
      </c>
      <c r="V16" s="26">
        <v>0</v>
      </c>
      <c r="X16" s="5"/>
      <c r="Y16" s="15"/>
      <c r="Z16" s="15"/>
      <c r="AA16" s="15"/>
    </row>
    <row r="17" spans="1:27" x14ac:dyDescent="0.2">
      <c r="A17" s="5" t="s">
        <v>1045</v>
      </c>
      <c r="B17" s="5"/>
      <c r="C17" s="26">
        <v>0</v>
      </c>
      <c r="D17" s="26">
        <v>0</v>
      </c>
      <c r="E17" s="26">
        <v>0</v>
      </c>
      <c r="F17" s="26">
        <v>0</v>
      </c>
      <c r="G17" s="26">
        <v>0</v>
      </c>
      <c r="H17" s="26">
        <v>0</v>
      </c>
      <c r="I17" s="26">
        <v>0</v>
      </c>
      <c r="J17" s="26">
        <v>0</v>
      </c>
      <c r="K17" s="26">
        <v>1539659</v>
      </c>
      <c r="L17" s="26">
        <v>0</v>
      </c>
      <c r="M17" s="26">
        <v>0</v>
      </c>
      <c r="N17" s="26">
        <v>0</v>
      </c>
      <c r="O17" s="26">
        <v>0</v>
      </c>
      <c r="P17" s="26">
        <v>0</v>
      </c>
      <c r="Q17" s="26">
        <v>0</v>
      </c>
      <c r="R17" s="26">
        <v>0</v>
      </c>
      <c r="S17" s="26">
        <v>0</v>
      </c>
      <c r="T17" s="26">
        <v>0</v>
      </c>
      <c r="U17" s="26">
        <v>0</v>
      </c>
      <c r="V17" s="26">
        <v>0</v>
      </c>
      <c r="X17" s="5"/>
      <c r="Y17" s="15"/>
      <c r="Z17" s="15"/>
      <c r="AA17" s="15"/>
    </row>
    <row r="18" spans="1:27" x14ac:dyDescent="0.2">
      <c r="A18" s="5" t="s">
        <v>1046</v>
      </c>
      <c r="B18" s="5"/>
      <c r="C18" s="26">
        <v>0</v>
      </c>
      <c r="D18" s="26">
        <v>0</v>
      </c>
      <c r="E18" s="26">
        <v>0</v>
      </c>
      <c r="F18" s="26">
        <v>0</v>
      </c>
      <c r="G18" s="26">
        <v>0</v>
      </c>
      <c r="H18" s="26">
        <v>0</v>
      </c>
      <c r="I18" s="26">
        <v>-2</v>
      </c>
      <c r="J18" s="26">
        <v>0</v>
      </c>
      <c r="K18" s="26">
        <v>-1256310</v>
      </c>
      <c r="L18" s="26">
        <v>0</v>
      </c>
      <c r="M18" s="26">
        <v>0</v>
      </c>
      <c r="N18" s="26">
        <v>0</v>
      </c>
      <c r="O18" s="26">
        <v>0</v>
      </c>
      <c r="P18" s="26">
        <v>0</v>
      </c>
      <c r="Q18" s="26">
        <v>0</v>
      </c>
      <c r="R18" s="26">
        <v>0</v>
      </c>
      <c r="S18" s="26">
        <v>0</v>
      </c>
      <c r="T18" s="26">
        <v>0</v>
      </c>
      <c r="U18" s="26">
        <v>0</v>
      </c>
      <c r="V18" s="26">
        <v>0</v>
      </c>
      <c r="X18" s="5"/>
      <c r="Y18" s="15"/>
      <c r="Z18" s="15"/>
      <c r="AA18" s="15"/>
    </row>
    <row r="19" spans="1:27" x14ac:dyDescent="0.2">
      <c r="A19" s="5" t="s">
        <v>1047</v>
      </c>
      <c r="B19" s="5"/>
      <c r="C19" s="26">
        <v>0</v>
      </c>
      <c r="D19" s="26">
        <v>0</v>
      </c>
      <c r="E19" s="26">
        <v>0</v>
      </c>
      <c r="F19" s="26">
        <v>0</v>
      </c>
      <c r="G19" s="26">
        <v>0</v>
      </c>
      <c r="H19" s="26">
        <v>0</v>
      </c>
      <c r="I19" s="26">
        <v>0</v>
      </c>
      <c r="J19" s="26">
        <v>36598</v>
      </c>
      <c r="K19" s="26">
        <v>49832</v>
      </c>
      <c r="L19" s="26">
        <v>82200</v>
      </c>
      <c r="M19" s="26">
        <v>76939</v>
      </c>
      <c r="N19" s="26">
        <v>149785</v>
      </c>
      <c r="O19" s="26">
        <v>300818</v>
      </c>
      <c r="P19" s="26">
        <v>214314</v>
      </c>
      <c r="Q19" s="26">
        <v>46068</v>
      </c>
      <c r="R19" s="26">
        <v>58525</v>
      </c>
      <c r="S19" s="26">
        <v>0</v>
      </c>
      <c r="T19" s="26">
        <v>0</v>
      </c>
      <c r="U19" s="26">
        <v>0</v>
      </c>
      <c r="V19" s="26">
        <v>0</v>
      </c>
      <c r="X19" s="5"/>
      <c r="Y19" s="15"/>
      <c r="Z19" s="15"/>
      <c r="AA19" s="15"/>
    </row>
    <row r="20" spans="1:27" x14ac:dyDescent="0.2">
      <c r="A20" s="5" t="s">
        <v>1048</v>
      </c>
      <c r="B20" s="5"/>
      <c r="C20" s="26">
        <v>-28893</v>
      </c>
      <c r="D20" s="26">
        <v>-40014</v>
      </c>
      <c r="E20" s="26">
        <v>-60085</v>
      </c>
      <c r="F20" s="26">
        <v>-41904</v>
      </c>
      <c r="G20" s="26">
        <v>-68097</v>
      </c>
      <c r="H20" s="26">
        <v>-123786</v>
      </c>
      <c r="I20" s="26">
        <v>-31577</v>
      </c>
      <c r="J20" s="26">
        <v>-9750</v>
      </c>
      <c r="K20" s="26">
        <v>-3094</v>
      </c>
      <c r="L20" s="26">
        <v>-15901</v>
      </c>
      <c r="M20" s="26">
        <v>-30599</v>
      </c>
      <c r="N20" s="26">
        <v>-8596</v>
      </c>
      <c r="O20" s="26">
        <v>-1254</v>
      </c>
      <c r="P20" s="26">
        <v>-943</v>
      </c>
      <c r="Q20" s="26">
        <v>-55822</v>
      </c>
      <c r="R20" s="26">
        <v>-509</v>
      </c>
      <c r="S20" s="26">
        <v>0</v>
      </c>
      <c r="T20" s="26">
        <v>0</v>
      </c>
      <c r="U20" s="26">
        <v>0</v>
      </c>
      <c r="V20" s="26">
        <v>0</v>
      </c>
      <c r="X20" s="5"/>
      <c r="Y20" s="15"/>
      <c r="Z20" s="15"/>
      <c r="AA20" s="15"/>
    </row>
    <row r="21" spans="1:27" x14ac:dyDescent="0.2">
      <c r="A21" s="5" t="s">
        <v>1049</v>
      </c>
      <c r="B21" s="5"/>
      <c r="C21" s="26">
        <v>0</v>
      </c>
      <c r="D21" s="26">
        <v>0</v>
      </c>
      <c r="E21" s="26">
        <v>0</v>
      </c>
      <c r="F21" s="26">
        <v>0</v>
      </c>
      <c r="G21" s="26">
        <v>0</v>
      </c>
      <c r="H21" s="26">
        <v>0</v>
      </c>
      <c r="I21" s="26">
        <v>0</v>
      </c>
      <c r="J21" s="26">
        <v>0</v>
      </c>
      <c r="K21" s="26">
        <v>0</v>
      </c>
      <c r="L21" s="26">
        <v>0</v>
      </c>
      <c r="M21" s="26">
        <v>0</v>
      </c>
      <c r="N21" s="26">
        <v>0</v>
      </c>
      <c r="O21" s="26">
        <v>0</v>
      </c>
      <c r="P21" s="26">
        <v>0</v>
      </c>
      <c r="Q21" s="26">
        <v>0</v>
      </c>
      <c r="R21" s="26">
        <v>0</v>
      </c>
      <c r="S21" s="26">
        <v>0</v>
      </c>
      <c r="T21" s="26">
        <v>81443</v>
      </c>
      <c r="U21" s="26">
        <v>102</v>
      </c>
      <c r="V21" s="26">
        <v>195</v>
      </c>
      <c r="X21" s="5" t="s">
        <v>1049</v>
      </c>
      <c r="Y21" s="15">
        <v>81</v>
      </c>
      <c r="Z21" s="15">
        <f t="shared" ref="Z21" si="2">V21-Y21</f>
        <v>114</v>
      </c>
      <c r="AA21" s="15">
        <v>106</v>
      </c>
    </row>
    <row r="22" spans="1:27" x14ac:dyDescent="0.2">
      <c r="A22" s="5" t="s">
        <v>1050</v>
      </c>
      <c r="B22" s="5"/>
      <c r="C22" s="26">
        <v>0</v>
      </c>
      <c r="D22" s="26">
        <v>0</v>
      </c>
      <c r="E22" s="26">
        <v>0</v>
      </c>
      <c r="F22" s="26">
        <v>0</v>
      </c>
      <c r="G22" s="26">
        <v>0</v>
      </c>
      <c r="H22" s="26">
        <v>0</v>
      </c>
      <c r="I22" s="26">
        <v>0</v>
      </c>
      <c r="J22" s="26">
        <v>0</v>
      </c>
      <c r="K22" s="26">
        <v>0</v>
      </c>
      <c r="L22" s="26">
        <v>0</v>
      </c>
      <c r="M22" s="26">
        <v>0</v>
      </c>
      <c r="N22" s="26">
        <v>0</v>
      </c>
      <c r="O22" s="26">
        <v>0</v>
      </c>
      <c r="P22" s="26">
        <v>0</v>
      </c>
      <c r="Q22" s="26">
        <v>0</v>
      </c>
      <c r="R22" s="26">
        <v>0</v>
      </c>
      <c r="S22" s="26">
        <v>135260</v>
      </c>
      <c r="T22" s="26">
        <v>0</v>
      </c>
      <c r="U22" s="26">
        <v>0</v>
      </c>
      <c r="V22" s="26">
        <v>0</v>
      </c>
      <c r="X22" s="5"/>
      <c r="Y22" s="15"/>
      <c r="Z22" s="15"/>
      <c r="AA22" s="15"/>
    </row>
    <row r="23" spans="1:27" ht="11.5" x14ac:dyDescent="0.2">
      <c r="A23" s="5" t="s">
        <v>1051</v>
      </c>
      <c r="B23" s="5"/>
      <c r="C23" s="155">
        <v>-50224</v>
      </c>
      <c r="D23" s="155">
        <v>0</v>
      </c>
      <c r="E23" s="155">
        <v>0</v>
      </c>
      <c r="F23" s="155">
        <v>0</v>
      </c>
      <c r="G23" s="155">
        <v>0</v>
      </c>
      <c r="H23" s="155">
        <v>0</v>
      </c>
      <c r="I23" s="155">
        <v>0</v>
      </c>
      <c r="J23" s="155">
        <v>0</v>
      </c>
      <c r="K23" s="155">
        <v>0</v>
      </c>
      <c r="L23" s="155">
        <v>0</v>
      </c>
      <c r="M23" s="155">
        <v>0</v>
      </c>
      <c r="N23" s="155">
        <v>0</v>
      </c>
      <c r="O23" s="155">
        <v>0</v>
      </c>
      <c r="P23" s="155">
        <v>0</v>
      </c>
      <c r="Q23" s="155">
        <v>0</v>
      </c>
      <c r="R23" s="155">
        <v>0</v>
      </c>
      <c r="S23" s="155">
        <v>0</v>
      </c>
      <c r="T23" s="155">
        <v>0</v>
      </c>
      <c r="U23" s="155">
        <v>0</v>
      </c>
      <c r="V23" s="155">
        <v>0</v>
      </c>
      <c r="X23" s="5"/>
      <c r="Y23" s="156"/>
      <c r="Z23" s="156"/>
      <c r="AA23" s="156"/>
    </row>
    <row r="24" spans="1:27" ht="10.5" x14ac:dyDescent="0.2">
      <c r="A24" s="14" t="s">
        <v>1052</v>
      </c>
      <c r="B24" s="14"/>
      <c r="C24" s="152">
        <v>-30125</v>
      </c>
      <c r="D24" s="152">
        <v>141951</v>
      </c>
      <c r="E24" s="152">
        <v>421656</v>
      </c>
      <c r="F24" s="152">
        <v>734671</v>
      </c>
      <c r="G24" s="152">
        <v>465414</v>
      </c>
      <c r="H24" s="152">
        <v>717041</v>
      </c>
      <c r="I24" s="152">
        <v>1152141</v>
      </c>
      <c r="J24" s="152">
        <v>1683719</v>
      </c>
      <c r="K24" s="152">
        <v>2323704</v>
      </c>
      <c r="L24" s="152">
        <v>1213428</v>
      </c>
      <c r="M24" s="152">
        <v>1358841</v>
      </c>
      <c r="N24" s="152">
        <v>3474827</v>
      </c>
      <c r="O24" s="152">
        <v>6037003</v>
      </c>
      <c r="P24" s="152">
        <v>7613378</v>
      </c>
      <c r="Q24" s="152">
        <v>10023001</v>
      </c>
      <c r="R24" s="152">
        <v>16347708</v>
      </c>
      <c r="S24" s="152">
        <v>22425367</v>
      </c>
      <c r="T24" s="152">
        <v>27449565</v>
      </c>
      <c r="U24" s="152">
        <v>35630</v>
      </c>
      <c r="V24" s="152">
        <v>39777</v>
      </c>
      <c r="X24" s="14" t="s">
        <v>1052</v>
      </c>
      <c r="Y24" s="17">
        <v>17314</v>
      </c>
      <c r="Z24" s="17">
        <f t="shared" ref="Z24" si="3">V24-Y24</f>
        <v>22463</v>
      </c>
      <c r="AA24" s="17">
        <v>15434</v>
      </c>
    </row>
    <row r="25" spans="1:27" x14ac:dyDescent="0.2">
      <c r="A25" s="5"/>
      <c r="B25" s="5"/>
      <c r="C25" s="151"/>
      <c r="D25" s="151"/>
      <c r="E25" s="151"/>
      <c r="F25" s="151"/>
      <c r="G25" s="151"/>
      <c r="H25" s="151"/>
      <c r="I25" s="151"/>
      <c r="J25" s="151"/>
      <c r="K25" s="151"/>
      <c r="L25" s="151"/>
      <c r="M25" s="151"/>
      <c r="N25" s="151"/>
      <c r="O25" s="151"/>
      <c r="P25" s="151"/>
      <c r="Q25" s="151"/>
      <c r="R25" s="151"/>
      <c r="S25" s="151"/>
      <c r="T25" s="151"/>
      <c r="U25" s="151"/>
      <c r="V25" s="151"/>
      <c r="X25" s="5"/>
      <c r="Y25" s="5"/>
      <c r="Z25" s="5"/>
      <c r="AA25" s="5"/>
    </row>
    <row r="26" spans="1:27" ht="10.5" x14ac:dyDescent="0.2">
      <c r="A26" s="14" t="s">
        <v>1053</v>
      </c>
      <c r="B26" s="14"/>
      <c r="C26" s="151"/>
      <c r="D26" s="151"/>
      <c r="E26" s="151"/>
      <c r="F26" s="151"/>
      <c r="G26" s="151"/>
      <c r="H26" s="151"/>
      <c r="I26" s="151"/>
      <c r="J26" s="151"/>
      <c r="K26" s="151"/>
      <c r="L26" s="151"/>
      <c r="M26" s="151"/>
      <c r="N26" s="151"/>
      <c r="O26" s="151"/>
      <c r="P26" s="151"/>
      <c r="Q26" s="151"/>
      <c r="R26" s="151"/>
      <c r="S26" s="151"/>
      <c r="T26" s="151"/>
      <c r="U26" s="151"/>
      <c r="V26" s="151"/>
      <c r="X26" s="14" t="s">
        <v>1053</v>
      </c>
      <c r="Y26" s="5"/>
      <c r="Z26" s="5"/>
      <c r="AA26" s="5"/>
    </row>
    <row r="27" spans="1:27" x14ac:dyDescent="0.2">
      <c r="A27" s="5" t="s">
        <v>1054</v>
      </c>
      <c r="B27" s="5"/>
      <c r="C27" s="26">
        <v>-5288</v>
      </c>
      <c r="D27" s="26">
        <v>-34086</v>
      </c>
      <c r="E27" s="26">
        <v>-116815</v>
      </c>
      <c r="F27" s="26">
        <v>-240949</v>
      </c>
      <c r="G27" s="26">
        <v>-105137</v>
      </c>
      <c r="H27" s="26">
        <v>-234599</v>
      </c>
      <c r="I27" s="26">
        <v>-493697</v>
      </c>
      <c r="J27" s="26">
        <v>-506218</v>
      </c>
      <c r="K27" s="26">
        <v>-644506</v>
      </c>
      <c r="L27" s="26">
        <v>-394277</v>
      </c>
      <c r="M27" s="26">
        <v>-550824</v>
      </c>
      <c r="N27" s="26">
        <v>-1407781</v>
      </c>
      <c r="O27" s="26">
        <v>-2114647</v>
      </c>
      <c r="P27" s="26">
        <v>-2466958</v>
      </c>
      <c r="Q27" s="26">
        <v>-2961216</v>
      </c>
      <c r="R27" s="26">
        <v>-4813400</v>
      </c>
      <c r="S27" s="26">
        <v>-5229251</v>
      </c>
      <c r="T27" s="26">
        <v>-6863838</v>
      </c>
      <c r="U27" s="26">
        <v>-8278</v>
      </c>
      <c r="V27" s="26">
        <v>-8660</v>
      </c>
      <c r="X27" s="5" t="s">
        <v>1054</v>
      </c>
      <c r="Y27" s="15">
        <v>-3766</v>
      </c>
      <c r="Z27" s="15">
        <f t="shared" ref="Z27" si="4">V27-Y27</f>
        <v>-4894</v>
      </c>
      <c r="AA27" s="15">
        <v>-3501</v>
      </c>
    </row>
    <row r="28" spans="1:27" x14ac:dyDescent="0.2">
      <c r="A28" s="5" t="s">
        <v>1055</v>
      </c>
      <c r="B28" s="5"/>
      <c r="C28" s="26">
        <v>19417</v>
      </c>
      <c r="D28" s="26">
        <v>-23424</v>
      </c>
      <c r="E28" s="26">
        <v>-94161</v>
      </c>
      <c r="F28" s="26">
        <v>-205465</v>
      </c>
      <c r="G28" s="26">
        <v>-163042</v>
      </c>
      <c r="H28" s="26">
        <v>-219983</v>
      </c>
      <c r="I28" s="26">
        <v>0</v>
      </c>
      <c r="J28" s="26">
        <v>0</v>
      </c>
      <c r="K28" s="26">
        <v>0</v>
      </c>
      <c r="L28" s="26">
        <v>0</v>
      </c>
      <c r="M28" s="26">
        <v>0</v>
      </c>
      <c r="N28" s="26">
        <v>0</v>
      </c>
      <c r="O28" s="26">
        <v>0</v>
      </c>
      <c r="P28" s="26">
        <v>0</v>
      </c>
      <c r="Q28" s="26">
        <v>0</v>
      </c>
      <c r="R28" s="26">
        <v>0</v>
      </c>
      <c r="S28" s="26">
        <v>0</v>
      </c>
      <c r="T28" s="26">
        <v>0</v>
      </c>
      <c r="U28" s="26">
        <v>0</v>
      </c>
      <c r="V28" s="26">
        <v>0</v>
      </c>
      <c r="X28" s="5"/>
      <c r="Y28" s="15"/>
      <c r="Z28" s="15"/>
      <c r="AA28" s="15"/>
    </row>
    <row r="29" spans="1:27" s="149" customFormat="1" x14ac:dyDescent="0.2">
      <c r="A29" s="5" t="s">
        <v>1056</v>
      </c>
      <c r="B29" s="5"/>
      <c r="C29" s="157">
        <v>0</v>
      </c>
      <c r="D29" s="157">
        <v>0</v>
      </c>
      <c r="E29" s="157">
        <v>0</v>
      </c>
      <c r="F29" s="157">
        <v>0</v>
      </c>
      <c r="G29" s="157">
        <v>0</v>
      </c>
      <c r="H29" s="157">
        <v>34497</v>
      </c>
      <c r="I29" s="157">
        <v>0</v>
      </c>
      <c r="J29" s="157">
        <v>0</v>
      </c>
      <c r="K29" s="157">
        <v>0</v>
      </c>
      <c r="L29" s="157">
        <v>0</v>
      </c>
      <c r="M29" s="157">
        <v>0</v>
      </c>
      <c r="N29" s="157">
        <v>0</v>
      </c>
      <c r="O29" s="157">
        <v>0</v>
      </c>
      <c r="P29" s="157">
        <v>0</v>
      </c>
      <c r="Q29" s="157">
        <v>0</v>
      </c>
      <c r="R29" s="157">
        <v>0</v>
      </c>
      <c r="S29" s="157">
        <v>0</v>
      </c>
      <c r="T29" s="157">
        <v>0</v>
      </c>
      <c r="U29" s="157">
        <v>0</v>
      </c>
      <c r="V29" s="157">
        <v>0</v>
      </c>
      <c r="X29" s="148"/>
      <c r="Y29" s="158"/>
      <c r="Z29" s="158"/>
      <c r="AA29" s="158"/>
    </row>
    <row r="30" spans="1:27" ht="10.5" x14ac:dyDescent="0.2">
      <c r="A30" s="14" t="s">
        <v>1057</v>
      </c>
      <c r="B30" s="14"/>
      <c r="C30" s="152">
        <v>-15996</v>
      </c>
      <c r="D30" s="152">
        <v>84441</v>
      </c>
      <c r="E30" s="152">
        <v>210680</v>
      </c>
      <c r="F30" s="152">
        <v>288257</v>
      </c>
      <c r="G30" s="152">
        <v>197235</v>
      </c>
      <c r="H30" s="152">
        <v>262459</v>
      </c>
      <c r="I30" s="152">
        <v>658444</v>
      </c>
      <c r="J30" s="152">
        <v>1177501</v>
      </c>
      <c r="K30" s="152">
        <v>1679198</v>
      </c>
      <c r="L30" s="152">
        <v>819151</v>
      </c>
      <c r="M30" s="152">
        <v>808017</v>
      </c>
      <c r="N30" s="152">
        <v>2067046</v>
      </c>
      <c r="O30" s="152">
        <v>3922356</v>
      </c>
      <c r="P30" s="152">
        <v>5146420</v>
      </c>
      <c r="Q30" s="152">
        <v>7061785</v>
      </c>
      <c r="R30" s="152">
        <v>11534308</v>
      </c>
      <c r="S30" s="152">
        <v>17196116</v>
      </c>
      <c r="T30" s="152">
        <v>20585727</v>
      </c>
      <c r="U30" s="152">
        <v>27352</v>
      </c>
      <c r="V30" s="152">
        <v>31117</v>
      </c>
      <c r="X30" s="14" t="s">
        <v>1057</v>
      </c>
      <c r="Y30" s="17">
        <v>13548</v>
      </c>
      <c r="Z30" s="17">
        <f t="shared" ref="Z30" si="5">V30-Y30</f>
        <v>17569</v>
      </c>
      <c r="AA30" s="17">
        <v>11933</v>
      </c>
    </row>
    <row r="31" spans="1:27" x14ac:dyDescent="0.2">
      <c r="A31" s="5"/>
      <c r="B31" s="5"/>
      <c r="C31" s="151"/>
      <c r="D31" s="151"/>
      <c r="E31" s="151"/>
      <c r="F31" s="151"/>
      <c r="G31" s="151"/>
      <c r="H31" s="151"/>
      <c r="I31" s="151"/>
      <c r="J31" s="151"/>
      <c r="K31" s="151"/>
      <c r="L31" s="151"/>
      <c r="M31" s="151"/>
      <c r="N31" s="151"/>
      <c r="O31" s="151"/>
      <c r="P31" s="151"/>
      <c r="Q31" s="151"/>
      <c r="R31" s="151"/>
      <c r="S31" s="151"/>
      <c r="T31" s="151"/>
      <c r="U31" s="151"/>
      <c r="V31" s="151"/>
      <c r="X31" s="5"/>
      <c r="Y31" s="5"/>
      <c r="Z31" s="5"/>
      <c r="AA31" s="5"/>
    </row>
    <row r="32" spans="1:27" ht="10.5" x14ac:dyDescent="0.2">
      <c r="A32" s="14" t="s">
        <v>1058</v>
      </c>
      <c r="B32" s="14"/>
      <c r="C32" s="151"/>
      <c r="D32" s="151"/>
      <c r="E32" s="151"/>
      <c r="F32" s="151"/>
      <c r="G32" s="151"/>
      <c r="H32" s="151"/>
      <c r="I32" s="151"/>
      <c r="J32" s="151"/>
      <c r="K32" s="151"/>
      <c r="L32" s="151"/>
      <c r="M32" s="151"/>
      <c r="N32" s="151"/>
      <c r="O32" s="151"/>
      <c r="P32" s="151"/>
      <c r="Q32" s="151"/>
      <c r="R32" s="151"/>
      <c r="S32" s="151"/>
      <c r="T32" s="151"/>
      <c r="U32" s="151"/>
      <c r="V32" s="151"/>
      <c r="X32" s="14" t="s">
        <v>1058</v>
      </c>
      <c r="Y32" s="5"/>
      <c r="Z32" s="5"/>
      <c r="AA32" s="5"/>
    </row>
    <row r="33" spans="1:256" x14ac:dyDescent="0.2">
      <c r="A33" s="5" t="s">
        <v>1059</v>
      </c>
      <c r="B33" s="5"/>
      <c r="C33" s="26">
        <v>995914</v>
      </c>
      <c r="D33" s="26">
        <v>1231429</v>
      </c>
      <c r="E33" s="26">
        <v>1958753</v>
      </c>
      <c r="F33" s="26">
        <v>2809554</v>
      </c>
      <c r="G33" s="26">
        <v>3177481</v>
      </c>
      <c r="H33" s="26">
        <v>4537040</v>
      </c>
      <c r="I33" s="26">
        <v>7152475</v>
      </c>
      <c r="J33" s="26">
        <v>7348573</v>
      </c>
      <c r="K33" s="26">
        <v>8706369</v>
      </c>
      <c r="L33" s="26">
        <v>8562453</v>
      </c>
      <c r="M33" s="26">
        <v>10858687</v>
      </c>
      <c r="N33" s="26">
        <v>15195045</v>
      </c>
      <c r="O33" s="26">
        <v>19758427</v>
      </c>
      <c r="P33" s="26">
        <v>22082213</v>
      </c>
      <c r="Q33" s="26">
        <v>28518752</v>
      </c>
      <c r="R33" s="26">
        <v>43306201</v>
      </c>
      <c r="S33" s="26">
        <v>56284426</v>
      </c>
      <c r="T33" s="26">
        <v>70510839</v>
      </c>
      <c r="U33" s="26">
        <v>88521</v>
      </c>
      <c r="V33" s="26">
        <v>102775</v>
      </c>
      <c r="X33" s="5" t="s">
        <v>1059</v>
      </c>
      <c r="Y33" s="19">
        <v>46639</v>
      </c>
      <c r="Z33" s="19">
        <f t="shared" ref="Z33:Z34" si="6">V33-Y33</f>
        <v>56136</v>
      </c>
      <c r="AA33" s="19">
        <v>53675</v>
      </c>
    </row>
    <row r="34" spans="1:256" x14ac:dyDescent="0.2">
      <c r="A34" s="5" t="s">
        <v>1060</v>
      </c>
      <c r="B34" s="5"/>
      <c r="C34" s="26">
        <v>-1232</v>
      </c>
      <c r="D34" s="26">
        <v>181965</v>
      </c>
      <c r="E34" s="26">
        <v>480834</v>
      </c>
      <c r="F34" s="26">
        <v>776575</v>
      </c>
      <c r="G34" s="26">
        <v>533511</v>
      </c>
      <c r="H34" s="26">
        <v>806330</v>
      </c>
      <c r="I34" s="26">
        <v>1183720</v>
      </c>
      <c r="J34" s="26">
        <v>1656871</v>
      </c>
      <c r="K34" s="26">
        <v>1993617</v>
      </c>
      <c r="L34" s="26">
        <v>1147129</v>
      </c>
      <c r="M34" s="26">
        <v>1312501</v>
      </c>
      <c r="N34" s="26">
        <v>3333638</v>
      </c>
      <c r="O34" s="26">
        <v>5737439</v>
      </c>
      <c r="P34" s="26">
        <v>7400007</v>
      </c>
      <c r="Q34" s="26">
        <v>10032755</v>
      </c>
      <c r="R34" s="26">
        <v>16289692</v>
      </c>
      <c r="S34" s="26">
        <v>22290107</v>
      </c>
      <c r="T34" s="26">
        <v>27368122</v>
      </c>
      <c r="U34" s="26">
        <v>35528</v>
      </c>
      <c r="V34" s="26">
        <v>39582</v>
      </c>
      <c r="X34" s="5" t="s">
        <v>1060</v>
      </c>
      <c r="Y34" s="19">
        <v>17233</v>
      </c>
      <c r="Z34" s="19">
        <f t="shared" si="6"/>
        <v>22349</v>
      </c>
      <c r="AA34" s="19">
        <v>15328</v>
      </c>
    </row>
    <row r="35" spans="1:256" x14ac:dyDescent="0.2">
      <c r="A35" s="5"/>
      <c r="B35" s="5"/>
      <c r="C35" s="26"/>
      <c r="D35" s="26"/>
      <c r="E35" s="26"/>
      <c r="F35" s="26"/>
      <c r="G35" s="26"/>
      <c r="H35" s="26"/>
      <c r="I35" s="26"/>
      <c r="J35" s="26"/>
      <c r="K35" s="26"/>
      <c r="L35" s="26"/>
      <c r="M35" s="26"/>
      <c r="N35" s="26"/>
      <c r="O35" s="26"/>
      <c r="P35" s="26"/>
      <c r="Q35" s="26"/>
      <c r="R35" s="26"/>
      <c r="S35" s="26"/>
      <c r="T35" s="26"/>
      <c r="U35" s="26"/>
      <c r="V35" s="26"/>
      <c r="X35" s="5" t="s">
        <v>1061</v>
      </c>
      <c r="Y35" s="19">
        <v>7.1199999999999999E-2</v>
      </c>
      <c r="Z35" s="19"/>
      <c r="AA35" s="19">
        <v>6.0900000000000003E-2</v>
      </c>
    </row>
    <row r="36" spans="1:256" x14ac:dyDescent="0.2">
      <c r="A36" s="5"/>
      <c r="B36" s="5"/>
      <c r="C36" s="26"/>
      <c r="D36" s="26"/>
      <c r="E36" s="26"/>
      <c r="F36" s="26"/>
      <c r="G36" s="26"/>
      <c r="H36" s="26"/>
      <c r="I36" s="26"/>
      <c r="J36" s="26"/>
      <c r="K36" s="26"/>
      <c r="L36" s="26"/>
      <c r="M36" s="26"/>
      <c r="N36" s="26"/>
      <c r="O36" s="26"/>
      <c r="P36" s="26"/>
      <c r="Q36" s="26"/>
      <c r="R36" s="26"/>
      <c r="S36" s="26"/>
      <c r="T36" s="26"/>
      <c r="U36" s="26"/>
      <c r="V36" s="26"/>
      <c r="X36" s="5" t="s">
        <v>1062</v>
      </c>
      <c r="Y36" s="19">
        <v>6.9900000000000004E-2</v>
      </c>
      <c r="Z36" s="19"/>
      <c r="AA36" s="19">
        <v>6.0699999999999997E-2</v>
      </c>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9"/>
      <c r="BN36" s="9"/>
      <c r="BO36" s="9"/>
      <c r="BP36" s="9"/>
      <c r="BQ36" s="9"/>
      <c r="BR36" s="9"/>
      <c r="BS36" s="9"/>
      <c r="BT36" s="9"/>
      <c r="BU36" s="9"/>
      <c r="BV36" s="9"/>
      <c r="BW36" s="9"/>
      <c r="BX36" s="9"/>
      <c r="BY36" s="9"/>
      <c r="BZ36" s="9"/>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c r="DC36" s="9"/>
      <c r="DD36" s="9"/>
      <c r="DE36" s="9"/>
      <c r="DF36" s="9"/>
      <c r="DG36" s="9"/>
      <c r="DH36" s="9"/>
      <c r="DI36" s="9"/>
      <c r="DJ36" s="9"/>
      <c r="DK36" s="9"/>
      <c r="DL36" s="9"/>
      <c r="DM36" s="9"/>
      <c r="DN36" s="9"/>
      <c r="DO36" s="9"/>
      <c r="DP36" s="9"/>
      <c r="DQ36" s="9"/>
      <c r="DR36" s="9"/>
      <c r="DS36" s="9"/>
      <c r="DT36" s="9"/>
      <c r="DU36" s="9"/>
      <c r="DV36" s="9"/>
      <c r="DW36" s="9"/>
      <c r="DX36" s="9"/>
      <c r="DY36" s="9"/>
      <c r="DZ36" s="9"/>
      <c r="EA36" s="9"/>
      <c r="EB36" s="9"/>
      <c r="EC36" s="9"/>
      <c r="ED36" s="9"/>
      <c r="EE36" s="9"/>
      <c r="EF36" s="9"/>
      <c r="EG36" s="9"/>
      <c r="EH36" s="9"/>
      <c r="EI36" s="9"/>
      <c r="EJ36" s="9"/>
      <c r="EK36" s="9"/>
      <c r="EL36" s="9"/>
      <c r="EM36" s="9"/>
      <c r="EN36" s="9"/>
      <c r="EO36" s="9"/>
      <c r="EP36" s="9"/>
      <c r="EQ36" s="9"/>
      <c r="ER36" s="9"/>
      <c r="ES36" s="9"/>
      <c r="ET36" s="9"/>
      <c r="EU36" s="9"/>
      <c r="EV36" s="9"/>
      <c r="EW36" s="9"/>
      <c r="EX36" s="9"/>
      <c r="EY36" s="9"/>
      <c r="EZ36" s="9"/>
      <c r="FA36" s="9"/>
      <c r="FB36" s="9"/>
      <c r="FC36" s="9"/>
      <c r="FD36" s="9"/>
      <c r="FE36" s="9"/>
      <c r="FF36" s="9"/>
      <c r="FG36" s="9"/>
      <c r="FH36" s="9"/>
      <c r="FI36" s="9"/>
      <c r="FJ36" s="9"/>
      <c r="FK36" s="9"/>
      <c r="FL36" s="9"/>
      <c r="FM36" s="9"/>
      <c r="FN36" s="9"/>
      <c r="FO36" s="9"/>
      <c r="FP36" s="9"/>
      <c r="FQ36" s="9"/>
      <c r="FR36" s="9"/>
      <c r="FS36" s="9"/>
      <c r="FT36" s="9"/>
      <c r="FU36" s="9"/>
      <c r="FV36" s="9"/>
      <c r="FW36" s="9"/>
      <c r="FX36" s="9"/>
      <c r="FY36" s="9"/>
      <c r="FZ36" s="9"/>
      <c r="GA36" s="9"/>
      <c r="GB36" s="9"/>
      <c r="GC36" s="9"/>
      <c r="GD36" s="9"/>
      <c r="GE36" s="9"/>
      <c r="GF36" s="9"/>
      <c r="GG36" s="9"/>
      <c r="GH36" s="9"/>
      <c r="GI36" s="9"/>
      <c r="GJ36" s="9"/>
      <c r="GK36" s="9"/>
      <c r="GL36" s="9"/>
      <c r="GM36" s="9"/>
      <c r="GN36" s="9"/>
      <c r="GO36" s="9"/>
      <c r="GP36" s="9"/>
      <c r="GQ36" s="9"/>
      <c r="GR36" s="9"/>
      <c r="GS36" s="9"/>
      <c r="GT36" s="9"/>
      <c r="GU36" s="9"/>
      <c r="GV36" s="9"/>
      <c r="GW36" s="9"/>
      <c r="GX36" s="9"/>
      <c r="GY36" s="9"/>
      <c r="GZ36" s="9"/>
      <c r="HA36" s="9"/>
      <c r="HB36" s="9"/>
      <c r="HC36" s="9"/>
      <c r="HD36" s="9"/>
      <c r="HE36" s="9"/>
      <c r="HF36" s="9"/>
      <c r="HG36" s="9"/>
      <c r="HH36" s="9"/>
      <c r="HI36" s="9"/>
      <c r="HJ36" s="9"/>
      <c r="HK36" s="9"/>
      <c r="HL36" s="9"/>
      <c r="HM36" s="9"/>
      <c r="HN36" s="9"/>
      <c r="HO36" s="9"/>
      <c r="HP36" s="9"/>
      <c r="HQ36" s="9"/>
      <c r="HR36" s="9"/>
      <c r="HS36" s="9"/>
      <c r="HT36" s="9"/>
      <c r="HU36" s="9"/>
      <c r="HV36" s="9"/>
      <c r="HW36" s="9"/>
      <c r="HX36" s="9"/>
      <c r="HY36" s="9"/>
      <c r="HZ36" s="9"/>
      <c r="IA36" s="9"/>
      <c r="IB36" s="9"/>
      <c r="IC36" s="9"/>
      <c r="ID36" s="9"/>
      <c r="IE36" s="9"/>
      <c r="IF36" s="9"/>
      <c r="IG36" s="9"/>
      <c r="IH36" s="9"/>
      <c r="II36" s="9"/>
      <c r="IJ36" s="9"/>
      <c r="IK36" s="9"/>
      <c r="IL36" s="9"/>
      <c r="IM36" s="9"/>
      <c r="IN36" s="9"/>
      <c r="IO36" s="9"/>
      <c r="IP36" s="9"/>
      <c r="IQ36" s="9"/>
      <c r="IR36" s="9"/>
      <c r="IS36" s="9"/>
      <c r="IT36" s="9"/>
      <c r="IU36" s="9"/>
      <c r="IV36" s="9"/>
    </row>
    <row r="37" spans="1:256" x14ac:dyDescent="0.2">
      <c r="A37" s="5" t="str">
        <f>X37</f>
        <v xml:space="preserve">  EBIT (GAAP)</v>
      </c>
      <c r="B37" s="5"/>
      <c r="C37" s="19">
        <f t="shared" ref="C37:T37" si="7">C11+C15+C14</f>
        <v>48992</v>
      </c>
      <c r="D37" s="19">
        <f t="shared" si="7"/>
        <v>181965</v>
      </c>
      <c r="E37" s="19">
        <f t="shared" si="7"/>
        <v>480834</v>
      </c>
      <c r="F37" s="19">
        <f t="shared" si="7"/>
        <v>776575</v>
      </c>
      <c r="G37" s="19">
        <f t="shared" si="7"/>
        <v>533511</v>
      </c>
      <c r="H37" s="19">
        <f t="shared" si="7"/>
        <v>806330</v>
      </c>
      <c r="I37" s="19">
        <f t="shared" si="7"/>
        <v>1183720</v>
      </c>
      <c r="J37" s="19">
        <f t="shared" si="7"/>
        <v>1656871</v>
      </c>
      <c r="K37" s="19">
        <f t="shared" si="7"/>
        <v>1993617</v>
      </c>
      <c r="L37" s="19">
        <f t="shared" si="7"/>
        <v>1147129</v>
      </c>
      <c r="M37" s="19">
        <f t="shared" si="7"/>
        <v>1312501</v>
      </c>
      <c r="N37" s="19">
        <f t="shared" si="7"/>
        <v>3333638</v>
      </c>
      <c r="O37" s="19">
        <f t="shared" si="7"/>
        <v>5737439</v>
      </c>
      <c r="P37" s="19">
        <f t="shared" si="7"/>
        <v>7400007</v>
      </c>
      <c r="Q37" s="19">
        <f t="shared" si="7"/>
        <v>10032755</v>
      </c>
      <c r="R37" s="19">
        <f t="shared" si="7"/>
        <v>16289692</v>
      </c>
      <c r="S37" s="19">
        <f t="shared" si="7"/>
        <v>22290107</v>
      </c>
      <c r="T37" s="26">
        <f t="shared" si="7"/>
        <v>27368122</v>
      </c>
      <c r="U37" s="26">
        <f>U11+U15+U14</f>
        <v>35528</v>
      </c>
      <c r="V37" s="26">
        <f>V11+V15+V14</f>
        <v>39582</v>
      </c>
      <c r="X37" s="5" t="s">
        <v>1063</v>
      </c>
      <c r="Y37" s="19">
        <f>Y11+Y15+Y14</f>
        <v>17233</v>
      </c>
      <c r="Z37" s="19">
        <f t="shared" ref="Z37:AA37" si="8">Z11+Z15+Z14</f>
        <v>22349</v>
      </c>
      <c r="AA37" s="19">
        <f t="shared" si="8"/>
        <v>15328</v>
      </c>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c r="EI37" s="9"/>
      <c r="EJ37" s="9"/>
      <c r="EK37" s="9"/>
      <c r="EL37" s="9"/>
      <c r="EM37" s="9"/>
      <c r="EN37" s="9"/>
      <c r="EO37" s="9"/>
      <c r="EP37" s="9"/>
      <c r="EQ37" s="9"/>
      <c r="ER37" s="9"/>
      <c r="ES37" s="9"/>
      <c r="ET37" s="9"/>
      <c r="EU37" s="9"/>
      <c r="EV37" s="9"/>
      <c r="EW37" s="9"/>
      <c r="EX37" s="9"/>
      <c r="EY37" s="9"/>
      <c r="EZ37" s="9"/>
      <c r="FA37" s="9"/>
      <c r="FB37" s="9"/>
      <c r="FC37" s="9"/>
      <c r="FD37" s="9"/>
      <c r="FE37" s="9"/>
      <c r="FF37" s="9"/>
      <c r="FG37" s="9"/>
      <c r="FH37" s="9"/>
      <c r="FI37" s="9"/>
      <c r="FJ37" s="9"/>
      <c r="FK37" s="9"/>
      <c r="FL37" s="9"/>
      <c r="FM37" s="9"/>
      <c r="FN37" s="9"/>
      <c r="FO37" s="9"/>
      <c r="FP37" s="9"/>
      <c r="FQ37" s="9"/>
      <c r="FR37" s="9"/>
      <c r="FS37" s="9"/>
      <c r="FT37" s="9"/>
      <c r="FU37" s="9"/>
      <c r="FV37" s="9"/>
      <c r="FW37" s="9"/>
      <c r="FX37" s="9"/>
      <c r="FY37" s="9"/>
      <c r="FZ37" s="9"/>
      <c r="GA37" s="9"/>
      <c r="GB37" s="9"/>
      <c r="GC37" s="9"/>
      <c r="GD37" s="9"/>
      <c r="GE37" s="9"/>
      <c r="GF37" s="9"/>
      <c r="GG37" s="9"/>
      <c r="GH37" s="9"/>
      <c r="GI37" s="9"/>
      <c r="GJ37" s="9"/>
      <c r="GK37" s="9"/>
      <c r="GL37" s="9"/>
      <c r="GM37" s="9"/>
      <c r="GN37" s="9"/>
      <c r="GO37" s="9"/>
      <c r="GP37" s="9"/>
      <c r="GQ37" s="9"/>
      <c r="GR37" s="9"/>
      <c r="GS37" s="9"/>
      <c r="GT37" s="9"/>
      <c r="GU37" s="9"/>
      <c r="GV37" s="9"/>
      <c r="GW37" s="9"/>
      <c r="GX37" s="9"/>
      <c r="GY37" s="9"/>
      <c r="GZ37" s="9"/>
      <c r="HA37" s="9"/>
      <c r="HB37" s="9"/>
      <c r="HC37" s="9"/>
      <c r="HD37" s="9"/>
      <c r="HE37" s="9"/>
      <c r="HF37" s="9"/>
      <c r="HG37" s="9"/>
      <c r="HH37" s="9"/>
      <c r="HI37" s="9"/>
      <c r="HJ37" s="9"/>
      <c r="HK37" s="9"/>
      <c r="HL37" s="9"/>
      <c r="HM37" s="9"/>
      <c r="HN37" s="9"/>
      <c r="HO37" s="9"/>
      <c r="HP37" s="9"/>
      <c r="HQ37" s="9"/>
      <c r="HR37" s="9"/>
      <c r="HS37" s="9"/>
      <c r="HT37" s="9"/>
      <c r="HU37" s="9"/>
      <c r="HV37" s="9"/>
      <c r="HW37" s="9"/>
      <c r="HX37" s="9"/>
      <c r="HY37" s="9"/>
      <c r="HZ37" s="9"/>
      <c r="IA37" s="9"/>
      <c r="IB37" s="9"/>
      <c r="IC37" s="9"/>
      <c r="ID37" s="9"/>
      <c r="IE37" s="9"/>
      <c r="IF37" s="9"/>
      <c r="IG37" s="9"/>
      <c r="IH37" s="9"/>
      <c r="II37" s="9"/>
      <c r="IJ37" s="9"/>
      <c r="IK37" s="9"/>
      <c r="IL37" s="9"/>
      <c r="IM37" s="9"/>
      <c r="IN37" s="9"/>
      <c r="IO37" s="9"/>
      <c r="IP37" s="9"/>
      <c r="IQ37" s="9"/>
      <c r="IR37" s="9"/>
      <c r="IS37" s="9"/>
      <c r="IT37" s="9"/>
      <c r="IU37" s="9"/>
      <c r="IV37" s="9"/>
    </row>
    <row r="38" spans="1:256" x14ac:dyDescent="0.2">
      <c r="A38" s="5" t="str">
        <f>X38</f>
        <v xml:space="preserve">  EBITDA (GAPP)</v>
      </c>
      <c r="B38" s="5"/>
      <c r="C38" s="19">
        <f t="shared" ref="C38:R38" si="9">C37+C92+C93</f>
        <v>93466</v>
      </c>
      <c r="D38" s="19">
        <f t="shared" si="9"/>
        <v>226359</v>
      </c>
      <c r="E38" s="19">
        <f t="shared" si="9"/>
        <v>534836</v>
      </c>
      <c r="F38" s="19">
        <f t="shared" si="9"/>
        <v>841505</v>
      </c>
      <c r="G38" s="19">
        <f t="shared" si="9"/>
        <v>617372</v>
      </c>
      <c r="H38" s="19">
        <f t="shared" si="9"/>
        <v>958428</v>
      </c>
      <c r="I38" s="19">
        <f t="shared" si="9"/>
        <v>1453198</v>
      </c>
      <c r="J38" s="19">
        <f t="shared" si="9"/>
        <v>1800972</v>
      </c>
      <c r="K38" s="19">
        <f t="shared" si="9"/>
        <v>2179962</v>
      </c>
      <c r="L38" s="19">
        <f t="shared" si="9"/>
        <v>1363051</v>
      </c>
      <c r="M38" s="19">
        <f t="shared" si="9"/>
        <v>1485845</v>
      </c>
      <c r="N38" s="19">
        <f t="shared" si="9"/>
        <v>3425061</v>
      </c>
      <c r="O38" s="19">
        <f t="shared" si="9"/>
        <v>5837578</v>
      </c>
      <c r="P38" s="19">
        <f t="shared" si="9"/>
        <v>7673803</v>
      </c>
      <c r="Q38" s="19">
        <f t="shared" si="9"/>
        <v>10305216</v>
      </c>
      <c r="R38" s="19">
        <f t="shared" si="9"/>
        <v>16527079</v>
      </c>
      <c r="S38" s="19">
        <f>'Disclosed financials'!AQ106</f>
        <v>22.764682000000001</v>
      </c>
      <c r="T38" s="26">
        <f>'Disclosed financials'!AR106</f>
        <v>28.533999999999967</v>
      </c>
      <c r="U38" s="26">
        <f>'Disclosed financials'!AS106</f>
        <v>37.306000000000012</v>
      </c>
      <c r="V38" s="26">
        <f>'Disclosed financials'!AT106</f>
        <v>41.728999999999921</v>
      </c>
      <c r="X38" s="5" t="s">
        <v>1064</v>
      </c>
      <c r="Y38" s="19">
        <f>Y37+Y92+Y93</f>
        <v>18286</v>
      </c>
      <c r="Z38" s="19">
        <f t="shared" ref="Z38:AA38" si="10">Z37+Z92+Z93</f>
        <v>23443</v>
      </c>
      <c r="AA38" s="19">
        <f t="shared" si="10"/>
        <v>16409</v>
      </c>
      <c r="AE38" s="9"/>
      <c r="AF38" s="9"/>
      <c r="AG38" s="9"/>
      <c r="AH38" s="9"/>
      <c r="AI38" s="9"/>
      <c r="AJ38" s="9"/>
      <c r="AK38" s="9"/>
      <c r="AL38" s="9"/>
      <c r="AM38" s="9"/>
      <c r="AN38" s="9"/>
      <c r="AO38" s="9"/>
      <c r="AP38" s="9"/>
      <c r="AQ38" s="9"/>
      <c r="AR38" s="9"/>
      <c r="AS38" s="9"/>
      <c r="AT38" s="9"/>
      <c r="AU38" s="9"/>
      <c r="AV38" s="9"/>
      <c r="AW38" s="9"/>
      <c r="AX38" s="9"/>
      <c r="AY38" s="9"/>
      <c r="AZ38" s="9"/>
      <c r="BA38" s="9"/>
      <c r="BB38" s="9"/>
      <c r="BC38" s="9"/>
      <c r="BD38" s="9"/>
      <c r="BE38" s="9"/>
      <c r="BF38" s="9"/>
      <c r="BG38" s="9"/>
      <c r="BH38" s="9"/>
      <c r="BI38" s="9"/>
      <c r="BJ38" s="9"/>
      <c r="BK38" s="9"/>
      <c r="BL38" s="9"/>
      <c r="BM38" s="9"/>
      <c r="BN38" s="9"/>
      <c r="BO38" s="9"/>
      <c r="BP38" s="9"/>
      <c r="BQ38" s="9"/>
      <c r="BR38" s="9"/>
      <c r="BS38" s="9"/>
      <c r="BT38" s="9"/>
      <c r="BU38" s="9"/>
      <c r="BV38" s="9"/>
      <c r="BW38" s="9"/>
      <c r="BX38" s="9"/>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c r="DC38" s="9"/>
      <c r="DD38" s="9"/>
      <c r="DE38" s="9"/>
      <c r="DF38" s="9"/>
      <c r="DG38" s="9"/>
      <c r="DH38" s="9"/>
      <c r="DI38" s="9"/>
      <c r="DJ38" s="9"/>
      <c r="DK38" s="9"/>
      <c r="DL38" s="9"/>
      <c r="DM38" s="9"/>
      <c r="DN38" s="9"/>
      <c r="DO38" s="9"/>
      <c r="DP38" s="9"/>
      <c r="DQ38" s="9"/>
      <c r="DR38" s="9"/>
      <c r="DS38" s="9"/>
      <c r="DT38" s="9"/>
      <c r="DU38" s="9"/>
      <c r="DV38" s="9"/>
      <c r="DW38" s="9"/>
      <c r="DX38" s="9"/>
      <c r="DY38" s="9"/>
      <c r="DZ38" s="9"/>
      <c r="EA38" s="9"/>
      <c r="EB38" s="9"/>
      <c r="EC38" s="9"/>
      <c r="ED38" s="9"/>
      <c r="EE38" s="9"/>
      <c r="EF38" s="9"/>
      <c r="EG38" s="9"/>
      <c r="EH38" s="9"/>
      <c r="EI38" s="9"/>
      <c r="EJ38" s="9"/>
      <c r="EK38" s="9"/>
      <c r="EL38" s="9"/>
      <c r="EM38" s="9"/>
      <c r="EN38" s="9"/>
      <c r="EO38" s="9"/>
      <c r="EP38" s="9"/>
      <c r="EQ38" s="9"/>
      <c r="ER38" s="9"/>
      <c r="ES38" s="9"/>
      <c r="ET38" s="9"/>
      <c r="EU38" s="9"/>
      <c r="EV38" s="9"/>
      <c r="EW38" s="9"/>
      <c r="EX38" s="9"/>
      <c r="EY38" s="9"/>
      <c r="EZ38" s="9"/>
      <c r="FA38" s="9"/>
      <c r="FB38" s="9"/>
      <c r="FC38" s="9"/>
      <c r="FD38" s="9"/>
      <c r="FE38" s="9"/>
      <c r="FF38" s="9"/>
      <c r="FG38" s="9"/>
      <c r="FH38" s="9"/>
      <c r="FI38" s="9"/>
      <c r="FJ38" s="9"/>
      <c r="FK38" s="9"/>
      <c r="FL38" s="9"/>
      <c r="FM38" s="9"/>
      <c r="FN38" s="9"/>
      <c r="FO38" s="9"/>
      <c r="FP38" s="9"/>
      <c r="FQ38" s="9"/>
      <c r="FR38" s="9"/>
      <c r="FS38" s="9"/>
      <c r="FT38" s="9"/>
      <c r="FU38" s="9"/>
      <c r="FV38" s="9"/>
      <c r="FW38" s="9"/>
      <c r="FX38" s="9"/>
      <c r="FY38" s="9"/>
      <c r="FZ38" s="9"/>
      <c r="GA38" s="9"/>
      <c r="GB38" s="9"/>
      <c r="GC38" s="9"/>
      <c r="GD38" s="9"/>
      <c r="GE38" s="9"/>
      <c r="GF38" s="9"/>
      <c r="GG38" s="9"/>
      <c r="GH38" s="9"/>
      <c r="GI38" s="9"/>
      <c r="GJ38" s="9"/>
      <c r="GK38" s="9"/>
      <c r="GL38" s="9"/>
      <c r="GM38" s="9"/>
      <c r="GN38" s="9"/>
      <c r="GO38" s="9"/>
      <c r="GP38" s="9"/>
      <c r="GQ38" s="9"/>
      <c r="GR38" s="9"/>
      <c r="GS38" s="9"/>
      <c r="GT38" s="9"/>
      <c r="GU38" s="9"/>
      <c r="GV38" s="9"/>
      <c r="GW38" s="9"/>
      <c r="GX38" s="9"/>
      <c r="GY38" s="9"/>
      <c r="GZ38" s="9"/>
      <c r="HA38" s="9"/>
      <c r="HB38" s="9"/>
      <c r="HC38" s="9"/>
      <c r="HD38" s="9"/>
      <c r="HE38" s="9"/>
      <c r="HF38" s="9"/>
      <c r="HG38" s="9"/>
      <c r="HH38" s="9"/>
      <c r="HI38" s="9"/>
      <c r="HJ38" s="9"/>
      <c r="HK38" s="9"/>
      <c r="HL38" s="9"/>
      <c r="HM38" s="9"/>
      <c r="HN38" s="9"/>
      <c r="HO38" s="9"/>
      <c r="HP38" s="9"/>
      <c r="HQ38" s="9"/>
      <c r="HR38" s="9"/>
      <c r="HS38" s="9"/>
      <c r="HT38" s="9"/>
      <c r="HU38" s="9"/>
      <c r="HV38" s="9"/>
      <c r="HW38" s="9"/>
      <c r="HX38" s="9"/>
      <c r="HY38" s="9"/>
      <c r="HZ38" s="9"/>
      <c r="IA38" s="9"/>
      <c r="IB38" s="9"/>
      <c r="IC38" s="9"/>
      <c r="ID38" s="9"/>
      <c r="IE38" s="9"/>
      <c r="IF38" s="9"/>
      <c r="IG38" s="9"/>
      <c r="IH38" s="9"/>
      <c r="II38" s="9"/>
      <c r="IJ38" s="9"/>
      <c r="IK38" s="9"/>
      <c r="IL38" s="9"/>
      <c r="IM38" s="9"/>
      <c r="IN38" s="9"/>
      <c r="IO38" s="9"/>
      <c r="IP38" s="9"/>
      <c r="IQ38" s="9"/>
      <c r="IR38" s="9"/>
      <c r="IS38" s="9"/>
      <c r="IT38" s="9"/>
      <c r="IU38" s="9"/>
      <c r="IV38" s="9"/>
    </row>
    <row r="39" spans="1:256" x14ac:dyDescent="0.2">
      <c r="A39" s="29"/>
      <c r="B39" s="29"/>
      <c r="C39" s="153"/>
      <c r="D39" s="153"/>
      <c r="E39" s="153"/>
      <c r="F39" s="153"/>
      <c r="G39" s="153"/>
      <c r="H39" s="153"/>
      <c r="I39" s="153"/>
      <c r="J39" s="153"/>
      <c r="K39" s="153"/>
      <c r="L39" s="153"/>
      <c r="M39" s="153"/>
      <c r="N39" s="153"/>
      <c r="O39" s="153"/>
      <c r="P39" s="153"/>
      <c r="Q39" s="153"/>
      <c r="R39" s="153"/>
      <c r="S39" s="153"/>
      <c r="T39" s="153"/>
      <c r="U39" s="153"/>
      <c r="V39" s="153"/>
      <c r="X39" s="29"/>
      <c r="Y39" s="29"/>
      <c r="Z39" s="29"/>
      <c r="AA39" s="29"/>
    </row>
    <row r="40" spans="1:256" s="149" customFormat="1" ht="10.5" x14ac:dyDescent="0.2">
      <c r="A40" s="147" t="s">
        <v>919</v>
      </c>
      <c r="B40" s="147"/>
      <c r="C40" s="154"/>
      <c r="D40" s="154"/>
      <c r="E40" s="154"/>
      <c r="F40" s="154"/>
      <c r="G40" s="154"/>
      <c r="H40" s="154"/>
      <c r="I40" s="154"/>
      <c r="J40" s="154"/>
      <c r="K40" s="154"/>
      <c r="L40" s="154"/>
      <c r="M40" s="154"/>
      <c r="N40" s="154"/>
      <c r="O40" s="154"/>
      <c r="P40" s="154"/>
      <c r="Q40" s="154"/>
      <c r="R40" s="154"/>
      <c r="S40" s="154"/>
      <c r="T40" s="154"/>
      <c r="U40" s="154"/>
      <c r="V40" s="154"/>
      <c r="X40" s="147" t="s">
        <v>919</v>
      </c>
      <c r="Y40" s="148"/>
      <c r="Z40" s="148"/>
      <c r="AA40" s="148"/>
    </row>
    <row r="41" spans="1:256" ht="10.5" hidden="1" outlineLevel="1" x14ac:dyDescent="0.2">
      <c r="A41" s="14" t="s">
        <v>1065</v>
      </c>
      <c r="B41" s="14"/>
      <c r="C41" s="151">
        <v>35277</v>
      </c>
      <c r="D41" s="151">
        <v>35642</v>
      </c>
      <c r="E41" s="151">
        <v>36007</v>
      </c>
      <c r="F41" s="151">
        <v>36372</v>
      </c>
      <c r="G41" s="151">
        <v>36738</v>
      </c>
      <c r="H41" s="151">
        <v>37103</v>
      </c>
      <c r="I41" s="151">
        <v>37468</v>
      </c>
      <c r="J41" s="151">
        <v>37833</v>
      </c>
      <c r="K41" s="151">
        <v>38199</v>
      </c>
      <c r="L41" s="151">
        <v>38564</v>
      </c>
      <c r="M41" s="151">
        <v>38929</v>
      </c>
      <c r="N41" s="151">
        <v>39294</v>
      </c>
      <c r="O41" s="151">
        <v>39660</v>
      </c>
      <c r="P41" s="151">
        <v>40025</v>
      </c>
      <c r="Q41" s="151">
        <v>40390</v>
      </c>
      <c r="R41" s="151">
        <v>40755</v>
      </c>
      <c r="S41" s="151">
        <v>41122</v>
      </c>
      <c r="T41" s="151">
        <v>41486</v>
      </c>
      <c r="U41" s="151">
        <v>41851</v>
      </c>
      <c r="V41" s="151">
        <v>42216</v>
      </c>
      <c r="X41" s="14" t="s">
        <v>1065</v>
      </c>
      <c r="Y41" s="5">
        <v>42035</v>
      </c>
      <c r="Z41" s="5">
        <v>42216</v>
      </c>
      <c r="AA41" s="5">
        <v>42400</v>
      </c>
    </row>
    <row r="42" spans="1:256" ht="10.5" hidden="1" outlineLevel="1" x14ac:dyDescent="0.2">
      <c r="A42" s="14" t="s">
        <v>1035</v>
      </c>
      <c r="B42" s="14"/>
      <c r="C42" s="151" t="s">
        <v>88</v>
      </c>
      <c r="D42" s="151" t="s">
        <v>88</v>
      </c>
      <c r="E42" s="151" t="s">
        <v>88</v>
      </c>
      <c r="F42" s="151" t="s">
        <v>88</v>
      </c>
      <c r="G42" s="151" t="s">
        <v>88</v>
      </c>
      <c r="H42" s="151" t="s">
        <v>88</v>
      </c>
      <c r="I42" s="151" t="s">
        <v>88</v>
      </c>
      <c r="J42" s="151" t="s">
        <v>88</v>
      </c>
      <c r="K42" s="151" t="s">
        <v>88</v>
      </c>
      <c r="L42" s="151" t="s">
        <v>88</v>
      </c>
      <c r="M42" s="151" t="s">
        <v>88</v>
      </c>
      <c r="N42" s="151" t="s">
        <v>88</v>
      </c>
      <c r="O42" s="151" t="s">
        <v>88</v>
      </c>
      <c r="P42" s="151" t="s">
        <v>88</v>
      </c>
      <c r="Q42" s="151" t="s">
        <v>88</v>
      </c>
      <c r="R42" s="151" t="s">
        <v>88</v>
      </c>
      <c r="S42" s="151" t="s">
        <v>88</v>
      </c>
      <c r="T42" s="151" t="s">
        <v>88</v>
      </c>
      <c r="U42" s="151" t="s">
        <v>88</v>
      </c>
      <c r="V42" s="151" t="s">
        <v>88</v>
      </c>
      <c r="X42" s="14" t="s">
        <v>1035</v>
      </c>
      <c r="Y42" s="5" t="s">
        <v>88</v>
      </c>
      <c r="Z42" s="5" t="s">
        <v>88</v>
      </c>
      <c r="AA42" s="5" t="s">
        <v>88</v>
      </c>
    </row>
    <row r="43" spans="1:256" ht="10.5" hidden="1" outlineLevel="1" x14ac:dyDescent="0.2">
      <c r="A43" s="14" t="s">
        <v>1036</v>
      </c>
      <c r="B43" s="14"/>
      <c r="C43" s="151" t="s">
        <v>1037</v>
      </c>
      <c r="D43" s="151" t="s">
        <v>1037</v>
      </c>
      <c r="E43" s="151" t="s">
        <v>1037</v>
      </c>
      <c r="F43" s="151" t="s">
        <v>1037</v>
      </c>
      <c r="G43" s="151" t="s">
        <v>1037</v>
      </c>
      <c r="H43" s="151" t="s">
        <v>1037</v>
      </c>
      <c r="I43" s="151" t="s">
        <v>1037</v>
      </c>
      <c r="J43" s="151" t="s">
        <v>1037</v>
      </c>
      <c r="K43" s="151" t="s">
        <v>1037</v>
      </c>
      <c r="L43" s="151" t="s">
        <v>1037</v>
      </c>
      <c r="M43" s="151" t="s">
        <v>1037</v>
      </c>
      <c r="N43" s="151" t="s">
        <v>1037</v>
      </c>
      <c r="O43" s="151" t="s">
        <v>1037</v>
      </c>
      <c r="P43" s="151" t="s">
        <v>1037</v>
      </c>
      <c r="Q43" s="151" t="s">
        <v>1037</v>
      </c>
      <c r="R43" s="151" t="s">
        <v>1037</v>
      </c>
      <c r="S43" s="151" t="s">
        <v>1037</v>
      </c>
      <c r="T43" s="151" t="s">
        <v>1037</v>
      </c>
      <c r="U43" s="151" t="s">
        <v>1038</v>
      </c>
      <c r="V43" s="151" t="s">
        <v>1038</v>
      </c>
      <c r="X43" s="14" t="s">
        <v>1036</v>
      </c>
      <c r="Y43" s="5" t="s">
        <v>1038</v>
      </c>
      <c r="Z43" s="5" t="s">
        <v>1038</v>
      </c>
      <c r="AA43" s="5" t="s">
        <v>1038</v>
      </c>
    </row>
    <row r="44" spans="1:256" ht="10.5" collapsed="1" x14ac:dyDescent="0.2">
      <c r="A44" s="14" t="s">
        <v>315</v>
      </c>
      <c r="B44" s="14"/>
      <c r="C44" s="151"/>
      <c r="D44" s="151"/>
      <c r="E44" s="151"/>
      <c r="F44" s="151"/>
      <c r="G44" s="151"/>
      <c r="H44" s="151"/>
      <c r="I44" s="151"/>
      <c r="J44" s="151"/>
      <c r="K44" s="151"/>
      <c r="L44" s="151"/>
      <c r="M44" s="151"/>
      <c r="N44" s="151"/>
      <c r="O44" s="151"/>
      <c r="P44" s="151"/>
      <c r="Q44" s="151"/>
      <c r="R44" s="151"/>
      <c r="S44" s="151"/>
      <c r="T44" s="151"/>
      <c r="U44" s="151"/>
      <c r="V44" s="151"/>
      <c r="X44" s="14" t="s">
        <v>315</v>
      </c>
      <c r="Y44" s="5"/>
      <c r="Z44" s="5"/>
      <c r="AA44" s="5"/>
    </row>
    <row r="45" spans="1:256" x14ac:dyDescent="0.2">
      <c r="A45" s="5" t="s">
        <v>1066</v>
      </c>
      <c r="B45" s="5"/>
      <c r="C45" s="26">
        <v>69</v>
      </c>
      <c r="D45" s="26">
        <v>45954</v>
      </c>
      <c r="E45" s="26">
        <v>101925</v>
      </c>
      <c r="F45" s="26">
        <v>7160</v>
      </c>
      <c r="G45" s="26">
        <v>21426</v>
      </c>
      <c r="H45" s="26">
        <v>8690</v>
      </c>
      <c r="I45" s="26">
        <v>2094</v>
      </c>
      <c r="J45" s="26">
        <v>1379014</v>
      </c>
      <c r="K45" s="26">
        <v>1791488</v>
      </c>
      <c r="L45" s="26">
        <v>2052517</v>
      </c>
      <c r="M45" s="26">
        <v>2326</v>
      </c>
      <c r="N45" s="26">
        <v>6071432</v>
      </c>
      <c r="O45" s="26">
        <v>10374246</v>
      </c>
      <c r="P45" s="26">
        <v>13633570</v>
      </c>
      <c r="Q45" s="26">
        <v>13675719</v>
      </c>
      <c r="R45" s="26">
        <v>9016085</v>
      </c>
      <c r="S45" s="26">
        <v>12281984</v>
      </c>
      <c r="T45" s="26">
        <v>8675884</v>
      </c>
      <c r="U45" s="26">
        <v>37720</v>
      </c>
      <c r="V45" s="26">
        <v>74642</v>
      </c>
      <c r="X45" s="5" t="s">
        <v>1066</v>
      </c>
      <c r="Y45" s="15">
        <v>37407</v>
      </c>
      <c r="Z45" s="15">
        <v>74642</v>
      </c>
      <c r="AA45" s="15">
        <v>54881</v>
      </c>
      <c r="AC45" s="9"/>
    </row>
    <row r="46" spans="1:256" x14ac:dyDescent="0.2">
      <c r="A46" s="5" t="s">
        <v>1067</v>
      </c>
      <c r="B46" s="5"/>
      <c r="C46" s="26">
        <v>0</v>
      </c>
      <c r="D46" s="26">
        <v>0</v>
      </c>
      <c r="E46" s="26">
        <v>0</v>
      </c>
      <c r="F46" s="26">
        <v>0</v>
      </c>
      <c r="G46" s="26">
        <v>0</v>
      </c>
      <c r="H46" s="26">
        <v>0</v>
      </c>
      <c r="I46" s="26">
        <v>0</v>
      </c>
      <c r="J46" s="26">
        <v>0</v>
      </c>
      <c r="K46" s="26">
        <v>0</v>
      </c>
      <c r="L46" s="26">
        <v>0</v>
      </c>
      <c r="M46" s="26">
        <v>0</v>
      </c>
      <c r="N46" s="26">
        <v>0</v>
      </c>
      <c r="O46" s="26">
        <v>0</v>
      </c>
      <c r="P46" s="26">
        <v>0</v>
      </c>
      <c r="Q46" s="26">
        <v>0</v>
      </c>
      <c r="R46" s="26">
        <v>0</v>
      </c>
      <c r="S46" s="26">
        <v>71902552</v>
      </c>
      <c r="T46" s="26">
        <v>86662145</v>
      </c>
      <c r="U46" s="26">
        <v>100195</v>
      </c>
      <c r="V46" s="26">
        <v>121952</v>
      </c>
      <c r="X46" s="5" t="s">
        <v>1067</v>
      </c>
      <c r="Y46" s="15">
        <v>112038</v>
      </c>
      <c r="Z46" s="15">
        <v>121952</v>
      </c>
      <c r="AA46" s="15">
        <v>113473</v>
      </c>
    </row>
    <row r="47" spans="1:256" x14ac:dyDescent="0.2">
      <c r="A47" s="5" t="s">
        <v>1068</v>
      </c>
      <c r="B47" s="5"/>
      <c r="C47" s="26">
        <v>588869</v>
      </c>
      <c r="D47" s="26">
        <v>1257294</v>
      </c>
      <c r="E47" s="26">
        <v>2322219</v>
      </c>
      <c r="F47" s="26">
        <v>4477381</v>
      </c>
      <c r="G47" s="26">
        <v>5778766</v>
      </c>
      <c r="H47" s="26">
        <v>7028905</v>
      </c>
      <c r="I47" s="26">
        <v>16722295</v>
      </c>
      <c r="J47" s="26">
        <v>10161259</v>
      </c>
      <c r="K47" s="26">
        <v>13687734</v>
      </c>
      <c r="L47" s="26">
        <v>13646055</v>
      </c>
      <c r="M47" s="26">
        <v>15766052</v>
      </c>
      <c r="N47" s="26">
        <v>19372043</v>
      </c>
      <c r="O47" s="26">
        <v>19731705</v>
      </c>
      <c r="P47" s="26">
        <v>20752228</v>
      </c>
      <c r="Q47" s="26">
        <v>30100736</v>
      </c>
      <c r="R47" s="26">
        <v>49007102</v>
      </c>
      <c r="S47" s="26">
        <v>0</v>
      </c>
      <c r="T47" s="26">
        <v>0</v>
      </c>
      <c r="U47" s="26">
        <v>0</v>
      </c>
      <c r="V47" s="26">
        <v>0</v>
      </c>
      <c r="X47" s="5" t="s">
        <v>1068</v>
      </c>
      <c r="Y47" s="15">
        <v>0</v>
      </c>
      <c r="Z47" s="15">
        <v>0</v>
      </c>
      <c r="AA47" s="15">
        <v>0</v>
      </c>
      <c r="AB47" s="9"/>
    </row>
    <row r="48" spans="1:256" x14ac:dyDescent="0.2">
      <c r="A48" s="5" t="s">
        <v>1069</v>
      </c>
      <c r="B48" s="5"/>
      <c r="C48" s="26">
        <v>0</v>
      </c>
      <c r="D48" s="26">
        <v>0</v>
      </c>
      <c r="E48" s="26">
        <v>0</v>
      </c>
      <c r="F48" s="26">
        <v>0</v>
      </c>
      <c r="G48" s="26">
        <v>0</v>
      </c>
      <c r="H48" s="26">
        <v>0</v>
      </c>
      <c r="I48" s="26">
        <v>0</v>
      </c>
      <c r="J48" s="26">
        <v>0</v>
      </c>
      <c r="K48" s="26">
        <v>0</v>
      </c>
      <c r="L48" s="26">
        <v>0</v>
      </c>
      <c r="M48" s="26">
        <v>0</v>
      </c>
      <c r="N48" s="26">
        <v>0</v>
      </c>
      <c r="O48" s="26">
        <v>0</v>
      </c>
      <c r="P48" s="26">
        <v>0</v>
      </c>
      <c r="Q48" s="26">
        <v>0</v>
      </c>
      <c r="R48" s="26">
        <v>0</v>
      </c>
      <c r="S48" s="26">
        <v>159570</v>
      </c>
      <c r="T48" s="26">
        <v>159570</v>
      </c>
      <c r="U48" s="26">
        <v>0</v>
      </c>
      <c r="V48" s="26">
        <v>0</v>
      </c>
      <c r="X48" s="5" t="s">
        <v>1069</v>
      </c>
      <c r="Y48" s="15">
        <v>0</v>
      </c>
      <c r="Z48" s="15">
        <v>0</v>
      </c>
      <c r="AA48" s="15">
        <v>0</v>
      </c>
    </row>
    <row r="49" spans="1:27" s="149" customFormat="1" x14ac:dyDescent="0.2">
      <c r="A49" s="5" t="s">
        <v>1070</v>
      </c>
      <c r="B49" s="5"/>
      <c r="C49" s="157">
        <v>155582</v>
      </c>
      <c r="D49" s="157">
        <v>54738</v>
      </c>
      <c r="E49" s="157">
        <v>63942</v>
      </c>
      <c r="F49" s="157">
        <v>46999</v>
      </c>
      <c r="G49" s="157">
        <v>171540</v>
      </c>
      <c r="H49" s="157">
        <v>335138</v>
      </c>
      <c r="I49" s="157">
        <v>1279763</v>
      </c>
      <c r="J49" s="157">
        <v>288716</v>
      </c>
      <c r="K49" s="157">
        <v>245164</v>
      </c>
      <c r="L49" s="157">
        <v>250696</v>
      </c>
      <c r="M49" s="157">
        <v>171166</v>
      </c>
      <c r="N49" s="157">
        <v>403391</v>
      </c>
      <c r="O49" s="157">
        <v>402575</v>
      </c>
      <c r="P49" s="157">
        <v>263902</v>
      </c>
      <c r="Q49" s="157">
        <v>831215</v>
      </c>
      <c r="R49" s="157">
        <v>1040369</v>
      </c>
      <c r="S49" s="157">
        <v>2007397</v>
      </c>
      <c r="T49" s="157">
        <v>4278860</v>
      </c>
      <c r="U49" s="157">
        <v>4481</v>
      </c>
      <c r="V49" s="157">
        <v>2652</v>
      </c>
      <c r="X49" s="5" t="s">
        <v>1070</v>
      </c>
      <c r="Y49" s="158">
        <v>2238</v>
      </c>
      <c r="Z49" s="158">
        <v>2652</v>
      </c>
      <c r="AA49" s="158">
        <v>3922</v>
      </c>
    </row>
    <row r="50" spans="1:27" ht="10.5" x14ac:dyDescent="0.2">
      <c r="A50" s="14" t="s">
        <v>1071</v>
      </c>
      <c r="B50" s="14"/>
      <c r="C50" s="152">
        <v>744520</v>
      </c>
      <c r="D50" s="152">
        <v>1357986</v>
      </c>
      <c r="E50" s="152">
        <v>2488086</v>
      </c>
      <c r="F50" s="152">
        <v>4531540</v>
      </c>
      <c r="G50" s="152">
        <v>5971732</v>
      </c>
      <c r="H50" s="152">
        <f>SUM(H45:H49)</f>
        <v>7372733</v>
      </c>
      <c r="I50" s="152">
        <f t="shared" ref="I50:J50" si="11">SUM(I45:I49)</f>
        <v>18004152</v>
      </c>
      <c r="J50" s="152">
        <f t="shared" si="11"/>
        <v>11828989</v>
      </c>
      <c r="K50" s="152">
        <v>15724386</v>
      </c>
      <c r="L50" s="152">
        <v>15949268</v>
      </c>
      <c r="M50" s="152">
        <v>15939544</v>
      </c>
      <c r="N50" s="152">
        <v>0</v>
      </c>
      <c r="O50" s="152">
        <v>30508526</v>
      </c>
      <c r="P50" s="152">
        <v>34649700</v>
      </c>
      <c r="Q50" s="152">
        <v>44607670</v>
      </c>
      <c r="R50" s="152">
        <v>59063556</v>
      </c>
      <c r="S50" s="152">
        <v>86351503</v>
      </c>
      <c r="T50" s="152">
        <v>99776459</v>
      </c>
      <c r="U50" s="152">
        <v>142396</v>
      </c>
      <c r="V50" s="152">
        <v>199246</v>
      </c>
      <c r="X50" s="14" t="s">
        <v>1071</v>
      </c>
      <c r="Y50" s="17">
        <v>151683</v>
      </c>
      <c r="Z50" s="17">
        <v>199246</v>
      </c>
      <c r="AA50" s="17">
        <v>172276</v>
      </c>
    </row>
    <row r="51" spans="1:27" x14ac:dyDescent="0.2">
      <c r="A51" s="5"/>
      <c r="B51" s="5"/>
      <c r="C51" s="151"/>
      <c r="D51" s="151"/>
      <c r="E51" s="151"/>
      <c r="F51" s="151"/>
      <c r="G51" s="151"/>
      <c r="H51" s="151"/>
      <c r="I51" s="151"/>
      <c r="J51" s="151"/>
      <c r="K51" s="151"/>
      <c r="L51" s="151"/>
      <c r="M51" s="151"/>
      <c r="N51" s="151"/>
      <c r="O51" s="151"/>
      <c r="P51" s="151"/>
      <c r="Q51" s="151"/>
      <c r="R51" s="151"/>
      <c r="S51" s="151"/>
      <c r="T51" s="151"/>
      <c r="U51" s="151"/>
      <c r="V51" s="151"/>
      <c r="X51" s="5"/>
      <c r="Y51" s="5"/>
      <c r="Z51" s="5"/>
      <c r="AA51" s="5"/>
    </row>
    <row r="52" spans="1:27" ht="10.5" x14ac:dyDescent="0.2">
      <c r="A52" s="14" t="s">
        <v>1072</v>
      </c>
      <c r="B52" s="14"/>
      <c r="C52" s="151"/>
      <c r="D52" s="151"/>
      <c r="E52" s="151"/>
      <c r="F52" s="151"/>
      <c r="G52" s="151"/>
      <c r="H52" s="151"/>
      <c r="I52" s="151"/>
      <c r="J52" s="151"/>
      <c r="K52" s="151"/>
      <c r="L52" s="151"/>
      <c r="M52" s="151"/>
      <c r="N52" s="151"/>
      <c r="O52" s="151"/>
      <c r="P52" s="151"/>
      <c r="Q52" s="151"/>
      <c r="R52" s="151"/>
      <c r="S52" s="151"/>
      <c r="T52" s="151"/>
      <c r="U52" s="151"/>
      <c r="V52" s="151"/>
      <c r="X52" s="14" t="s">
        <v>1072</v>
      </c>
      <c r="Y52" s="5"/>
      <c r="Z52" s="5"/>
      <c r="AA52" s="5"/>
    </row>
    <row r="53" spans="1:27" x14ac:dyDescent="0.2">
      <c r="A53" s="5" t="s">
        <v>1073</v>
      </c>
      <c r="B53" s="5"/>
      <c r="C53" s="26">
        <v>0</v>
      </c>
      <c r="D53" s="26">
        <v>0</v>
      </c>
      <c r="E53" s="26">
        <v>0</v>
      </c>
      <c r="F53" s="26">
        <v>0</v>
      </c>
      <c r="G53" s="26">
        <v>0</v>
      </c>
      <c r="H53" s="26">
        <v>0</v>
      </c>
      <c r="I53" s="26">
        <v>0</v>
      </c>
      <c r="J53" s="26">
        <v>0</v>
      </c>
      <c r="K53" s="26">
        <v>0</v>
      </c>
      <c r="L53" s="26">
        <v>0</v>
      </c>
      <c r="M53" s="26">
        <v>0</v>
      </c>
      <c r="N53" s="26">
        <v>0</v>
      </c>
      <c r="O53" s="26">
        <v>0</v>
      </c>
      <c r="P53" s="26">
        <v>0</v>
      </c>
      <c r="Q53" s="26">
        <v>0</v>
      </c>
      <c r="R53" s="26">
        <v>0</v>
      </c>
      <c r="S53" s="26">
        <v>4696736</v>
      </c>
      <c r="T53" s="26">
        <v>6350682</v>
      </c>
      <c r="U53" s="26">
        <v>6607</v>
      </c>
      <c r="V53" s="26">
        <v>6997</v>
      </c>
      <c r="X53" s="5" t="s">
        <v>1073</v>
      </c>
      <c r="Y53" s="15">
        <v>6967</v>
      </c>
      <c r="Z53" s="15">
        <v>6997</v>
      </c>
      <c r="AA53" s="15">
        <v>6763</v>
      </c>
    </row>
    <row r="54" spans="1:27" x14ac:dyDescent="0.2">
      <c r="A54" s="5" t="s">
        <v>1074</v>
      </c>
      <c r="B54" s="5"/>
      <c r="C54" s="26">
        <v>121020</v>
      </c>
      <c r="D54" s="26">
        <v>163183</v>
      </c>
      <c r="E54" s="26">
        <v>234353</v>
      </c>
      <c r="F54" s="26">
        <v>273683</v>
      </c>
      <c r="G54" s="26">
        <v>438945</v>
      </c>
      <c r="H54" s="26">
        <v>514579</v>
      </c>
      <c r="I54" s="26">
        <v>376425</v>
      </c>
      <c r="J54" s="26">
        <v>371315</v>
      </c>
      <c r="K54" s="26">
        <v>687328</v>
      </c>
      <c r="L54" s="26">
        <v>612972</v>
      </c>
      <c r="M54" s="26">
        <v>393904</v>
      </c>
      <c r="N54" s="26">
        <v>449250</v>
      </c>
      <c r="O54" s="26">
        <v>569774</v>
      </c>
      <c r="P54" s="26">
        <v>450850</v>
      </c>
      <c r="Q54" s="26">
        <v>369635</v>
      </c>
      <c r="R54" s="26">
        <v>706269</v>
      </c>
      <c r="S54" s="26">
        <v>0</v>
      </c>
      <c r="T54" s="26">
        <v>0</v>
      </c>
      <c r="U54" s="26">
        <v>0</v>
      </c>
      <c r="V54" s="26">
        <v>0</v>
      </c>
      <c r="X54" s="5" t="s">
        <v>1074</v>
      </c>
      <c r="Y54" s="15">
        <v>0</v>
      </c>
      <c r="Z54" s="15">
        <v>0</v>
      </c>
      <c r="AA54" s="15">
        <v>0</v>
      </c>
    </row>
    <row r="55" spans="1:27" x14ac:dyDescent="0.2">
      <c r="A55" s="5" t="s">
        <v>1075</v>
      </c>
      <c r="B55" s="5"/>
      <c r="C55" s="26">
        <v>0</v>
      </c>
      <c r="D55" s="26">
        <v>8648</v>
      </c>
      <c r="E55" s="26">
        <v>3181</v>
      </c>
      <c r="F55" s="26">
        <v>0</v>
      </c>
      <c r="G55" s="26">
        <v>0</v>
      </c>
      <c r="H55" s="26">
        <v>0</v>
      </c>
      <c r="I55" s="26">
        <v>0</v>
      </c>
      <c r="J55" s="26">
        <v>1324067</v>
      </c>
      <c r="K55" s="26">
        <v>67757</v>
      </c>
      <c r="L55" s="26">
        <v>67757</v>
      </c>
      <c r="M55" s="26">
        <v>67757</v>
      </c>
      <c r="N55" s="26">
        <v>67757</v>
      </c>
      <c r="O55" s="26">
        <v>67757</v>
      </c>
      <c r="P55" s="26">
        <v>67757</v>
      </c>
      <c r="Q55" s="26">
        <v>67757</v>
      </c>
      <c r="R55" s="26">
        <v>5</v>
      </c>
      <c r="S55" s="26">
        <v>0</v>
      </c>
      <c r="T55" s="26">
        <v>0</v>
      </c>
      <c r="U55" s="26">
        <v>0</v>
      </c>
      <c r="V55" s="26">
        <v>0</v>
      </c>
      <c r="X55" s="5" t="s">
        <v>1075</v>
      </c>
      <c r="Y55" s="15">
        <v>0</v>
      </c>
      <c r="Z55" s="15">
        <v>0</v>
      </c>
      <c r="AA55" s="15">
        <v>0</v>
      </c>
    </row>
    <row r="56" spans="1:27" x14ac:dyDescent="0.2">
      <c r="A56" s="5" t="s">
        <v>1076</v>
      </c>
      <c r="B56" s="5"/>
      <c r="C56" s="26">
        <v>0</v>
      </c>
      <c r="D56" s="26">
        <v>0</v>
      </c>
      <c r="E56" s="26">
        <v>0</v>
      </c>
      <c r="F56" s="26">
        <v>0</v>
      </c>
      <c r="G56" s="26">
        <v>0</v>
      </c>
      <c r="H56" s="26">
        <v>0</v>
      </c>
      <c r="I56" s="26">
        <v>0</v>
      </c>
      <c r="J56" s="26">
        <v>0</v>
      </c>
      <c r="K56" s="26">
        <v>0</v>
      </c>
      <c r="L56" s="26">
        <v>0</v>
      </c>
      <c r="M56" s="26">
        <v>0</v>
      </c>
      <c r="N56" s="26">
        <v>0</v>
      </c>
      <c r="O56" s="26">
        <v>0</v>
      </c>
      <c r="P56" s="26">
        <v>0</v>
      </c>
      <c r="Q56" s="26">
        <v>0</v>
      </c>
      <c r="R56" s="26">
        <v>0</v>
      </c>
      <c r="S56" s="26">
        <v>5</v>
      </c>
      <c r="T56" s="26">
        <v>5</v>
      </c>
      <c r="U56" s="26">
        <v>0</v>
      </c>
      <c r="V56" s="26">
        <v>0</v>
      </c>
      <c r="X56" s="5" t="s">
        <v>1076</v>
      </c>
      <c r="Y56" s="15">
        <v>0</v>
      </c>
      <c r="Z56" s="15">
        <v>0</v>
      </c>
      <c r="AA56" s="15">
        <v>0</v>
      </c>
    </row>
    <row r="57" spans="1:27" x14ac:dyDescent="0.2">
      <c r="A57" s="5" t="s">
        <v>1077</v>
      </c>
      <c r="B57" s="5"/>
      <c r="C57" s="26">
        <v>0</v>
      </c>
      <c r="D57" s="26">
        <v>0</v>
      </c>
      <c r="E57" s="26">
        <v>0</v>
      </c>
      <c r="F57" s="26">
        <v>0</v>
      </c>
      <c r="G57" s="26">
        <v>0</v>
      </c>
      <c r="H57" s="26">
        <v>0</v>
      </c>
      <c r="I57" s="26">
        <v>0</v>
      </c>
      <c r="J57" s="26">
        <v>0</v>
      </c>
      <c r="K57" s="26">
        <v>0</v>
      </c>
      <c r="L57" s="26">
        <v>0</v>
      </c>
      <c r="M57" s="26">
        <v>0</v>
      </c>
      <c r="N57" s="26">
        <v>0</v>
      </c>
      <c r="O57" s="26">
        <v>0</v>
      </c>
      <c r="P57" s="26">
        <v>0</v>
      </c>
      <c r="Q57" s="26">
        <v>0</v>
      </c>
      <c r="R57" s="26">
        <v>0</v>
      </c>
      <c r="S57" s="26">
        <v>1104267</v>
      </c>
      <c r="T57" s="26">
        <v>682744</v>
      </c>
      <c r="U57" s="26">
        <v>535</v>
      </c>
      <c r="V57" s="26">
        <v>678</v>
      </c>
      <c r="X57" s="5" t="s">
        <v>1077</v>
      </c>
      <c r="Y57" s="15">
        <v>596</v>
      </c>
      <c r="Z57" s="15">
        <v>678</v>
      </c>
      <c r="AA57" s="15">
        <v>522</v>
      </c>
    </row>
    <row r="58" spans="1:27" s="149" customFormat="1" x14ac:dyDescent="0.2">
      <c r="A58" s="5" t="s">
        <v>1078</v>
      </c>
      <c r="B58" s="5"/>
      <c r="C58" s="157">
        <v>5553</v>
      </c>
      <c r="D58" s="157">
        <v>0</v>
      </c>
      <c r="E58" s="157">
        <v>0</v>
      </c>
      <c r="F58" s="157">
        <v>0</v>
      </c>
      <c r="G58" s="157">
        <v>0</v>
      </c>
      <c r="H58" s="157">
        <v>0</v>
      </c>
      <c r="I58" s="157">
        <v>464264</v>
      </c>
      <c r="J58" s="157">
        <v>0</v>
      </c>
      <c r="K58" s="157">
        <v>0</v>
      </c>
      <c r="L58" s="157">
        <v>0</v>
      </c>
      <c r="M58" s="157">
        <v>0</v>
      </c>
      <c r="N58" s="157">
        <v>0</v>
      </c>
      <c r="O58" s="157">
        <v>0</v>
      </c>
      <c r="P58" s="157">
        <v>0</v>
      </c>
      <c r="Q58" s="157">
        <v>0</v>
      </c>
      <c r="R58" s="157">
        <v>0</v>
      </c>
      <c r="S58" s="157">
        <v>129210</v>
      </c>
      <c r="T58" s="157">
        <v>405710</v>
      </c>
      <c r="U58" s="157">
        <v>523</v>
      </c>
      <c r="V58" s="157">
        <v>458</v>
      </c>
      <c r="X58" s="5" t="s">
        <v>1078</v>
      </c>
      <c r="Y58" s="158">
        <v>468</v>
      </c>
      <c r="Z58" s="158">
        <v>458</v>
      </c>
      <c r="AA58" s="158">
        <v>632</v>
      </c>
    </row>
    <row r="59" spans="1:27" ht="10.5" x14ac:dyDescent="0.2">
      <c r="A59" s="14" t="s">
        <v>1079</v>
      </c>
      <c r="B59" s="14"/>
      <c r="C59" s="152">
        <v>871093</v>
      </c>
      <c r="D59" s="152">
        <v>1529817</v>
      </c>
      <c r="E59" s="152">
        <v>2725620</v>
      </c>
      <c r="F59" s="152">
        <v>4805223</v>
      </c>
      <c r="G59" s="152">
        <v>6410677</v>
      </c>
      <c r="H59" s="152">
        <v>7887312</v>
      </c>
      <c r="I59" s="152">
        <v>18844841</v>
      </c>
      <c r="J59" s="152">
        <v>13524371</v>
      </c>
      <c r="K59" s="152">
        <v>16479471</v>
      </c>
      <c r="L59" s="152">
        <v>16629997</v>
      </c>
      <c r="M59" s="152">
        <v>16401205</v>
      </c>
      <c r="N59" s="152">
        <v>26363873</v>
      </c>
      <c r="O59" s="152">
        <v>31146057</v>
      </c>
      <c r="P59" s="152">
        <v>35168307</v>
      </c>
      <c r="Q59" s="152">
        <v>45045062</v>
      </c>
      <c r="R59" s="152">
        <v>59769830</v>
      </c>
      <c r="S59" s="152">
        <v>92281721</v>
      </c>
      <c r="T59" s="152">
        <v>107215600</v>
      </c>
      <c r="U59" s="152">
        <v>150061</v>
      </c>
      <c r="V59" s="152">
        <v>207379</v>
      </c>
      <c r="X59" s="14" t="s">
        <v>1079</v>
      </c>
      <c r="Y59" s="17">
        <v>159714</v>
      </c>
      <c r="Z59" s="17">
        <v>207379</v>
      </c>
      <c r="AA59" s="17">
        <v>180193</v>
      </c>
    </row>
    <row r="60" spans="1:27" x14ac:dyDescent="0.2">
      <c r="A60" s="5"/>
      <c r="B60" s="5"/>
      <c r="C60" s="151"/>
      <c r="D60" s="151"/>
      <c r="E60" s="151"/>
      <c r="F60" s="151"/>
      <c r="G60" s="151"/>
      <c r="H60" s="151"/>
      <c r="I60" s="151"/>
      <c r="J60" s="151"/>
      <c r="K60" s="151"/>
      <c r="L60" s="151"/>
      <c r="M60" s="151"/>
      <c r="N60" s="151"/>
      <c r="O60" s="151"/>
      <c r="P60" s="151"/>
      <c r="Q60" s="151"/>
      <c r="R60" s="151"/>
      <c r="S60" s="151"/>
      <c r="T60" s="151"/>
      <c r="U60" s="151"/>
      <c r="V60" s="151"/>
      <c r="X60" s="5"/>
      <c r="Y60" s="5"/>
      <c r="Z60" s="5"/>
      <c r="AA60" s="5"/>
    </row>
    <row r="61" spans="1:27" ht="10.5" x14ac:dyDescent="0.2">
      <c r="A61" s="14" t="s">
        <v>319</v>
      </c>
      <c r="B61" s="14"/>
      <c r="C61" s="151"/>
      <c r="D61" s="151"/>
      <c r="E61" s="151"/>
      <c r="F61" s="151"/>
      <c r="G61" s="151"/>
      <c r="H61" s="151"/>
      <c r="I61" s="151"/>
      <c r="J61" s="151"/>
      <c r="K61" s="151"/>
      <c r="L61" s="151"/>
      <c r="M61" s="151"/>
      <c r="N61" s="151"/>
      <c r="O61" s="151"/>
      <c r="P61" s="151"/>
      <c r="Q61" s="151"/>
      <c r="R61" s="151"/>
      <c r="S61" s="151"/>
      <c r="T61" s="151"/>
      <c r="U61" s="151"/>
      <c r="V61" s="151"/>
      <c r="X61" s="14" t="s">
        <v>319</v>
      </c>
      <c r="Y61" s="5"/>
      <c r="Z61" s="5"/>
      <c r="AA61" s="5"/>
    </row>
    <row r="62" spans="1:27" x14ac:dyDescent="0.2">
      <c r="A62" s="5" t="s">
        <v>1080</v>
      </c>
      <c r="B62" s="5"/>
      <c r="C62" s="26"/>
      <c r="D62" s="26"/>
      <c r="E62" s="26"/>
      <c r="F62" s="26"/>
      <c r="G62" s="26"/>
      <c r="H62" s="26"/>
      <c r="I62" s="26"/>
      <c r="J62" s="26"/>
      <c r="K62" s="26"/>
      <c r="L62" s="26"/>
      <c r="M62" s="26"/>
      <c r="N62" s="26"/>
      <c r="O62" s="26"/>
      <c r="P62" s="26"/>
      <c r="Q62" s="26"/>
      <c r="R62" s="26"/>
      <c r="S62" s="26">
        <v>43456126</v>
      </c>
      <c r="T62" s="26">
        <v>53138465</v>
      </c>
      <c r="U62" s="26">
        <v>74503</v>
      </c>
      <c r="V62" s="26">
        <v>108053</v>
      </c>
      <c r="X62" s="5" t="s">
        <v>1080</v>
      </c>
      <c r="Y62" s="15">
        <v>79543</v>
      </c>
      <c r="Z62" s="15">
        <v>108053</v>
      </c>
      <c r="AA62" s="15">
        <v>108778</v>
      </c>
    </row>
    <row r="63" spans="1:27" x14ac:dyDescent="0.2">
      <c r="A63" s="5" t="s">
        <v>1081</v>
      </c>
      <c r="B63" s="5"/>
      <c r="C63" s="26"/>
      <c r="D63" s="26"/>
      <c r="E63" s="26"/>
      <c r="F63" s="26"/>
      <c r="G63" s="26"/>
      <c r="H63" s="26"/>
      <c r="I63" s="26"/>
      <c r="J63" s="26"/>
      <c r="K63" s="26"/>
      <c r="L63" s="26"/>
      <c r="M63" s="26"/>
      <c r="N63" s="26"/>
      <c r="O63" s="26"/>
      <c r="P63" s="26"/>
      <c r="Q63" s="26"/>
      <c r="R63" s="26"/>
      <c r="S63" s="26">
        <v>2177761</v>
      </c>
      <c r="T63" s="26">
        <v>0</v>
      </c>
      <c r="U63" s="26">
        <v>0</v>
      </c>
      <c r="V63" s="26">
        <v>0</v>
      </c>
      <c r="X63" s="5" t="s">
        <v>1081</v>
      </c>
      <c r="Y63" s="15">
        <v>0</v>
      </c>
      <c r="Z63" s="15">
        <v>0</v>
      </c>
      <c r="AA63" s="15">
        <v>0</v>
      </c>
    </row>
    <row r="64" spans="1:27" x14ac:dyDescent="0.2">
      <c r="A64" s="5" t="s">
        <v>1082</v>
      </c>
      <c r="B64" s="5"/>
      <c r="C64" s="26"/>
      <c r="D64" s="26"/>
      <c r="E64" s="26"/>
      <c r="F64" s="26"/>
      <c r="G64" s="26"/>
      <c r="H64" s="26"/>
      <c r="I64" s="26"/>
      <c r="J64" s="26"/>
      <c r="K64" s="26"/>
      <c r="L64" s="26"/>
      <c r="M64" s="26"/>
      <c r="N64" s="26"/>
      <c r="O64" s="26"/>
      <c r="P64" s="26"/>
      <c r="Q64" s="26"/>
      <c r="R64" s="26"/>
      <c r="S64" s="26">
        <v>4391534</v>
      </c>
      <c r="T64" s="26">
        <v>5633849</v>
      </c>
      <c r="U64" s="26">
        <v>3259</v>
      </c>
      <c r="V64" s="26">
        <v>3510</v>
      </c>
      <c r="X64" s="5" t="s">
        <v>1082</v>
      </c>
      <c r="Y64" s="15">
        <v>2585</v>
      </c>
      <c r="Z64" s="15">
        <v>3510</v>
      </c>
      <c r="AA64" s="15">
        <v>2456</v>
      </c>
    </row>
    <row r="65" spans="1:27" x14ac:dyDescent="0.2">
      <c r="A65" s="5" t="s">
        <v>1083</v>
      </c>
      <c r="B65" s="5"/>
      <c r="C65" s="26"/>
      <c r="D65" s="26"/>
      <c r="E65" s="26"/>
      <c r="F65" s="26"/>
      <c r="G65" s="26"/>
      <c r="H65" s="26"/>
      <c r="I65" s="26"/>
      <c r="J65" s="26"/>
      <c r="K65" s="26"/>
      <c r="L65" s="26"/>
      <c r="M65" s="26"/>
      <c r="N65" s="26"/>
      <c r="O65" s="26"/>
      <c r="P65" s="26"/>
      <c r="Q65" s="26"/>
      <c r="R65" s="26"/>
      <c r="S65" s="26">
        <v>357000</v>
      </c>
      <c r="T65" s="26">
        <v>59500</v>
      </c>
      <c r="U65" s="26">
        <v>0</v>
      </c>
      <c r="V65" s="26">
        <v>0</v>
      </c>
      <c r="X65" s="5" t="s">
        <v>1083</v>
      </c>
      <c r="Y65" s="15">
        <v>0</v>
      </c>
      <c r="Z65" s="15">
        <v>0</v>
      </c>
      <c r="AA65" s="15">
        <v>0</v>
      </c>
    </row>
    <row r="66" spans="1:27" s="149" customFormat="1" x14ac:dyDescent="0.2">
      <c r="A66" s="5" t="s">
        <v>1084</v>
      </c>
      <c r="B66" s="5"/>
      <c r="C66" s="157"/>
      <c r="D66" s="157"/>
      <c r="E66" s="157"/>
      <c r="F66" s="157"/>
      <c r="G66" s="157"/>
      <c r="H66" s="157"/>
      <c r="I66" s="157"/>
      <c r="J66" s="157"/>
      <c r="K66" s="157"/>
      <c r="L66" s="157"/>
      <c r="M66" s="157"/>
      <c r="N66" s="157"/>
      <c r="O66" s="157"/>
      <c r="P66" s="157"/>
      <c r="Q66" s="157"/>
      <c r="R66" s="157"/>
      <c r="S66" s="157">
        <v>0</v>
      </c>
      <c r="T66" s="157">
        <v>0</v>
      </c>
      <c r="U66" s="157">
        <v>0</v>
      </c>
      <c r="V66" s="157">
        <v>0</v>
      </c>
      <c r="X66" s="5" t="s">
        <v>1084</v>
      </c>
      <c r="Y66" s="158">
        <v>0</v>
      </c>
      <c r="Z66" s="158">
        <v>0</v>
      </c>
      <c r="AA66" s="158">
        <v>0</v>
      </c>
    </row>
    <row r="67" spans="1:27" ht="10.5" x14ac:dyDescent="0.2">
      <c r="A67" s="14" t="s">
        <v>1085</v>
      </c>
      <c r="B67" s="14"/>
      <c r="C67" s="152">
        <v>827675</v>
      </c>
      <c r="D67" s="152">
        <v>1359248</v>
      </c>
      <c r="E67" s="152">
        <v>2257458</v>
      </c>
      <c r="F67" s="152">
        <v>3824588</v>
      </c>
      <c r="G67" s="152">
        <v>5082532</v>
      </c>
      <c r="H67" s="152">
        <v>6072918</v>
      </c>
      <c r="I67" s="152">
        <v>16231461</v>
      </c>
      <c r="J67" s="152">
        <v>10504494</v>
      </c>
      <c r="K67" s="152">
        <v>11781143</v>
      </c>
      <c r="L67" s="152">
        <v>13451715</v>
      </c>
      <c r="M67" s="152">
        <v>12100166</v>
      </c>
      <c r="N67" s="152">
        <v>19668657</v>
      </c>
      <c r="O67" s="152">
        <v>21218642</v>
      </c>
      <c r="P67" s="152">
        <v>20212370</v>
      </c>
      <c r="Q67" s="152">
        <v>31860107</v>
      </c>
      <c r="R67" s="152">
        <v>34728803</v>
      </c>
      <c r="S67" s="152">
        <v>50382421</v>
      </c>
      <c r="T67" s="152">
        <v>58831814</v>
      </c>
      <c r="U67" s="152">
        <v>77762</v>
      </c>
      <c r="V67" s="152">
        <v>111563</v>
      </c>
      <c r="X67" s="14" t="s">
        <v>1085</v>
      </c>
      <c r="Y67" s="17">
        <v>82128</v>
      </c>
      <c r="Z67" s="17">
        <v>111563</v>
      </c>
      <c r="AA67" s="17">
        <v>111234</v>
      </c>
    </row>
    <row r="68" spans="1:27" x14ac:dyDescent="0.2">
      <c r="A68" s="5"/>
      <c r="B68" s="5"/>
      <c r="C68" s="151"/>
      <c r="D68" s="151"/>
      <c r="E68" s="151"/>
      <c r="F68" s="151"/>
      <c r="G68" s="151"/>
      <c r="H68" s="151"/>
      <c r="I68" s="151"/>
      <c r="J68" s="151"/>
      <c r="K68" s="151"/>
      <c r="L68" s="151"/>
      <c r="M68" s="151"/>
      <c r="N68" s="151"/>
      <c r="O68" s="151"/>
      <c r="P68" s="151"/>
      <c r="Q68" s="151"/>
      <c r="R68" s="151"/>
      <c r="S68" s="151"/>
      <c r="T68" s="151"/>
      <c r="U68" s="151"/>
      <c r="V68" s="151"/>
      <c r="X68" s="5"/>
      <c r="Y68" s="5"/>
      <c r="Z68" s="5"/>
      <c r="AA68" s="5"/>
    </row>
    <row r="69" spans="1:27" ht="10.5" x14ac:dyDescent="0.2">
      <c r="A69" s="14" t="s">
        <v>1086</v>
      </c>
      <c r="B69" s="14"/>
      <c r="C69" s="151"/>
      <c r="D69" s="151"/>
      <c r="E69" s="151"/>
      <c r="F69" s="151"/>
      <c r="G69" s="151"/>
      <c r="H69" s="151"/>
      <c r="I69" s="151"/>
      <c r="J69" s="151"/>
      <c r="K69" s="151"/>
      <c r="L69" s="151"/>
      <c r="M69" s="151"/>
      <c r="N69" s="151"/>
      <c r="O69" s="151"/>
      <c r="P69" s="151"/>
      <c r="Q69" s="151"/>
      <c r="R69" s="151"/>
      <c r="S69" s="151"/>
      <c r="T69" s="151"/>
      <c r="U69" s="151"/>
      <c r="V69" s="151"/>
      <c r="X69" s="14" t="s">
        <v>1086</v>
      </c>
      <c r="Y69" s="5"/>
      <c r="Z69" s="5"/>
      <c r="AA69" s="5"/>
    </row>
    <row r="70" spans="1:27" x14ac:dyDescent="0.2">
      <c r="A70" s="5" t="s">
        <v>1087</v>
      </c>
      <c r="B70" s="5"/>
      <c r="C70" s="26">
        <v>1572</v>
      </c>
      <c r="D70" s="26">
        <v>24996</v>
      </c>
      <c r="E70" s="26">
        <v>119157</v>
      </c>
      <c r="F70" s="26">
        <v>393688</v>
      </c>
      <c r="G70" s="26">
        <v>556729</v>
      </c>
      <c r="H70" s="26">
        <v>776711</v>
      </c>
      <c r="I70" s="26">
        <v>0</v>
      </c>
      <c r="J70" s="26">
        <v>0</v>
      </c>
      <c r="K70" s="26">
        <v>0</v>
      </c>
      <c r="L70" s="26">
        <v>0</v>
      </c>
      <c r="M70" s="26">
        <v>0</v>
      </c>
      <c r="N70" s="26">
        <v>0</v>
      </c>
      <c r="O70" s="26">
        <v>0</v>
      </c>
      <c r="P70" s="26">
        <v>0</v>
      </c>
      <c r="Q70" s="26">
        <v>0</v>
      </c>
      <c r="R70" s="26">
        <v>0</v>
      </c>
      <c r="S70" s="26">
        <v>0</v>
      </c>
      <c r="T70" s="26">
        <v>0</v>
      </c>
      <c r="U70" s="26">
        <v>0</v>
      </c>
      <c r="V70" s="26">
        <v>0</v>
      </c>
      <c r="X70" s="5" t="s">
        <v>1088</v>
      </c>
      <c r="Y70" s="15">
        <v>0</v>
      </c>
      <c r="Z70" s="15">
        <v>0</v>
      </c>
      <c r="AA70" s="15">
        <v>0</v>
      </c>
    </row>
    <row r="71" spans="1:27" x14ac:dyDescent="0.2">
      <c r="A71" s="5" t="s">
        <v>1089</v>
      </c>
      <c r="B71" s="5"/>
      <c r="C71" s="26">
        <v>0</v>
      </c>
      <c r="D71" s="26">
        <v>0</v>
      </c>
      <c r="E71" s="26">
        <v>0</v>
      </c>
      <c r="F71" s="26">
        <v>0</v>
      </c>
      <c r="G71" s="26">
        <v>0</v>
      </c>
      <c r="H71" s="26">
        <v>0</v>
      </c>
      <c r="I71" s="26">
        <v>36167</v>
      </c>
      <c r="J71" s="26">
        <v>15912</v>
      </c>
      <c r="K71" s="26">
        <v>15165</v>
      </c>
      <c r="L71" s="26">
        <v>29442</v>
      </c>
      <c r="M71" s="26">
        <v>0</v>
      </c>
      <c r="N71" s="26">
        <v>2131</v>
      </c>
      <c r="O71" s="26">
        <v>19249</v>
      </c>
      <c r="P71" s="26">
        <v>20806</v>
      </c>
      <c r="Q71" s="26">
        <v>18122</v>
      </c>
      <c r="R71" s="26">
        <v>7463</v>
      </c>
      <c r="S71" s="26">
        <v>0</v>
      </c>
      <c r="T71" s="26">
        <v>0</v>
      </c>
      <c r="U71" s="26">
        <v>0</v>
      </c>
      <c r="V71" s="26">
        <v>0</v>
      </c>
      <c r="X71" s="5" t="s">
        <v>1090</v>
      </c>
      <c r="Y71" s="15">
        <v>0</v>
      </c>
      <c r="Z71" s="15">
        <v>0</v>
      </c>
      <c r="AA71" s="15">
        <v>0</v>
      </c>
    </row>
    <row r="72" spans="1:27" x14ac:dyDescent="0.2">
      <c r="A72" s="5" t="s">
        <v>309</v>
      </c>
      <c r="B72" s="5"/>
      <c r="C72" s="26">
        <v>0</v>
      </c>
      <c r="D72" s="26">
        <v>0</v>
      </c>
      <c r="E72" s="26">
        <v>0</v>
      </c>
      <c r="F72" s="26">
        <v>0</v>
      </c>
      <c r="G72" s="26">
        <v>0</v>
      </c>
      <c r="H72" s="26">
        <v>0</v>
      </c>
      <c r="I72" s="26">
        <v>0</v>
      </c>
      <c r="J72" s="26">
        <v>0</v>
      </c>
      <c r="K72" s="26">
        <v>0</v>
      </c>
      <c r="L72" s="26">
        <v>0</v>
      </c>
      <c r="M72" s="26">
        <v>0</v>
      </c>
      <c r="N72" s="26">
        <v>0</v>
      </c>
      <c r="O72" s="26">
        <v>0</v>
      </c>
      <c r="P72" s="26">
        <v>0</v>
      </c>
      <c r="Q72" s="26">
        <v>0</v>
      </c>
      <c r="R72" s="26">
        <v>0</v>
      </c>
      <c r="S72" s="26">
        <v>59500</v>
      </c>
      <c r="T72" s="26">
        <v>0</v>
      </c>
      <c r="U72" s="26">
        <v>0</v>
      </c>
      <c r="V72" s="26">
        <v>0</v>
      </c>
      <c r="X72" s="5" t="s">
        <v>1083</v>
      </c>
      <c r="Y72" s="15">
        <v>0</v>
      </c>
      <c r="Z72" s="15">
        <v>0</v>
      </c>
      <c r="AA72" s="15">
        <v>0</v>
      </c>
    </row>
    <row r="73" spans="1:27" x14ac:dyDescent="0.2">
      <c r="A73" s="5" t="s">
        <v>1091</v>
      </c>
      <c r="B73" s="5"/>
      <c r="C73" s="26">
        <v>3485</v>
      </c>
      <c r="D73" s="26">
        <v>22771</v>
      </c>
      <c r="E73" s="26">
        <v>15523</v>
      </c>
      <c r="F73" s="26">
        <v>21528</v>
      </c>
      <c r="G73" s="26">
        <v>8762</v>
      </c>
      <c r="H73" s="26">
        <v>12570</v>
      </c>
      <c r="I73" s="26">
        <v>3142</v>
      </c>
      <c r="J73" s="26">
        <v>0</v>
      </c>
      <c r="K73" s="26">
        <v>0</v>
      </c>
      <c r="L73" s="26">
        <v>0</v>
      </c>
      <c r="M73" s="26">
        <v>0</v>
      </c>
      <c r="N73" s="26">
        <v>0</v>
      </c>
      <c r="O73" s="26">
        <v>0</v>
      </c>
      <c r="P73" s="26">
        <v>0</v>
      </c>
      <c r="Q73" s="26">
        <v>0</v>
      </c>
      <c r="R73" s="26">
        <v>0</v>
      </c>
      <c r="S73" s="26">
        <v>0</v>
      </c>
      <c r="T73" s="26">
        <v>0</v>
      </c>
      <c r="U73" s="26">
        <v>0</v>
      </c>
      <c r="V73" s="26">
        <v>0</v>
      </c>
      <c r="X73" s="5" t="s">
        <v>1092</v>
      </c>
      <c r="Y73" s="15">
        <v>0</v>
      </c>
      <c r="Z73" s="15">
        <v>0</v>
      </c>
      <c r="AA73" s="15">
        <v>0</v>
      </c>
    </row>
    <row r="74" spans="1:27" x14ac:dyDescent="0.2">
      <c r="A74" s="5"/>
      <c r="B74" s="5"/>
      <c r="C74" s="151"/>
      <c r="D74" s="151"/>
      <c r="E74" s="151"/>
      <c r="F74" s="151"/>
      <c r="G74" s="151"/>
      <c r="H74" s="151"/>
      <c r="I74" s="151"/>
      <c r="J74" s="151"/>
      <c r="K74" s="151"/>
      <c r="L74" s="151"/>
      <c r="M74" s="151"/>
      <c r="N74" s="151"/>
      <c r="O74" s="151"/>
      <c r="P74" s="151"/>
      <c r="Q74" s="151"/>
      <c r="R74" s="151"/>
      <c r="S74" s="151"/>
      <c r="T74" s="151"/>
      <c r="U74" s="151"/>
      <c r="V74" s="151"/>
      <c r="X74" s="5"/>
      <c r="Y74" s="5"/>
      <c r="Z74" s="5"/>
      <c r="AA74" s="5"/>
    </row>
    <row r="75" spans="1:27" ht="10.5" x14ac:dyDescent="0.2">
      <c r="A75" s="14" t="s">
        <v>933</v>
      </c>
      <c r="B75" s="14"/>
      <c r="C75" s="151"/>
      <c r="D75" s="151"/>
      <c r="E75" s="151"/>
      <c r="F75" s="151"/>
      <c r="G75" s="151"/>
      <c r="H75" s="151"/>
      <c r="I75" s="151"/>
      <c r="J75" s="151"/>
      <c r="K75" s="151"/>
      <c r="L75" s="151"/>
      <c r="M75" s="151"/>
      <c r="N75" s="151"/>
      <c r="O75" s="151"/>
      <c r="P75" s="151"/>
      <c r="Q75" s="151"/>
      <c r="R75" s="151"/>
      <c r="S75" s="151"/>
      <c r="T75" s="151"/>
      <c r="U75" s="151"/>
      <c r="V75" s="151"/>
      <c r="X75" s="14" t="s">
        <v>933</v>
      </c>
      <c r="Y75" s="5"/>
      <c r="Z75" s="5"/>
      <c r="AA75" s="5"/>
    </row>
    <row r="76" spans="1:27" x14ac:dyDescent="0.2">
      <c r="A76" s="5" t="s">
        <v>1093</v>
      </c>
      <c r="B76" s="5"/>
      <c r="C76" s="26">
        <v>21875</v>
      </c>
      <c r="D76" s="26">
        <v>21875</v>
      </c>
      <c r="E76" s="26">
        <v>21875</v>
      </c>
      <c r="F76" s="26">
        <v>21875</v>
      </c>
      <c r="G76" s="26">
        <v>21875</v>
      </c>
      <c r="H76" s="26">
        <v>21875</v>
      </c>
      <c r="I76" s="26">
        <v>59205</v>
      </c>
      <c r="J76" s="26">
        <v>59205</v>
      </c>
      <c r="K76" s="26">
        <v>59205</v>
      </c>
      <c r="L76" s="26">
        <v>61037</v>
      </c>
      <c r="M76" s="26">
        <v>61050</v>
      </c>
      <c r="N76" s="26">
        <v>61050</v>
      </c>
      <c r="O76" s="26">
        <v>61186</v>
      </c>
      <c r="P76" s="26">
        <v>61244</v>
      </c>
      <c r="Q76" s="26">
        <v>61310</v>
      </c>
      <c r="R76" s="26">
        <v>61310</v>
      </c>
      <c r="S76" s="160">
        <v>62743</v>
      </c>
      <c r="T76" s="26">
        <v>64923</v>
      </c>
      <c r="U76" s="26">
        <v>95</v>
      </c>
      <c r="V76" s="26">
        <v>98</v>
      </c>
      <c r="X76" s="5" t="s">
        <v>1093</v>
      </c>
      <c r="Y76" s="15">
        <v>98</v>
      </c>
      <c r="Z76" s="15">
        <v>98</v>
      </c>
      <c r="AA76" s="15">
        <v>99</v>
      </c>
    </row>
    <row r="77" spans="1:27" x14ac:dyDescent="0.2">
      <c r="A77" s="5" t="s">
        <v>1094</v>
      </c>
      <c r="B77" s="5"/>
      <c r="C77" s="26">
        <v>0</v>
      </c>
      <c r="D77" s="26">
        <v>0</v>
      </c>
      <c r="E77" s="26">
        <v>0</v>
      </c>
      <c r="F77" s="26">
        <v>0</v>
      </c>
      <c r="G77" s="26">
        <v>0</v>
      </c>
      <c r="H77" s="26">
        <v>0</v>
      </c>
      <c r="I77" s="26">
        <v>0</v>
      </c>
      <c r="J77" s="26">
        <v>0</v>
      </c>
      <c r="K77" s="26">
        <v>0</v>
      </c>
      <c r="L77" s="26">
        <v>56799</v>
      </c>
      <c r="M77" s="26">
        <v>57393</v>
      </c>
      <c r="N77" s="26">
        <v>57393</v>
      </c>
      <c r="O77" s="26">
        <v>57393</v>
      </c>
      <c r="P77" s="26">
        <v>57393</v>
      </c>
      <c r="Q77" s="26">
        <v>57393</v>
      </c>
      <c r="R77" s="26">
        <v>57393</v>
      </c>
      <c r="S77" s="160">
        <v>229670</v>
      </c>
      <c r="T77" s="26">
        <v>1520230</v>
      </c>
      <c r="U77" s="26">
        <v>2865</v>
      </c>
      <c r="V77" s="26">
        <v>3942</v>
      </c>
      <c r="X77" s="5" t="s">
        <v>1094</v>
      </c>
      <c r="Y77" s="15">
        <v>3942</v>
      </c>
      <c r="Z77" s="15">
        <v>3942</v>
      </c>
      <c r="AA77" s="15">
        <v>4455</v>
      </c>
    </row>
    <row r="78" spans="1:27" x14ac:dyDescent="0.2">
      <c r="A78" s="5" t="s">
        <v>1095</v>
      </c>
      <c r="B78" s="5"/>
      <c r="C78" s="26">
        <v>0</v>
      </c>
      <c r="D78" s="26">
        <v>0</v>
      </c>
      <c r="E78" s="26">
        <v>0</v>
      </c>
      <c r="F78" s="26">
        <v>0</v>
      </c>
      <c r="G78" s="26">
        <v>0</v>
      </c>
      <c r="H78" s="26">
        <v>0</v>
      </c>
      <c r="I78" s="26">
        <v>0</v>
      </c>
      <c r="J78" s="26">
        <v>0</v>
      </c>
      <c r="K78" s="26">
        <v>0</v>
      </c>
      <c r="L78" s="26">
        <v>-2412106</v>
      </c>
      <c r="M78" s="26">
        <v>-2412106</v>
      </c>
      <c r="N78" s="26">
        <v>-2412106</v>
      </c>
      <c r="O78" s="26">
        <v>0</v>
      </c>
      <c r="P78" s="26">
        <v>-3186788</v>
      </c>
      <c r="Q78" s="26">
        <v>-3016235</v>
      </c>
      <c r="R78" s="26">
        <v>0</v>
      </c>
      <c r="S78" s="160">
        <v>-2634426</v>
      </c>
      <c r="T78" s="26">
        <v>-1436532</v>
      </c>
      <c r="U78" s="26">
        <v>0</v>
      </c>
      <c r="V78" s="26">
        <v>0</v>
      </c>
      <c r="X78" s="5" t="s">
        <v>1095</v>
      </c>
      <c r="Y78" s="15">
        <v>-4019</v>
      </c>
      <c r="Z78" s="15">
        <v>0</v>
      </c>
      <c r="AA78" s="15">
        <v>-3530</v>
      </c>
    </row>
    <row r="79" spans="1:27" x14ac:dyDescent="0.2">
      <c r="A79" s="5" t="s">
        <v>1096</v>
      </c>
      <c r="B79" s="5"/>
      <c r="C79" s="26">
        <v>12986</v>
      </c>
      <c r="D79" s="26">
        <v>97427</v>
      </c>
      <c r="E79" s="26">
        <v>308107</v>
      </c>
      <c r="F79" s="26">
        <v>540044</v>
      </c>
      <c r="G79" s="26">
        <v>737279</v>
      </c>
      <c r="H79" s="26">
        <v>999738</v>
      </c>
      <c r="I79" s="26">
        <v>1354136</v>
      </c>
      <c r="J79" s="26">
        <v>1787530</v>
      </c>
      <c r="K79" s="26">
        <v>4623958</v>
      </c>
      <c r="L79" s="26">
        <v>5443110</v>
      </c>
      <c r="M79" s="26">
        <v>6594702</v>
      </c>
      <c r="N79" s="26">
        <v>8986748</v>
      </c>
      <c r="O79" s="26">
        <v>12976862</v>
      </c>
      <c r="P79" s="26">
        <v>18003282</v>
      </c>
      <c r="Q79" s="26">
        <v>16064365</v>
      </c>
      <c r="R79" s="26">
        <v>27754710</v>
      </c>
      <c r="S79" s="160">
        <v>44181813</v>
      </c>
      <c r="T79" s="26">
        <v>48235165</v>
      </c>
      <c r="U79" s="26">
        <v>70808</v>
      </c>
      <c r="V79" s="26">
        <v>95770</v>
      </c>
      <c r="X79" s="5" t="s">
        <v>1096</v>
      </c>
      <c r="Y79" s="15">
        <v>77565</v>
      </c>
      <c r="Z79" s="15">
        <v>95770</v>
      </c>
      <c r="AA79" s="15">
        <v>67935</v>
      </c>
    </row>
    <row r="80" spans="1:27" x14ac:dyDescent="0.2">
      <c r="A80" s="5" t="s">
        <v>1097</v>
      </c>
      <c r="B80" s="5"/>
      <c r="C80" s="26">
        <v>3500</v>
      </c>
      <c r="D80" s="26">
        <v>3500</v>
      </c>
      <c r="E80" s="26">
        <v>3500</v>
      </c>
      <c r="F80" s="26">
        <v>3500</v>
      </c>
      <c r="G80" s="26">
        <v>3500</v>
      </c>
      <c r="H80" s="26">
        <v>3500</v>
      </c>
      <c r="I80" s="26">
        <v>3500</v>
      </c>
      <c r="J80" s="26">
        <v>0</v>
      </c>
      <c r="K80" s="26">
        <v>0</v>
      </c>
      <c r="L80" s="26">
        <v>0</v>
      </c>
      <c r="M80" s="26">
        <v>0</v>
      </c>
      <c r="N80" s="26">
        <v>0</v>
      </c>
      <c r="O80" s="26">
        <v>0</v>
      </c>
      <c r="P80" s="26">
        <v>0</v>
      </c>
      <c r="Q80" s="26">
        <v>0</v>
      </c>
      <c r="R80" s="26">
        <v>0</v>
      </c>
      <c r="S80" s="26">
        <v>0</v>
      </c>
      <c r="T80" s="26">
        <v>0</v>
      </c>
      <c r="U80" s="26">
        <v>0</v>
      </c>
      <c r="V80" s="26">
        <v>0</v>
      </c>
      <c r="X80" s="5" t="s">
        <v>1097</v>
      </c>
      <c r="Y80" s="15">
        <v>0</v>
      </c>
      <c r="Z80" s="15">
        <v>0</v>
      </c>
      <c r="AA80" s="15">
        <v>0</v>
      </c>
    </row>
    <row r="81" spans="1:256" x14ac:dyDescent="0.2">
      <c r="A81" s="5" t="s">
        <v>1098</v>
      </c>
      <c r="B81" s="5"/>
      <c r="C81" s="26">
        <v>0</v>
      </c>
      <c r="D81" s="26">
        <v>0</v>
      </c>
      <c r="E81" s="26">
        <v>0</v>
      </c>
      <c r="F81" s="26">
        <v>0</v>
      </c>
      <c r="G81" s="26">
        <v>0</v>
      </c>
      <c r="H81" s="26">
        <v>0</v>
      </c>
      <c r="I81" s="26">
        <v>1157230</v>
      </c>
      <c r="J81" s="26">
        <v>0</v>
      </c>
      <c r="K81" s="26">
        <v>0</v>
      </c>
      <c r="L81" s="26">
        <v>0</v>
      </c>
      <c r="M81" s="26">
        <v>0</v>
      </c>
      <c r="N81" s="26">
        <v>0</v>
      </c>
      <c r="O81" s="26">
        <v>0</v>
      </c>
      <c r="P81" s="26">
        <v>0</v>
      </c>
      <c r="Q81" s="26">
        <v>0</v>
      </c>
      <c r="R81" s="26">
        <v>0</v>
      </c>
      <c r="S81" s="26">
        <v>0</v>
      </c>
      <c r="T81" s="26">
        <v>0</v>
      </c>
      <c r="U81" s="26">
        <v>0</v>
      </c>
      <c r="V81" s="26">
        <v>0</v>
      </c>
      <c r="X81" s="5" t="s">
        <v>1098</v>
      </c>
      <c r="Y81" s="15">
        <v>0</v>
      </c>
      <c r="Z81" s="15">
        <v>0</v>
      </c>
      <c r="AA81" s="15">
        <v>0</v>
      </c>
    </row>
    <row r="82" spans="1:256" s="149" customFormat="1" x14ac:dyDescent="0.2">
      <c r="A82" s="5" t="s">
        <v>1099</v>
      </c>
      <c r="B82" s="5"/>
      <c r="C82" s="157">
        <v>0</v>
      </c>
      <c r="D82" s="157">
        <v>0</v>
      </c>
      <c r="E82" s="157">
        <v>0</v>
      </c>
      <c r="F82" s="157">
        <v>0</v>
      </c>
      <c r="G82" s="157">
        <v>0</v>
      </c>
      <c r="H82" s="157">
        <v>0</v>
      </c>
      <c r="I82" s="157">
        <v>0</v>
      </c>
      <c r="J82" s="157">
        <v>1157230</v>
      </c>
      <c r="K82" s="157">
        <v>0</v>
      </c>
      <c r="L82" s="157">
        <v>0</v>
      </c>
      <c r="M82" s="157">
        <v>0</v>
      </c>
      <c r="N82" s="157">
        <v>0</v>
      </c>
      <c r="O82" s="157">
        <v>-3187275</v>
      </c>
      <c r="P82" s="157">
        <v>0</v>
      </c>
      <c r="Q82" s="157">
        <v>0</v>
      </c>
      <c r="R82" s="157">
        <v>-2839849</v>
      </c>
      <c r="S82" s="157">
        <v>0</v>
      </c>
      <c r="T82" s="157">
        <v>0</v>
      </c>
      <c r="U82" s="157">
        <v>-1469</v>
      </c>
      <c r="V82" s="157">
        <v>-3994</v>
      </c>
      <c r="X82" s="5" t="s">
        <v>1099</v>
      </c>
      <c r="Y82" s="158">
        <v>0</v>
      </c>
      <c r="Z82" s="158">
        <v>-3994</v>
      </c>
      <c r="AA82" s="158">
        <v>0</v>
      </c>
    </row>
    <row r="83" spans="1:256" s="149" customFormat="1" ht="10.5" x14ac:dyDescent="0.2">
      <c r="A83" s="14" t="s">
        <v>1100</v>
      </c>
      <c r="B83" s="14"/>
      <c r="C83" s="159">
        <v>38361</v>
      </c>
      <c r="D83" s="159">
        <v>122802</v>
      </c>
      <c r="E83" s="159">
        <v>333482</v>
      </c>
      <c r="F83" s="159">
        <v>565419</v>
      </c>
      <c r="G83" s="159">
        <v>762654</v>
      </c>
      <c r="H83" s="159">
        <v>1025113</v>
      </c>
      <c r="I83" s="159">
        <v>2574071</v>
      </c>
      <c r="J83" s="159">
        <v>3003965</v>
      </c>
      <c r="K83" s="159">
        <v>4683163</v>
      </c>
      <c r="L83" s="159">
        <v>3148840</v>
      </c>
      <c r="M83" s="159">
        <v>4301039</v>
      </c>
      <c r="N83" s="159">
        <v>6693085</v>
      </c>
      <c r="O83" s="159">
        <v>9908166</v>
      </c>
      <c r="P83" s="159">
        <v>14935131</v>
      </c>
      <c r="Q83" s="159">
        <v>13166833</v>
      </c>
      <c r="R83" s="159">
        <v>25033564</v>
      </c>
      <c r="S83" s="159">
        <v>41839800</v>
      </c>
      <c r="T83" s="159">
        <v>48383786</v>
      </c>
      <c r="U83" s="159">
        <v>72299</v>
      </c>
      <c r="V83" s="159">
        <v>95816</v>
      </c>
      <c r="X83" s="14" t="s">
        <v>1100</v>
      </c>
      <c r="Y83" s="24">
        <v>77586</v>
      </c>
      <c r="Z83" s="24">
        <v>95816</v>
      </c>
      <c r="AA83" s="24">
        <v>68959</v>
      </c>
    </row>
    <row r="84" spans="1:256" ht="10.5" x14ac:dyDescent="0.2">
      <c r="A84" s="14" t="s">
        <v>1101</v>
      </c>
      <c r="B84" s="14"/>
      <c r="C84" s="152">
        <v>871093</v>
      </c>
      <c r="D84" s="152">
        <v>1529817</v>
      </c>
      <c r="E84" s="152">
        <v>2725620</v>
      </c>
      <c r="F84" s="152">
        <v>4805223</v>
      </c>
      <c r="G84" s="152">
        <v>6410677</v>
      </c>
      <c r="H84" s="152">
        <v>7887312</v>
      </c>
      <c r="I84" s="152">
        <v>18844841</v>
      </c>
      <c r="J84" s="152">
        <v>13524371</v>
      </c>
      <c r="K84" s="152">
        <v>16479471</v>
      </c>
      <c r="L84" s="152">
        <v>16629997</v>
      </c>
      <c r="M84" s="152">
        <v>16401205</v>
      </c>
      <c r="N84" s="152">
        <v>26363873</v>
      </c>
      <c r="O84" s="152">
        <v>31146057</v>
      </c>
      <c r="P84" s="152">
        <v>35168307</v>
      </c>
      <c r="Q84" s="152">
        <v>45045062</v>
      </c>
      <c r="R84" s="152">
        <v>59769830</v>
      </c>
      <c r="S84" s="152">
        <v>92281721</v>
      </c>
      <c r="T84" s="152">
        <v>107215600</v>
      </c>
      <c r="U84" s="152">
        <v>150061</v>
      </c>
      <c r="V84" s="152">
        <v>207379</v>
      </c>
      <c r="X84" s="14" t="s">
        <v>1101</v>
      </c>
      <c r="Y84" s="17">
        <v>159714</v>
      </c>
      <c r="Z84" s="17">
        <v>207379</v>
      </c>
      <c r="AA84" s="17">
        <v>180193</v>
      </c>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c r="DB84" s="9"/>
      <c r="DC84" s="9"/>
      <c r="DD84" s="9"/>
      <c r="DE84" s="9"/>
      <c r="DF84" s="9"/>
      <c r="DG84" s="9"/>
      <c r="DH84" s="9"/>
      <c r="DI84" s="9"/>
      <c r="DJ84" s="9"/>
      <c r="DK84" s="9"/>
      <c r="DL84" s="9"/>
      <c r="DM84" s="9"/>
      <c r="DN84" s="9"/>
      <c r="DO84" s="9"/>
      <c r="DP84" s="9"/>
      <c r="DQ84" s="9"/>
      <c r="DR84" s="9"/>
      <c r="DS84" s="9"/>
      <c r="DT84" s="9"/>
      <c r="DU84" s="9"/>
      <c r="DV84" s="9"/>
      <c r="DW84" s="9"/>
      <c r="DX84" s="9"/>
      <c r="DY84" s="9"/>
      <c r="DZ84" s="9"/>
      <c r="EA84" s="9"/>
      <c r="EB84" s="9"/>
      <c r="EC84" s="9"/>
      <c r="ED84" s="9"/>
      <c r="EE84" s="9"/>
      <c r="EF84" s="9"/>
      <c r="EG84" s="9"/>
      <c r="EH84" s="9"/>
      <c r="EI84" s="9"/>
      <c r="EJ84" s="9"/>
      <c r="EK84" s="9"/>
      <c r="EL84" s="9"/>
      <c r="EM84" s="9"/>
      <c r="EN84" s="9"/>
      <c r="EO84" s="9"/>
      <c r="EP84" s="9"/>
      <c r="EQ84" s="9"/>
      <c r="ER84" s="9"/>
      <c r="ES84" s="9"/>
      <c r="ET84" s="9"/>
      <c r="EU84" s="9"/>
      <c r="EV84" s="9"/>
      <c r="EW84" s="9"/>
      <c r="EX84" s="9"/>
      <c r="EY84" s="9"/>
      <c r="EZ84" s="9"/>
      <c r="FA84" s="9"/>
      <c r="FB84" s="9"/>
      <c r="FC84" s="9"/>
      <c r="FD84" s="9"/>
      <c r="FE84" s="9"/>
      <c r="FF84" s="9"/>
      <c r="FG84" s="9"/>
      <c r="FH84" s="9"/>
      <c r="FI84" s="9"/>
      <c r="FJ84" s="9"/>
      <c r="FK84" s="9"/>
      <c r="FL84" s="9"/>
      <c r="FM84" s="9"/>
      <c r="FN84" s="9"/>
      <c r="FO84" s="9"/>
      <c r="FP84" s="9"/>
      <c r="FQ84" s="9"/>
      <c r="FR84" s="9"/>
      <c r="FS84" s="9"/>
      <c r="FT84" s="9"/>
      <c r="FU84" s="9"/>
      <c r="FV84" s="9"/>
      <c r="FW84" s="9"/>
      <c r="FX84" s="9"/>
      <c r="FY84" s="9"/>
      <c r="FZ84" s="9"/>
      <c r="GA84" s="9"/>
      <c r="GB84" s="9"/>
      <c r="GC84" s="9"/>
      <c r="GD84" s="9"/>
      <c r="GE84" s="9"/>
      <c r="GF84" s="9"/>
      <c r="GG84" s="9"/>
      <c r="GH84" s="9"/>
      <c r="GI84" s="9"/>
      <c r="GJ84" s="9"/>
      <c r="GK84" s="9"/>
      <c r="GL84" s="9"/>
      <c r="GM84" s="9"/>
      <c r="GN84" s="9"/>
      <c r="GO84" s="9"/>
      <c r="GP84" s="9"/>
      <c r="GQ84" s="9"/>
      <c r="GR84" s="9"/>
      <c r="GS84" s="9"/>
      <c r="GT84" s="9"/>
      <c r="GU84" s="9"/>
      <c r="GV84" s="9"/>
      <c r="GW84" s="9"/>
      <c r="GX84" s="9"/>
      <c r="GY84" s="9"/>
      <c r="GZ84" s="9"/>
      <c r="HA84" s="9"/>
      <c r="HB84" s="9"/>
      <c r="HC84" s="9"/>
      <c r="HD84" s="9"/>
      <c r="HE84" s="9"/>
      <c r="HF84" s="9"/>
      <c r="HG84" s="9"/>
      <c r="HH84" s="9"/>
      <c r="HI84" s="9"/>
      <c r="HJ84" s="9"/>
      <c r="HK84" s="9"/>
      <c r="HL84" s="9"/>
      <c r="HM84" s="9"/>
      <c r="HN84" s="9"/>
      <c r="HO84" s="9"/>
      <c r="HP84" s="9"/>
      <c r="HQ84" s="9"/>
      <c r="HR84" s="9"/>
      <c r="HS84" s="9"/>
      <c r="HT84" s="9"/>
      <c r="HU84" s="9"/>
      <c r="HV84" s="9"/>
      <c r="HW84" s="9"/>
      <c r="HX84" s="9"/>
      <c r="HY84" s="9"/>
      <c r="HZ84" s="9"/>
      <c r="IA84" s="9"/>
      <c r="IB84" s="9"/>
      <c r="IC84" s="9"/>
      <c r="ID84" s="9"/>
      <c r="IE84" s="9"/>
      <c r="IF84" s="9"/>
      <c r="IG84" s="9"/>
      <c r="IH84" s="9"/>
      <c r="II84" s="9"/>
      <c r="IJ84" s="9"/>
      <c r="IK84" s="9"/>
      <c r="IL84" s="9"/>
      <c r="IM84" s="9"/>
      <c r="IN84" s="9"/>
      <c r="IO84" s="9"/>
      <c r="IP84" s="9"/>
      <c r="IQ84" s="9"/>
      <c r="IR84" s="9"/>
      <c r="IS84" s="9"/>
      <c r="IT84" s="9"/>
      <c r="IU84" s="9"/>
      <c r="IV84" s="9"/>
    </row>
    <row r="85" spans="1:256" x14ac:dyDescent="0.2">
      <c r="A85" s="29"/>
      <c r="B85" s="29"/>
      <c r="C85" s="153"/>
      <c r="D85" s="153"/>
      <c r="E85" s="153"/>
      <c r="F85" s="153"/>
      <c r="G85" s="153"/>
      <c r="H85" s="153"/>
      <c r="I85" s="153"/>
      <c r="J85" s="153"/>
      <c r="K85" s="153"/>
      <c r="L85" s="153"/>
      <c r="M85" s="153"/>
      <c r="N85" s="153"/>
      <c r="O85" s="153"/>
      <c r="P85" s="153"/>
      <c r="Q85" s="153"/>
      <c r="R85" s="153"/>
      <c r="S85" s="153"/>
      <c r="T85" s="153"/>
      <c r="U85" s="153"/>
      <c r="V85" s="153"/>
      <c r="X85" s="29"/>
      <c r="Y85" s="29"/>
      <c r="Z85" s="29"/>
      <c r="AA85" s="29"/>
    </row>
    <row r="86" spans="1:256" s="149" customFormat="1" ht="10.5" x14ac:dyDescent="0.2">
      <c r="A86" s="147" t="s">
        <v>1102</v>
      </c>
      <c r="B86" s="147"/>
      <c r="C86" s="154"/>
      <c r="D86" s="154"/>
      <c r="E86" s="154"/>
      <c r="F86" s="154"/>
      <c r="G86" s="154"/>
      <c r="H86" s="154"/>
      <c r="I86" s="154"/>
      <c r="J86" s="154"/>
      <c r="K86" s="154"/>
      <c r="L86" s="154"/>
      <c r="M86" s="154"/>
      <c r="N86" s="154"/>
      <c r="O86" s="154"/>
      <c r="P86" s="154"/>
      <c r="Q86" s="154"/>
      <c r="R86" s="154"/>
      <c r="S86" s="154"/>
      <c r="T86" s="154"/>
      <c r="U86" s="154"/>
      <c r="V86" s="154"/>
      <c r="X86" s="147" t="s">
        <v>1102</v>
      </c>
      <c r="Y86" s="148"/>
      <c r="Z86" s="148"/>
      <c r="AA86" s="148"/>
    </row>
    <row r="87" spans="1:256" ht="10.5" hidden="1" outlineLevel="1" x14ac:dyDescent="0.2">
      <c r="A87" s="14" t="s">
        <v>1011</v>
      </c>
      <c r="B87" s="14"/>
      <c r="C87" s="151" t="s">
        <v>1012</v>
      </c>
      <c r="D87" s="151" t="s">
        <v>1013</v>
      </c>
      <c r="E87" s="151" t="s">
        <v>1014</v>
      </c>
      <c r="F87" s="151" t="s">
        <v>1015</v>
      </c>
      <c r="G87" s="151" t="s">
        <v>1016</v>
      </c>
      <c r="H87" s="151" t="s">
        <v>1017</v>
      </c>
      <c r="I87" s="151" t="s">
        <v>1018</v>
      </c>
      <c r="J87" s="151" t="s">
        <v>1019</v>
      </c>
      <c r="K87" s="151" t="s">
        <v>1020</v>
      </c>
      <c r="L87" s="151" t="s">
        <v>1021</v>
      </c>
      <c r="M87" s="151" t="s">
        <v>1022</v>
      </c>
      <c r="N87" s="151" t="s">
        <v>1023</v>
      </c>
      <c r="O87" s="151" t="s">
        <v>1024</v>
      </c>
      <c r="P87" s="151" t="s">
        <v>1025</v>
      </c>
      <c r="Q87" s="151" t="s">
        <v>1026</v>
      </c>
      <c r="R87" s="151" t="s">
        <v>1027</v>
      </c>
      <c r="S87" s="151" t="s">
        <v>1028</v>
      </c>
      <c r="T87" s="151" t="s">
        <v>1029</v>
      </c>
      <c r="U87" s="151" t="s">
        <v>1030</v>
      </c>
      <c r="V87" s="151" t="s">
        <v>1031</v>
      </c>
      <c r="X87" s="14" t="s">
        <v>1011</v>
      </c>
      <c r="Y87" s="5" t="s">
        <v>1032</v>
      </c>
      <c r="Z87" s="5" t="s">
        <v>1033</v>
      </c>
      <c r="AA87" s="5" t="s">
        <v>1034</v>
      </c>
    </row>
    <row r="88" spans="1:256" ht="10.5" hidden="1" outlineLevel="1" x14ac:dyDescent="0.2">
      <c r="A88" s="14" t="s">
        <v>1035</v>
      </c>
      <c r="B88" s="14"/>
      <c r="C88" s="151" t="s">
        <v>88</v>
      </c>
      <c r="D88" s="151" t="s">
        <v>88</v>
      </c>
      <c r="E88" s="151" t="s">
        <v>88</v>
      </c>
      <c r="F88" s="151" t="s">
        <v>88</v>
      </c>
      <c r="G88" s="151" t="s">
        <v>88</v>
      </c>
      <c r="H88" s="151" t="s">
        <v>88</v>
      </c>
      <c r="I88" s="151" t="s">
        <v>88</v>
      </c>
      <c r="J88" s="151" t="s">
        <v>88</v>
      </c>
      <c r="K88" s="151" t="s">
        <v>88</v>
      </c>
      <c r="L88" s="151" t="s">
        <v>88</v>
      </c>
      <c r="M88" s="151" t="s">
        <v>88</v>
      </c>
      <c r="N88" s="151" t="s">
        <v>88</v>
      </c>
      <c r="O88" s="151" t="s">
        <v>88</v>
      </c>
      <c r="P88" s="151" t="s">
        <v>88</v>
      </c>
      <c r="Q88" s="151" t="s">
        <v>88</v>
      </c>
      <c r="R88" s="151" t="s">
        <v>88</v>
      </c>
      <c r="S88" s="151" t="s">
        <v>88</v>
      </c>
      <c r="T88" s="151" t="s">
        <v>88</v>
      </c>
      <c r="U88" s="151" t="s">
        <v>88</v>
      </c>
      <c r="V88" s="151" t="s">
        <v>88</v>
      </c>
      <c r="X88" s="14" t="s">
        <v>1035</v>
      </c>
      <c r="Y88" s="5" t="s">
        <v>88</v>
      </c>
      <c r="Z88" s="5" t="s">
        <v>88</v>
      </c>
      <c r="AA88" s="5" t="s">
        <v>88</v>
      </c>
    </row>
    <row r="89" spans="1:256" ht="10.5" hidden="1" outlineLevel="1" x14ac:dyDescent="0.2">
      <c r="A89" s="14" t="s">
        <v>1036</v>
      </c>
      <c r="B89" s="14"/>
      <c r="C89" s="151" t="s">
        <v>1037</v>
      </c>
      <c r="D89" s="151" t="s">
        <v>1037</v>
      </c>
      <c r="E89" s="151" t="s">
        <v>1037</v>
      </c>
      <c r="F89" s="151" t="s">
        <v>1037</v>
      </c>
      <c r="G89" s="151" t="s">
        <v>1037</v>
      </c>
      <c r="H89" s="151" t="s">
        <v>1037</v>
      </c>
      <c r="I89" s="151" t="s">
        <v>1037</v>
      </c>
      <c r="J89" s="151" t="s">
        <v>1037</v>
      </c>
      <c r="K89" s="151" t="s">
        <v>1037</v>
      </c>
      <c r="L89" s="151" t="s">
        <v>1037</v>
      </c>
      <c r="M89" s="151" t="s">
        <v>1037</v>
      </c>
      <c r="N89" s="151" t="s">
        <v>1037</v>
      </c>
      <c r="O89" s="151" t="s">
        <v>1037</v>
      </c>
      <c r="P89" s="151" t="s">
        <v>1037</v>
      </c>
      <c r="Q89" s="151" t="s">
        <v>1037</v>
      </c>
      <c r="R89" s="151" t="s">
        <v>1037</v>
      </c>
      <c r="S89" s="151" t="s">
        <v>1037</v>
      </c>
      <c r="T89" s="151" t="s">
        <v>1037</v>
      </c>
      <c r="U89" s="151" t="s">
        <v>1038</v>
      </c>
      <c r="V89" s="151" t="s">
        <v>1038</v>
      </c>
      <c r="X89" s="14" t="s">
        <v>1036</v>
      </c>
      <c r="Y89" s="5" t="s">
        <v>1038</v>
      </c>
      <c r="Z89" s="5" t="s">
        <v>1038</v>
      </c>
      <c r="AA89" s="5" t="s">
        <v>1038</v>
      </c>
    </row>
    <row r="90" spans="1:256" ht="10.5" collapsed="1" x14ac:dyDescent="0.2">
      <c r="A90" s="14" t="s">
        <v>1103</v>
      </c>
      <c r="B90" s="14"/>
      <c r="C90" s="151"/>
      <c r="D90" s="151"/>
      <c r="E90" s="151"/>
      <c r="F90" s="151"/>
      <c r="G90" s="151"/>
      <c r="H90" s="151"/>
      <c r="I90" s="151"/>
      <c r="J90" s="151"/>
      <c r="K90" s="151"/>
      <c r="L90" s="151"/>
      <c r="M90" s="151"/>
      <c r="N90" s="151"/>
      <c r="O90" s="151"/>
      <c r="P90" s="151"/>
      <c r="Q90" s="151"/>
      <c r="R90" s="151"/>
      <c r="S90" s="151"/>
      <c r="T90" s="151"/>
      <c r="U90" s="151"/>
      <c r="V90" s="151"/>
      <c r="X90" s="14" t="s">
        <v>1103</v>
      </c>
      <c r="Y90" s="5"/>
      <c r="Z90" s="5"/>
      <c r="AA90" s="5"/>
    </row>
    <row r="91" spans="1:256" x14ac:dyDescent="0.2">
      <c r="A91" s="5" t="s">
        <v>1104</v>
      </c>
      <c r="B91" s="5"/>
      <c r="C91" s="26">
        <v>-1232</v>
      </c>
      <c r="D91" s="26">
        <v>181965</v>
      </c>
      <c r="E91" s="26">
        <v>480834</v>
      </c>
      <c r="F91" s="26">
        <v>776575</v>
      </c>
      <c r="G91" s="26">
        <v>533511</v>
      </c>
      <c r="H91" s="26">
        <v>840827</v>
      </c>
      <c r="I91" s="26">
        <v>1183720</v>
      </c>
      <c r="J91" s="26">
        <v>1656871</v>
      </c>
      <c r="K91" s="26">
        <v>1993617</v>
      </c>
      <c r="L91" s="26">
        <v>1147129</v>
      </c>
      <c r="M91" s="26">
        <v>1312501</v>
      </c>
      <c r="N91" s="26">
        <v>3333638</v>
      </c>
      <c r="O91" s="26">
        <v>5737439</v>
      </c>
      <c r="P91" s="26">
        <v>7400007</v>
      </c>
      <c r="Q91" s="26">
        <v>10032755</v>
      </c>
      <c r="R91" s="26">
        <v>16289692</v>
      </c>
      <c r="S91" s="160">
        <v>22290107</v>
      </c>
      <c r="T91" s="26">
        <v>27368122</v>
      </c>
      <c r="U91" s="26">
        <v>35528</v>
      </c>
      <c r="V91" s="26">
        <v>39582</v>
      </c>
      <c r="X91" s="5" t="s">
        <v>1104</v>
      </c>
      <c r="Y91" s="15">
        <v>17233</v>
      </c>
      <c r="Z91" s="15">
        <v>22349</v>
      </c>
      <c r="AA91" s="15">
        <v>15328</v>
      </c>
      <c r="AC91" s="9"/>
    </row>
    <row r="92" spans="1:256" x14ac:dyDescent="0.2">
      <c r="A92" s="5" t="s">
        <v>1105</v>
      </c>
      <c r="B92" s="5"/>
      <c r="C92" s="26">
        <v>33368</v>
      </c>
      <c r="D92" s="26">
        <v>38841</v>
      </c>
      <c r="E92" s="26">
        <v>54002</v>
      </c>
      <c r="F92" s="26">
        <v>64930</v>
      </c>
      <c r="G92" s="26">
        <v>83861</v>
      </c>
      <c r="H92" s="26">
        <v>152098</v>
      </c>
      <c r="I92" s="26">
        <v>217893</v>
      </c>
      <c r="J92" s="26">
        <v>144101</v>
      </c>
      <c r="K92" s="26">
        <v>186345</v>
      </c>
      <c r="L92" s="26">
        <v>215922</v>
      </c>
      <c r="M92" s="26">
        <v>173344</v>
      </c>
      <c r="N92" s="26">
        <v>91423</v>
      </c>
      <c r="O92" s="26">
        <v>100139</v>
      </c>
      <c r="P92" s="26">
        <v>273796</v>
      </c>
      <c r="Q92" s="26">
        <v>272461</v>
      </c>
      <c r="R92" s="26">
        <v>237387</v>
      </c>
      <c r="S92" s="160">
        <v>474575</v>
      </c>
      <c r="T92" s="26">
        <v>1068382</v>
      </c>
      <c r="U92" s="26">
        <v>1565</v>
      </c>
      <c r="V92" s="26">
        <v>1794</v>
      </c>
      <c r="X92" s="5" t="s">
        <v>1105</v>
      </c>
      <c r="Y92" s="15">
        <v>890</v>
      </c>
      <c r="Z92" s="15">
        <v>904</v>
      </c>
      <c r="AA92" s="15">
        <v>920</v>
      </c>
    </row>
    <row r="93" spans="1:256" x14ac:dyDescent="0.2">
      <c r="A93" s="5" t="s">
        <v>1106</v>
      </c>
      <c r="B93" s="5"/>
      <c r="C93" s="26">
        <v>11106</v>
      </c>
      <c r="D93" s="26">
        <v>5553</v>
      </c>
      <c r="E93" s="26">
        <v>0</v>
      </c>
      <c r="F93" s="26">
        <v>0</v>
      </c>
      <c r="G93" s="26">
        <v>0</v>
      </c>
      <c r="H93" s="26">
        <v>0</v>
      </c>
      <c r="I93" s="26">
        <v>51585</v>
      </c>
      <c r="J93" s="26">
        <v>0</v>
      </c>
      <c r="K93" s="26">
        <v>0</v>
      </c>
      <c r="L93" s="26">
        <v>0</v>
      </c>
      <c r="M93" s="26">
        <v>0</v>
      </c>
      <c r="N93" s="26">
        <v>0</v>
      </c>
      <c r="O93" s="26">
        <v>0</v>
      </c>
      <c r="P93" s="26">
        <v>0</v>
      </c>
      <c r="Q93" s="26">
        <v>0</v>
      </c>
      <c r="R93" s="26">
        <v>0</v>
      </c>
      <c r="S93" s="160">
        <v>0</v>
      </c>
      <c r="T93" s="26">
        <v>98326</v>
      </c>
      <c r="U93" s="26">
        <v>213</v>
      </c>
      <c r="V93" s="26">
        <v>353</v>
      </c>
      <c r="X93" s="5" t="s">
        <v>1106</v>
      </c>
      <c r="Y93" s="15">
        <v>163</v>
      </c>
      <c r="Z93" s="15">
        <v>190</v>
      </c>
      <c r="AA93" s="15">
        <v>161</v>
      </c>
      <c r="AB93" s="9"/>
    </row>
    <row r="94" spans="1:256" x14ac:dyDescent="0.2">
      <c r="A94" s="5" t="s">
        <v>1107</v>
      </c>
      <c r="B94" s="5"/>
      <c r="C94" s="26">
        <v>0</v>
      </c>
      <c r="D94" s="26">
        <v>-393</v>
      </c>
      <c r="E94" s="26">
        <v>3003</v>
      </c>
      <c r="F94" s="26">
        <v>250</v>
      </c>
      <c r="G94" s="26">
        <v>1436</v>
      </c>
      <c r="H94" s="26">
        <v>0</v>
      </c>
      <c r="I94" s="26">
        <v>0</v>
      </c>
      <c r="J94" s="26">
        <v>5483</v>
      </c>
      <c r="K94" s="26">
        <v>3768</v>
      </c>
      <c r="L94" s="26">
        <v>-11395</v>
      </c>
      <c r="M94" s="26">
        <v>-3237</v>
      </c>
      <c r="N94" s="26">
        <v>0</v>
      </c>
      <c r="O94" s="26">
        <v>9079</v>
      </c>
      <c r="P94" s="26">
        <v>-4135</v>
      </c>
      <c r="Q94" s="26">
        <v>-40024</v>
      </c>
      <c r="R94" s="26">
        <v>-5480</v>
      </c>
      <c r="S94" s="160">
        <v>28477</v>
      </c>
      <c r="T94" s="26">
        <v>0</v>
      </c>
      <c r="U94" s="26">
        <v>0</v>
      </c>
      <c r="V94" s="26">
        <v>28</v>
      </c>
      <c r="X94" s="5" t="s">
        <v>1107</v>
      </c>
      <c r="Y94" s="15">
        <v>0</v>
      </c>
      <c r="Z94" s="15">
        <v>28</v>
      </c>
      <c r="AA94" s="15">
        <v>-6</v>
      </c>
    </row>
    <row r="95" spans="1:256" x14ac:dyDescent="0.2">
      <c r="A95" s="5" t="s">
        <v>1108</v>
      </c>
      <c r="B95" s="5"/>
      <c r="C95" s="26">
        <v>0</v>
      </c>
      <c r="D95" s="26">
        <v>0</v>
      </c>
      <c r="E95" s="26">
        <v>3098</v>
      </c>
      <c r="F95" s="26">
        <v>0</v>
      </c>
      <c r="G95" s="26">
        <v>0</v>
      </c>
      <c r="H95" s="26">
        <v>0</v>
      </c>
      <c r="I95" s="26">
        <v>0</v>
      </c>
      <c r="J95" s="26">
        <v>0</v>
      </c>
      <c r="K95" s="26">
        <v>0</v>
      </c>
      <c r="L95" s="26">
        <v>0</v>
      </c>
      <c r="M95" s="26">
        <v>0</v>
      </c>
      <c r="N95" s="26">
        <v>0</v>
      </c>
      <c r="O95" s="26">
        <v>0</v>
      </c>
      <c r="P95" s="26">
        <v>0</v>
      </c>
      <c r="Q95" s="26">
        <v>0</v>
      </c>
      <c r="R95" s="26">
        <v>0</v>
      </c>
      <c r="S95" s="160">
        <v>0</v>
      </c>
      <c r="T95" s="26">
        <v>0</v>
      </c>
      <c r="U95" s="26">
        <v>0</v>
      </c>
      <c r="V95" s="26">
        <v>0</v>
      </c>
      <c r="X95" s="5" t="s">
        <v>1109</v>
      </c>
      <c r="Y95" s="15">
        <v>0</v>
      </c>
      <c r="Z95" s="15">
        <v>0</v>
      </c>
      <c r="AA95" s="15">
        <v>0</v>
      </c>
    </row>
    <row r="96" spans="1:256" x14ac:dyDescent="0.2">
      <c r="A96" s="5" t="s">
        <v>1110</v>
      </c>
      <c r="B96" s="5"/>
      <c r="C96" s="26">
        <v>0</v>
      </c>
      <c r="D96" s="26">
        <v>0</v>
      </c>
      <c r="E96" s="26">
        <v>0</v>
      </c>
      <c r="F96" s="26">
        <v>0</v>
      </c>
      <c r="G96" s="26">
        <v>0</v>
      </c>
      <c r="H96" s="26">
        <v>0</v>
      </c>
      <c r="I96" s="26">
        <v>0</v>
      </c>
      <c r="J96" s="26">
        <v>0</v>
      </c>
      <c r="K96" s="26">
        <v>0</v>
      </c>
      <c r="L96" s="26">
        <v>0</v>
      </c>
      <c r="M96" s="26">
        <v>0</v>
      </c>
      <c r="N96" s="26">
        <v>0</v>
      </c>
      <c r="O96" s="26">
        <v>0</v>
      </c>
      <c r="P96" s="26">
        <v>0</v>
      </c>
      <c r="Q96" s="26">
        <v>0</v>
      </c>
      <c r="R96" s="26">
        <v>156037</v>
      </c>
      <c r="S96" s="160">
        <v>915798</v>
      </c>
      <c r="T96" s="26">
        <v>0</v>
      </c>
      <c r="U96" s="26">
        <v>0</v>
      </c>
      <c r="V96" s="26">
        <v>0</v>
      </c>
      <c r="X96" s="5" t="s">
        <v>1111</v>
      </c>
      <c r="Y96" s="15">
        <v>0</v>
      </c>
      <c r="Z96" s="15">
        <v>0</v>
      </c>
      <c r="AA96" s="15">
        <v>0</v>
      </c>
    </row>
    <row r="97" spans="1:27" x14ac:dyDescent="0.2">
      <c r="A97" s="5" t="s">
        <v>1112</v>
      </c>
      <c r="B97" s="5"/>
      <c r="C97" s="26">
        <v>0</v>
      </c>
      <c r="D97" s="26">
        <v>0</v>
      </c>
      <c r="E97" s="26">
        <v>0</v>
      </c>
      <c r="F97" s="26">
        <v>0</v>
      </c>
      <c r="G97" s="26">
        <v>0</v>
      </c>
      <c r="H97" s="26">
        <v>0</v>
      </c>
      <c r="I97" s="26">
        <v>0</v>
      </c>
      <c r="J97" s="26">
        <v>0</v>
      </c>
      <c r="K97" s="26">
        <v>0</v>
      </c>
      <c r="L97" s="26">
        <v>0</v>
      </c>
      <c r="M97" s="26">
        <v>0</v>
      </c>
      <c r="N97" s="26">
        <v>0</v>
      </c>
      <c r="O97" s="26">
        <v>0</v>
      </c>
      <c r="P97" s="26">
        <v>0</v>
      </c>
      <c r="Q97" s="26">
        <v>0</v>
      </c>
      <c r="R97" s="26">
        <v>0</v>
      </c>
      <c r="S97" s="160">
        <v>0</v>
      </c>
      <c r="T97" s="26">
        <v>734891</v>
      </c>
      <c r="U97" s="26">
        <v>0</v>
      </c>
      <c r="V97" s="26">
        <v>5</v>
      </c>
      <c r="X97" s="5" t="s">
        <v>1112</v>
      </c>
      <c r="Y97" s="15">
        <v>1</v>
      </c>
      <c r="Z97" s="15">
        <v>4</v>
      </c>
      <c r="AA97" s="15">
        <v>189</v>
      </c>
    </row>
    <row r="98" spans="1:27" x14ac:dyDescent="0.2">
      <c r="A98" s="5" t="s">
        <v>1113</v>
      </c>
      <c r="B98" s="5"/>
      <c r="C98" s="26">
        <v>0</v>
      </c>
      <c r="D98" s="26">
        <v>0</v>
      </c>
      <c r="E98" s="26">
        <v>0</v>
      </c>
      <c r="F98" s="26">
        <v>0</v>
      </c>
      <c r="G98" s="26">
        <v>0</v>
      </c>
      <c r="H98" s="26">
        <v>0</v>
      </c>
      <c r="I98" s="26">
        <v>0</v>
      </c>
      <c r="J98" s="26">
        <v>0</v>
      </c>
      <c r="K98" s="26">
        <v>0</v>
      </c>
      <c r="L98" s="26">
        <v>0</v>
      </c>
      <c r="M98" s="26">
        <v>343575</v>
      </c>
      <c r="N98" s="26">
        <v>325000</v>
      </c>
      <c r="O98" s="26">
        <v>67758</v>
      </c>
      <c r="P98" s="26">
        <v>0</v>
      </c>
      <c r="Q98" s="26">
        <v>0</v>
      </c>
      <c r="R98" s="26">
        <v>0</v>
      </c>
      <c r="S98" s="160">
        <v>0</v>
      </c>
      <c r="T98" s="26">
        <v>0</v>
      </c>
      <c r="U98" s="26">
        <v>0</v>
      </c>
      <c r="V98" s="26">
        <v>0</v>
      </c>
      <c r="X98" s="5" t="s">
        <v>1114</v>
      </c>
      <c r="Y98" s="15">
        <v>0</v>
      </c>
      <c r="Z98" s="15">
        <v>0</v>
      </c>
      <c r="AA98" s="15">
        <v>0</v>
      </c>
    </row>
    <row r="99" spans="1:27" x14ac:dyDescent="0.2">
      <c r="A99" s="5" t="s">
        <v>1115</v>
      </c>
      <c r="B99" s="5"/>
      <c r="C99" s="26">
        <v>0</v>
      </c>
      <c r="D99" s="26">
        <v>0</v>
      </c>
      <c r="E99" s="26">
        <v>0</v>
      </c>
      <c r="F99" s="26">
        <v>0</v>
      </c>
      <c r="G99" s="26">
        <v>0</v>
      </c>
      <c r="H99" s="26">
        <v>0</v>
      </c>
      <c r="I99" s="26">
        <v>0</v>
      </c>
      <c r="J99" s="26">
        <v>0</v>
      </c>
      <c r="K99" s="26">
        <v>0</v>
      </c>
      <c r="L99" s="26">
        <v>0</v>
      </c>
      <c r="M99" s="26">
        <v>0</v>
      </c>
      <c r="N99" s="26">
        <v>0</v>
      </c>
      <c r="O99" s="26">
        <v>0</v>
      </c>
      <c r="P99" s="26">
        <v>0</v>
      </c>
      <c r="Q99" s="26">
        <v>0</v>
      </c>
      <c r="R99" s="26">
        <v>0</v>
      </c>
      <c r="S99" s="160">
        <v>0</v>
      </c>
      <c r="T99" s="26">
        <v>-5200000</v>
      </c>
      <c r="U99" s="26">
        <v>-10345</v>
      </c>
      <c r="V99" s="26">
        <v>-7319</v>
      </c>
      <c r="X99" s="5" t="s">
        <v>1115</v>
      </c>
      <c r="Y99" s="15">
        <v>-3964</v>
      </c>
      <c r="Z99" s="15">
        <v>-3355</v>
      </c>
      <c r="AA99" s="15">
        <v>-4256</v>
      </c>
    </row>
    <row r="100" spans="1:27" x14ac:dyDescent="0.2">
      <c r="A100" s="5" t="s">
        <v>1116</v>
      </c>
      <c r="B100" s="5"/>
      <c r="C100" s="26">
        <v>-235306</v>
      </c>
      <c r="D100" s="26">
        <v>-668425</v>
      </c>
      <c r="E100" s="26">
        <v>-1071925</v>
      </c>
      <c r="F100" s="26">
        <v>-2149782</v>
      </c>
      <c r="G100" s="26">
        <v>-1301384</v>
      </c>
      <c r="H100" s="26">
        <v>-1250139</v>
      </c>
      <c r="I100" s="26">
        <v>-9913442</v>
      </c>
      <c r="J100" s="26">
        <v>6561036</v>
      </c>
      <c r="K100" s="26">
        <v>-3526475</v>
      </c>
      <c r="L100" s="26">
        <v>-2321718</v>
      </c>
      <c r="M100" s="26">
        <v>-2168706</v>
      </c>
      <c r="N100" s="26">
        <v>-3581911</v>
      </c>
      <c r="O100" s="26">
        <v>-1134832</v>
      </c>
      <c r="P100" s="26">
        <v>-1044544</v>
      </c>
      <c r="Q100" s="26">
        <v>-9348508</v>
      </c>
      <c r="R100" s="26">
        <v>-18906366</v>
      </c>
      <c r="S100" s="160">
        <v>-22077763</v>
      </c>
      <c r="T100" s="26">
        <v>-13466853</v>
      </c>
      <c r="U100" s="26">
        <v>-12378</v>
      </c>
      <c r="V100" s="26">
        <v>-22425</v>
      </c>
      <c r="X100" s="5" t="s">
        <v>1116</v>
      </c>
      <c r="Y100" s="15">
        <v>0</v>
      </c>
      <c r="Z100" s="15">
        <v>-22425</v>
      </c>
      <c r="AA100" s="15">
        <v>0</v>
      </c>
    </row>
    <row r="101" spans="1:27" x14ac:dyDescent="0.2">
      <c r="A101" s="5" t="s">
        <v>1070</v>
      </c>
      <c r="B101" s="5"/>
      <c r="C101" s="26">
        <v>-59514</v>
      </c>
      <c r="D101" s="26">
        <v>100844</v>
      </c>
      <c r="E101" s="26">
        <v>-9204</v>
      </c>
      <c r="F101" s="26">
        <v>16943</v>
      </c>
      <c r="G101" s="26">
        <v>-124542</v>
      </c>
      <c r="H101" s="26">
        <v>-163598</v>
      </c>
      <c r="I101" s="26">
        <v>-1108223</v>
      </c>
      <c r="J101" s="26">
        <v>991047</v>
      </c>
      <c r="K101" s="26">
        <v>43552</v>
      </c>
      <c r="L101" s="26">
        <v>-5532</v>
      </c>
      <c r="M101" s="26">
        <v>79530</v>
      </c>
      <c r="N101" s="26">
        <v>-232225</v>
      </c>
      <c r="O101" s="26">
        <v>816</v>
      </c>
      <c r="P101" s="26">
        <v>138673</v>
      </c>
      <c r="Q101" s="26">
        <v>-567313</v>
      </c>
      <c r="R101" s="26">
        <v>-209154</v>
      </c>
      <c r="S101" s="160">
        <v>-944838</v>
      </c>
      <c r="T101" s="26">
        <v>-2271463</v>
      </c>
      <c r="U101" s="26">
        <v>-202</v>
      </c>
      <c r="V101" s="26">
        <v>1830</v>
      </c>
      <c r="X101" s="5" t="s">
        <v>1070</v>
      </c>
      <c r="Y101" s="15">
        <v>2244</v>
      </c>
      <c r="Z101" s="15">
        <v>-414</v>
      </c>
      <c r="AA101" s="15">
        <v>-1270</v>
      </c>
    </row>
    <row r="102" spans="1:27" x14ac:dyDescent="0.2">
      <c r="A102" s="5" t="s">
        <v>1117</v>
      </c>
      <c r="B102" s="5"/>
      <c r="C102" s="26">
        <v>292064</v>
      </c>
      <c r="D102" s="26">
        <v>595000</v>
      </c>
      <c r="E102" s="26">
        <v>731747</v>
      </c>
      <c r="F102" s="26">
        <v>804728</v>
      </c>
      <c r="G102" s="26">
        <v>-37716</v>
      </c>
      <c r="H102" s="26">
        <v>1083418</v>
      </c>
      <c r="I102" s="26">
        <v>8839365</v>
      </c>
      <c r="J102" s="26">
        <v>-4020076</v>
      </c>
      <c r="K102" s="26">
        <v>1188960</v>
      </c>
      <c r="L102" s="26">
        <v>-1889297</v>
      </c>
      <c r="M102" s="26">
        <v>679609</v>
      </c>
      <c r="N102" s="26">
        <v>3864324</v>
      </c>
      <c r="O102" s="26">
        <v>1744768</v>
      </c>
      <c r="P102" s="26">
        <v>809150</v>
      </c>
      <c r="Q102" s="26">
        <v>8591310</v>
      </c>
      <c r="R102" s="26">
        <v>3896386</v>
      </c>
      <c r="S102" s="160">
        <v>13493892</v>
      </c>
      <c r="T102" s="26">
        <v>9682339</v>
      </c>
      <c r="U102" s="26">
        <v>21352</v>
      </c>
      <c r="V102" s="26">
        <v>33563</v>
      </c>
      <c r="X102" s="5" t="s">
        <v>1117</v>
      </c>
      <c r="Y102" s="15">
        <v>0</v>
      </c>
      <c r="Z102" s="15">
        <v>33563</v>
      </c>
      <c r="AA102" s="15">
        <v>0</v>
      </c>
    </row>
    <row r="103" spans="1:27" x14ac:dyDescent="0.2">
      <c r="A103" s="5" t="s">
        <v>1083</v>
      </c>
      <c r="B103" s="5"/>
      <c r="C103" s="26">
        <v>0</v>
      </c>
      <c r="D103" s="26">
        <v>0</v>
      </c>
      <c r="E103" s="26">
        <v>0</v>
      </c>
      <c r="F103" s="26">
        <v>0</v>
      </c>
      <c r="G103" s="26">
        <v>0</v>
      </c>
      <c r="H103" s="26">
        <v>0</v>
      </c>
      <c r="I103" s="26">
        <v>0</v>
      </c>
      <c r="J103" s="26">
        <v>0</v>
      </c>
      <c r="K103" s="26">
        <v>0</v>
      </c>
      <c r="L103" s="26">
        <v>0</v>
      </c>
      <c r="M103" s="26">
        <v>0</v>
      </c>
      <c r="N103" s="26">
        <v>0</v>
      </c>
      <c r="O103" s="26">
        <v>0</v>
      </c>
      <c r="P103" s="26">
        <v>0</v>
      </c>
      <c r="Q103" s="26">
        <v>0</v>
      </c>
      <c r="R103" s="26">
        <v>0</v>
      </c>
      <c r="S103" s="160">
        <v>416500</v>
      </c>
      <c r="T103" s="26">
        <v>-357000</v>
      </c>
      <c r="U103" s="26">
        <v>-60</v>
      </c>
      <c r="V103" s="26">
        <v>0</v>
      </c>
      <c r="X103" s="5" t="s">
        <v>1083</v>
      </c>
      <c r="Y103" s="15">
        <v>0</v>
      </c>
      <c r="Z103" s="15">
        <v>0</v>
      </c>
      <c r="AA103" s="15">
        <v>0</v>
      </c>
    </row>
    <row r="104" spans="1:27" x14ac:dyDescent="0.2">
      <c r="A104" s="5"/>
      <c r="B104" s="5"/>
      <c r="C104" s="26"/>
      <c r="D104" s="26"/>
      <c r="E104" s="26"/>
      <c r="F104" s="26"/>
      <c r="G104" s="26"/>
      <c r="H104" s="26"/>
      <c r="I104" s="26"/>
      <c r="J104" s="26"/>
      <c r="K104" s="26"/>
      <c r="L104" s="26"/>
      <c r="M104" s="26"/>
      <c r="N104" s="26"/>
      <c r="O104" s="26"/>
      <c r="P104" s="26"/>
      <c r="Q104" s="26"/>
      <c r="R104" s="26"/>
      <c r="S104" s="26"/>
      <c r="T104" s="26"/>
      <c r="U104" s="26"/>
      <c r="V104" s="26"/>
      <c r="X104" s="5" t="s">
        <v>1118</v>
      </c>
      <c r="Y104" s="15">
        <v>-12051</v>
      </c>
      <c r="Z104" s="15">
        <v>12051</v>
      </c>
      <c r="AA104" s="15">
        <v>6706</v>
      </c>
    </row>
    <row r="105" spans="1:27" x14ac:dyDescent="0.2">
      <c r="A105" s="5"/>
      <c r="B105" s="5"/>
      <c r="C105" s="26"/>
      <c r="D105" s="26"/>
      <c r="E105" s="26"/>
      <c r="F105" s="26"/>
      <c r="G105" s="26"/>
      <c r="H105" s="26"/>
      <c r="I105" s="26"/>
      <c r="J105" s="26"/>
      <c r="K105" s="26"/>
      <c r="L105" s="26"/>
      <c r="M105" s="26"/>
      <c r="N105" s="26"/>
      <c r="O105" s="26"/>
      <c r="P105" s="26"/>
      <c r="Q105" s="26"/>
      <c r="R105" s="26"/>
      <c r="S105" s="26"/>
      <c r="T105" s="26"/>
      <c r="U105" s="26"/>
      <c r="V105" s="26"/>
      <c r="X105" s="5" t="s">
        <v>1119</v>
      </c>
      <c r="Y105" s="15">
        <v>5039</v>
      </c>
      <c r="Z105" s="15">
        <v>-5039</v>
      </c>
      <c r="AA105" s="15">
        <v>725</v>
      </c>
    </row>
    <row r="106" spans="1:27" ht="10.5" x14ac:dyDescent="0.2">
      <c r="A106" s="14" t="s">
        <v>1120</v>
      </c>
      <c r="B106" s="14"/>
      <c r="C106" s="152">
        <v>40486</v>
      </c>
      <c r="D106" s="152">
        <v>253385</v>
      </c>
      <c r="E106" s="152">
        <v>191555</v>
      </c>
      <c r="F106" s="152">
        <v>-486356</v>
      </c>
      <c r="G106" s="152">
        <v>-844834</v>
      </c>
      <c r="H106" s="152">
        <v>662606</v>
      </c>
      <c r="I106" s="152">
        <v>-729102</v>
      </c>
      <c r="J106" s="152">
        <v>5338462</v>
      </c>
      <c r="K106" s="152">
        <v>-110233</v>
      </c>
      <c r="L106" s="152">
        <v>-2864891</v>
      </c>
      <c r="M106" s="152">
        <v>416616</v>
      </c>
      <c r="N106" s="152">
        <v>3800249</v>
      </c>
      <c r="O106" s="152">
        <v>6525167</v>
      </c>
      <c r="P106" s="152">
        <v>7572947</v>
      </c>
      <c r="Q106" s="152">
        <v>8940681</v>
      </c>
      <c r="R106" s="152">
        <v>1458502</v>
      </c>
      <c r="S106" s="152">
        <v>14596748</v>
      </c>
      <c r="T106" s="152">
        <v>17656744</v>
      </c>
      <c r="U106" s="152">
        <v>35673</v>
      </c>
      <c r="V106" s="152">
        <v>47411</v>
      </c>
      <c r="X106" s="14" t="s">
        <v>1120</v>
      </c>
      <c r="Y106" s="17">
        <v>9555</v>
      </c>
      <c r="Z106" s="17">
        <v>37856</v>
      </c>
      <c r="AA106" s="17">
        <v>18497</v>
      </c>
    </row>
    <row r="107" spans="1:27" x14ac:dyDescent="0.2">
      <c r="A107" s="5"/>
      <c r="B107" s="5"/>
      <c r="C107" s="151"/>
      <c r="D107" s="151"/>
      <c r="E107" s="151"/>
      <c r="F107" s="151"/>
      <c r="G107" s="151"/>
      <c r="H107" s="151"/>
      <c r="I107" s="151"/>
      <c r="J107" s="151"/>
      <c r="K107" s="151"/>
      <c r="L107" s="151"/>
      <c r="M107" s="151"/>
      <c r="N107" s="151"/>
      <c r="O107" s="151"/>
      <c r="P107" s="151"/>
      <c r="Q107" s="151"/>
      <c r="R107" s="151"/>
      <c r="S107" s="151"/>
      <c r="T107" s="151"/>
      <c r="U107" s="151"/>
      <c r="V107" s="151"/>
      <c r="X107" s="5"/>
      <c r="Y107" s="5"/>
      <c r="Z107" s="5">
        <v>0</v>
      </c>
      <c r="AA107" s="5"/>
    </row>
    <row r="108" spans="1:27" ht="10.5" x14ac:dyDescent="0.2">
      <c r="A108" s="14" t="s">
        <v>1121</v>
      </c>
      <c r="B108" s="14"/>
      <c r="C108" s="151"/>
      <c r="D108" s="151"/>
      <c r="E108" s="151"/>
      <c r="F108" s="151"/>
      <c r="G108" s="151"/>
      <c r="H108" s="151"/>
      <c r="I108" s="151"/>
      <c r="J108" s="151"/>
      <c r="K108" s="151"/>
      <c r="L108" s="151"/>
      <c r="M108" s="151"/>
      <c r="N108" s="151"/>
      <c r="O108" s="151"/>
      <c r="P108" s="151"/>
      <c r="Q108" s="151"/>
      <c r="R108" s="151"/>
      <c r="S108" s="151"/>
      <c r="T108" s="151"/>
      <c r="U108" s="151"/>
      <c r="V108" s="151"/>
      <c r="X108" s="14" t="s">
        <v>1121</v>
      </c>
      <c r="Y108" s="5"/>
      <c r="Z108" s="5">
        <v>0</v>
      </c>
      <c r="AA108" s="5"/>
    </row>
    <row r="109" spans="1:27" x14ac:dyDescent="0.2">
      <c r="A109" s="5" t="s">
        <v>1122</v>
      </c>
      <c r="B109" s="5"/>
      <c r="C109" s="26">
        <v>0</v>
      </c>
      <c r="D109" s="26">
        <v>0</v>
      </c>
      <c r="E109" s="26">
        <v>0</v>
      </c>
      <c r="F109" s="26">
        <v>0</v>
      </c>
      <c r="G109" s="26">
        <v>0</v>
      </c>
      <c r="H109" s="26">
        <v>0</v>
      </c>
      <c r="I109" s="26">
        <v>0</v>
      </c>
      <c r="J109" s="26">
        <v>-149474</v>
      </c>
      <c r="K109" s="26">
        <v>-506126</v>
      </c>
      <c r="L109" s="26">
        <v>-259970</v>
      </c>
      <c r="M109" s="26">
        <v>-104352</v>
      </c>
      <c r="N109" s="26">
        <v>-146769</v>
      </c>
      <c r="O109" s="26">
        <v>-229742</v>
      </c>
      <c r="P109" s="26">
        <v>-162537</v>
      </c>
      <c r="Q109" s="26">
        <v>-231669</v>
      </c>
      <c r="R109" s="26">
        <v>-576021</v>
      </c>
      <c r="S109" s="160">
        <v>-4500019</v>
      </c>
      <c r="T109" s="26">
        <v>-2722328</v>
      </c>
      <c r="U109" s="26">
        <v>-1822</v>
      </c>
      <c r="V109" s="26">
        <v>-2217</v>
      </c>
      <c r="X109" s="5" t="s">
        <v>1122</v>
      </c>
      <c r="Y109" s="15">
        <v>-1251</v>
      </c>
      <c r="Z109" s="15">
        <v>-966</v>
      </c>
      <c r="AA109" s="15">
        <v>-686</v>
      </c>
    </row>
    <row r="110" spans="1:27" x14ac:dyDescent="0.2">
      <c r="A110" s="5" t="s">
        <v>1123</v>
      </c>
      <c r="B110" s="5"/>
      <c r="C110" s="26">
        <v>-19425</v>
      </c>
      <c r="D110" s="26">
        <v>-37289</v>
      </c>
      <c r="E110" s="26">
        <v>-112745</v>
      </c>
      <c r="F110" s="26">
        <v>-80965</v>
      </c>
      <c r="G110" s="26">
        <v>-250558</v>
      </c>
      <c r="H110" s="26">
        <v>-196624</v>
      </c>
      <c r="I110" s="26">
        <v>-80012</v>
      </c>
      <c r="J110" s="26">
        <v>0</v>
      </c>
      <c r="K110" s="26">
        <v>0</v>
      </c>
      <c r="L110" s="26">
        <v>0</v>
      </c>
      <c r="M110" s="26">
        <v>0</v>
      </c>
      <c r="N110" s="26">
        <v>0</v>
      </c>
      <c r="O110" s="26">
        <v>0</v>
      </c>
      <c r="P110" s="26">
        <v>0</v>
      </c>
      <c r="Q110" s="26">
        <v>0</v>
      </c>
      <c r="R110" s="26">
        <v>0</v>
      </c>
      <c r="S110" s="160">
        <v>0</v>
      </c>
      <c r="T110" s="26">
        <v>0</v>
      </c>
      <c r="U110" s="26">
        <v>0</v>
      </c>
      <c r="V110" s="26">
        <v>0</v>
      </c>
      <c r="X110" s="5" t="s">
        <v>1123</v>
      </c>
      <c r="Y110" s="15">
        <v>0</v>
      </c>
      <c r="Z110" s="15">
        <v>0</v>
      </c>
      <c r="AA110" s="15">
        <v>0</v>
      </c>
    </row>
    <row r="111" spans="1:27" x14ac:dyDescent="0.2">
      <c r="A111" s="5" t="s">
        <v>1124</v>
      </c>
      <c r="B111" s="5"/>
      <c r="C111" s="26">
        <v>0</v>
      </c>
      <c r="D111" s="26">
        <v>0</v>
      </c>
      <c r="E111" s="26">
        <v>0</v>
      </c>
      <c r="F111" s="26">
        <v>0</v>
      </c>
      <c r="G111" s="26">
        <v>0</v>
      </c>
      <c r="H111" s="26">
        <v>0</v>
      </c>
      <c r="I111" s="26">
        <v>0</v>
      </c>
      <c r="J111" s="26">
        <v>5000</v>
      </c>
      <c r="K111" s="26">
        <v>0</v>
      </c>
      <c r="L111" s="26">
        <v>129800</v>
      </c>
      <c r="M111" s="26">
        <v>153313</v>
      </c>
      <c r="N111" s="26">
        <v>0</v>
      </c>
      <c r="O111" s="26">
        <v>0</v>
      </c>
      <c r="P111" s="26">
        <v>13800</v>
      </c>
      <c r="Q111" s="26">
        <v>80447</v>
      </c>
      <c r="R111" s="26">
        <v>7480</v>
      </c>
      <c r="S111" s="160">
        <v>6500</v>
      </c>
      <c r="T111" s="26">
        <v>0</v>
      </c>
      <c r="U111" s="26">
        <v>0</v>
      </c>
      <c r="V111" s="26">
        <v>4</v>
      </c>
      <c r="X111" s="5" t="s">
        <v>1124</v>
      </c>
      <c r="Y111" s="15">
        <v>0</v>
      </c>
      <c r="Z111" s="15">
        <v>4</v>
      </c>
      <c r="AA111" s="15">
        <v>6</v>
      </c>
    </row>
    <row r="112" spans="1:27" x14ac:dyDescent="0.2">
      <c r="A112" s="5" t="s">
        <v>1125</v>
      </c>
      <c r="B112" s="5"/>
      <c r="C112" s="26">
        <v>0</v>
      </c>
      <c r="D112" s="26">
        <v>0</v>
      </c>
      <c r="E112" s="26">
        <v>0</v>
      </c>
      <c r="F112" s="26">
        <v>0</v>
      </c>
      <c r="G112" s="26">
        <v>0</v>
      </c>
      <c r="H112" s="26">
        <v>0</v>
      </c>
      <c r="I112" s="26">
        <v>-87990</v>
      </c>
      <c r="J112" s="26">
        <v>0</v>
      </c>
      <c r="K112" s="26">
        <v>0</v>
      </c>
      <c r="L112" s="26">
        <v>0</v>
      </c>
      <c r="M112" s="26">
        <v>0</v>
      </c>
      <c r="N112" s="26">
        <v>0</v>
      </c>
      <c r="O112" s="26">
        <v>0</v>
      </c>
      <c r="P112" s="26">
        <v>0</v>
      </c>
      <c r="Q112" s="26">
        <v>0</v>
      </c>
      <c r="R112" s="26">
        <v>0</v>
      </c>
      <c r="S112" s="160">
        <v>0</v>
      </c>
      <c r="T112" s="26">
        <v>0</v>
      </c>
      <c r="U112" s="26">
        <v>0</v>
      </c>
      <c r="V112" s="26">
        <v>0</v>
      </c>
      <c r="X112" s="5" t="s">
        <v>1125</v>
      </c>
      <c r="Y112" s="15">
        <v>0</v>
      </c>
      <c r="Z112" s="15">
        <v>0</v>
      </c>
      <c r="AA112" s="15">
        <v>0</v>
      </c>
    </row>
    <row r="113" spans="1:27" x14ac:dyDescent="0.2">
      <c r="A113" s="5" t="s">
        <v>1126</v>
      </c>
      <c r="B113" s="5"/>
      <c r="C113" s="26">
        <v>0</v>
      </c>
      <c r="D113" s="26">
        <v>0</v>
      </c>
      <c r="E113" s="26">
        <v>0</v>
      </c>
      <c r="F113" s="26">
        <v>0</v>
      </c>
      <c r="G113" s="26">
        <v>0</v>
      </c>
      <c r="H113" s="26">
        <v>0</v>
      </c>
      <c r="I113" s="26">
        <v>0</v>
      </c>
      <c r="J113" s="26">
        <v>0</v>
      </c>
      <c r="K113" s="26">
        <v>0</v>
      </c>
      <c r="L113" s="26">
        <v>0</v>
      </c>
      <c r="M113" s="26">
        <v>0</v>
      </c>
      <c r="N113" s="26">
        <v>0</v>
      </c>
      <c r="O113" s="26">
        <v>0</v>
      </c>
      <c r="P113" s="26">
        <v>0</v>
      </c>
      <c r="Q113" s="26">
        <v>0</v>
      </c>
      <c r="R113" s="26">
        <v>0</v>
      </c>
      <c r="S113" s="160">
        <v>0</v>
      </c>
      <c r="T113" s="26">
        <v>-374826</v>
      </c>
      <c r="U113" s="26">
        <v>-330</v>
      </c>
      <c r="V113" s="26">
        <v>-288</v>
      </c>
      <c r="X113" s="5" t="s">
        <v>1126</v>
      </c>
      <c r="Y113" s="15">
        <v>-108</v>
      </c>
      <c r="Z113" s="15">
        <v>-180</v>
      </c>
      <c r="AA113" s="15">
        <v>-335</v>
      </c>
    </row>
    <row r="114" spans="1:27" x14ac:dyDescent="0.2">
      <c r="A114" s="5" t="s">
        <v>1127</v>
      </c>
      <c r="B114" s="5"/>
      <c r="C114" s="26">
        <v>0</v>
      </c>
      <c r="D114" s="26">
        <v>0</v>
      </c>
      <c r="E114" s="26">
        <v>0</v>
      </c>
      <c r="F114" s="26">
        <v>0</v>
      </c>
      <c r="G114" s="26">
        <v>0</v>
      </c>
      <c r="H114" s="26">
        <v>0</v>
      </c>
      <c r="I114" s="26">
        <v>0</v>
      </c>
      <c r="J114" s="26">
        <v>0</v>
      </c>
      <c r="K114" s="26">
        <v>0</v>
      </c>
      <c r="L114" s="26">
        <v>0</v>
      </c>
      <c r="M114" s="26">
        <v>0</v>
      </c>
      <c r="N114" s="26">
        <v>0</v>
      </c>
      <c r="O114" s="26">
        <v>0</v>
      </c>
      <c r="P114" s="26">
        <v>-1513</v>
      </c>
      <c r="Q114" s="26">
        <v>0</v>
      </c>
      <c r="R114" s="26">
        <v>0</v>
      </c>
      <c r="S114" s="160">
        <v>0</v>
      </c>
      <c r="T114" s="26">
        <v>0</v>
      </c>
      <c r="U114" s="26">
        <v>0</v>
      </c>
      <c r="V114" s="26">
        <v>0</v>
      </c>
      <c r="X114" s="5" t="s">
        <v>1128</v>
      </c>
      <c r="Y114" s="15">
        <v>0</v>
      </c>
      <c r="Z114" s="15">
        <v>0</v>
      </c>
      <c r="AA114" s="15">
        <v>0</v>
      </c>
    </row>
    <row r="115" spans="1:27" x14ac:dyDescent="0.2">
      <c r="A115" s="5" t="s">
        <v>1129</v>
      </c>
      <c r="B115" s="5"/>
      <c r="C115" s="26">
        <v>-28000</v>
      </c>
      <c r="D115" s="26">
        <v>0</v>
      </c>
      <c r="E115" s="26">
        <v>0</v>
      </c>
      <c r="F115" s="26">
        <v>0</v>
      </c>
      <c r="G115" s="26">
        <v>0</v>
      </c>
      <c r="H115" s="26">
        <v>0</v>
      </c>
      <c r="I115" s="26">
        <v>-220918</v>
      </c>
      <c r="J115" s="26">
        <v>0</v>
      </c>
      <c r="K115" s="26">
        <v>0</v>
      </c>
      <c r="L115" s="26">
        <v>0</v>
      </c>
      <c r="M115" s="26">
        <v>0</v>
      </c>
      <c r="N115" s="26">
        <v>0</v>
      </c>
      <c r="O115" s="26">
        <v>0</v>
      </c>
      <c r="P115" s="26">
        <v>-120000</v>
      </c>
      <c r="Q115" s="26">
        <v>-9000702</v>
      </c>
      <c r="R115" s="26">
        <v>0</v>
      </c>
      <c r="S115" s="160">
        <v>-2065825</v>
      </c>
      <c r="T115" s="26">
        <v>0</v>
      </c>
      <c r="U115" s="26">
        <v>0</v>
      </c>
      <c r="V115" s="26">
        <v>0</v>
      </c>
      <c r="X115" s="5" t="s">
        <v>1129</v>
      </c>
      <c r="Y115" s="15">
        <v>0</v>
      </c>
      <c r="Z115" s="15">
        <v>0</v>
      </c>
      <c r="AA115" s="15">
        <v>0</v>
      </c>
    </row>
    <row r="116" spans="1:27" x14ac:dyDescent="0.2">
      <c r="A116" s="5" t="s">
        <v>1130</v>
      </c>
      <c r="B116" s="5"/>
      <c r="C116" s="26">
        <v>0</v>
      </c>
      <c r="D116" s="26">
        <v>0</v>
      </c>
      <c r="E116" s="26">
        <v>0</v>
      </c>
      <c r="F116" s="26">
        <v>0</v>
      </c>
      <c r="G116" s="26">
        <v>-9026</v>
      </c>
      <c r="H116" s="26">
        <v>0</v>
      </c>
      <c r="I116" s="26">
        <v>0</v>
      </c>
      <c r="J116" s="26">
        <v>-9750</v>
      </c>
      <c r="K116" s="26">
        <v>-3094</v>
      </c>
      <c r="L116" s="26">
        <v>-15901</v>
      </c>
      <c r="M116" s="26">
        <v>-30599</v>
      </c>
      <c r="N116" s="26">
        <v>-8596</v>
      </c>
      <c r="O116" s="26">
        <v>-1254</v>
      </c>
      <c r="P116" s="26">
        <v>-943</v>
      </c>
      <c r="Q116" s="26">
        <v>-55822</v>
      </c>
      <c r="R116" s="26">
        <v>-509</v>
      </c>
      <c r="S116" s="160">
        <v>0</v>
      </c>
      <c r="T116" s="26">
        <v>0</v>
      </c>
      <c r="U116" s="26">
        <v>0</v>
      </c>
      <c r="V116" s="26">
        <v>0</v>
      </c>
      <c r="X116" s="5" t="s">
        <v>1130</v>
      </c>
      <c r="Y116" s="15">
        <v>0</v>
      </c>
      <c r="Z116" s="15">
        <v>0</v>
      </c>
      <c r="AA116" s="15">
        <v>0</v>
      </c>
    </row>
    <row r="117" spans="1:27" x14ac:dyDescent="0.2">
      <c r="A117" s="5" t="s">
        <v>1131</v>
      </c>
      <c r="B117" s="5"/>
      <c r="C117" s="26">
        <v>-28893</v>
      </c>
      <c r="D117" s="26">
        <v>-40014</v>
      </c>
      <c r="E117" s="26">
        <v>-59178</v>
      </c>
      <c r="F117" s="26">
        <v>-41904</v>
      </c>
      <c r="G117" s="26">
        <v>0</v>
      </c>
      <c r="H117" s="26">
        <v>-123786</v>
      </c>
      <c r="I117" s="26">
        <v>-31577</v>
      </c>
      <c r="J117" s="26">
        <v>0</v>
      </c>
      <c r="K117" s="26">
        <v>0</v>
      </c>
      <c r="L117" s="26">
        <v>0</v>
      </c>
      <c r="M117" s="26">
        <v>0</v>
      </c>
      <c r="N117" s="26">
        <v>0</v>
      </c>
      <c r="O117" s="26">
        <v>0</v>
      </c>
      <c r="P117" s="26">
        <v>0</v>
      </c>
      <c r="Q117" s="26">
        <v>0</v>
      </c>
      <c r="R117" s="26">
        <v>0</v>
      </c>
      <c r="S117" s="160">
        <v>0</v>
      </c>
      <c r="T117" s="26">
        <v>0</v>
      </c>
      <c r="U117" s="26">
        <v>0</v>
      </c>
      <c r="V117" s="26">
        <v>0</v>
      </c>
      <c r="X117" s="5" t="s">
        <v>1131</v>
      </c>
      <c r="Y117" s="15">
        <v>0</v>
      </c>
      <c r="Z117" s="15">
        <v>0</v>
      </c>
      <c r="AA117" s="15">
        <v>0</v>
      </c>
    </row>
    <row r="118" spans="1:27" x14ac:dyDescent="0.2">
      <c r="A118" s="5" t="s">
        <v>1132</v>
      </c>
      <c r="B118" s="5"/>
      <c r="C118" s="26">
        <v>0</v>
      </c>
      <c r="D118" s="26">
        <v>0</v>
      </c>
      <c r="E118" s="26">
        <v>0</v>
      </c>
      <c r="F118" s="26">
        <v>0</v>
      </c>
      <c r="G118" s="26">
        <v>-3459</v>
      </c>
      <c r="H118" s="26">
        <v>0</v>
      </c>
      <c r="I118" s="26">
        <v>0</v>
      </c>
      <c r="J118" s="26">
        <v>0</v>
      </c>
      <c r="K118" s="26">
        <v>0</v>
      </c>
      <c r="L118" s="26">
        <v>0</v>
      </c>
      <c r="M118" s="26">
        <v>0</v>
      </c>
      <c r="N118" s="26">
        <v>0</v>
      </c>
      <c r="O118" s="26">
        <v>0</v>
      </c>
      <c r="P118" s="26">
        <v>0</v>
      </c>
      <c r="Q118" s="26">
        <v>0</v>
      </c>
      <c r="R118" s="26">
        <v>0</v>
      </c>
      <c r="S118" s="160">
        <v>0</v>
      </c>
      <c r="T118" s="26">
        <v>0</v>
      </c>
      <c r="U118" s="26">
        <v>0</v>
      </c>
      <c r="V118" s="26">
        <v>0</v>
      </c>
      <c r="X118" s="5" t="s">
        <v>1132</v>
      </c>
      <c r="Y118" s="15">
        <v>0</v>
      </c>
      <c r="Z118" s="15">
        <v>0</v>
      </c>
      <c r="AA118" s="15">
        <v>0</v>
      </c>
    </row>
    <row r="119" spans="1:27" x14ac:dyDescent="0.2">
      <c r="A119" s="5" t="s">
        <v>1133</v>
      </c>
      <c r="B119" s="5"/>
      <c r="C119" s="26">
        <v>0</v>
      </c>
      <c r="D119" s="26">
        <v>0</v>
      </c>
      <c r="E119" s="26">
        <v>0</v>
      </c>
      <c r="F119" s="26">
        <v>0</v>
      </c>
      <c r="G119" s="26">
        <v>-55612</v>
      </c>
      <c r="H119" s="26">
        <v>0</v>
      </c>
      <c r="I119" s="26">
        <v>0</v>
      </c>
      <c r="J119" s="26">
        <v>0</v>
      </c>
      <c r="K119" s="26">
        <v>0</v>
      </c>
      <c r="L119" s="26">
        <v>0</v>
      </c>
      <c r="M119" s="26">
        <v>0</v>
      </c>
      <c r="N119" s="26">
        <v>0</v>
      </c>
      <c r="O119" s="26">
        <v>0</v>
      </c>
      <c r="P119" s="26">
        <v>0</v>
      </c>
      <c r="Q119" s="26">
        <v>0</v>
      </c>
      <c r="R119" s="26">
        <v>0</v>
      </c>
      <c r="S119" s="160">
        <v>0</v>
      </c>
      <c r="T119" s="26">
        <v>0</v>
      </c>
      <c r="U119" s="26">
        <v>0</v>
      </c>
      <c r="V119" s="26">
        <v>0</v>
      </c>
      <c r="X119" s="5" t="s">
        <v>1133</v>
      </c>
      <c r="Y119" s="15">
        <v>0</v>
      </c>
      <c r="Z119" s="15">
        <v>0</v>
      </c>
      <c r="AA119" s="15">
        <v>0</v>
      </c>
    </row>
    <row r="120" spans="1:27" x14ac:dyDescent="0.2">
      <c r="A120" s="5" t="s">
        <v>1134</v>
      </c>
      <c r="B120" s="5"/>
      <c r="C120" s="26">
        <v>0</v>
      </c>
      <c r="D120" s="26">
        <v>0</v>
      </c>
      <c r="E120" s="26">
        <v>0</v>
      </c>
      <c r="F120" s="26">
        <v>0</v>
      </c>
      <c r="G120" s="26">
        <v>0</v>
      </c>
      <c r="H120" s="26">
        <v>0</v>
      </c>
      <c r="I120" s="26">
        <v>0</v>
      </c>
      <c r="J120" s="26">
        <v>0</v>
      </c>
      <c r="K120" s="26">
        <v>1539659</v>
      </c>
      <c r="L120" s="26">
        <v>0</v>
      </c>
      <c r="M120" s="26">
        <v>0</v>
      </c>
      <c r="N120" s="26">
        <v>0</v>
      </c>
      <c r="O120" s="26">
        <v>0</v>
      </c>
      <c r="P120" s="26">
        <v>0</v>
      </c>
      <c r="Q120" s="26">
        <v>0</v>
      </c>
      <c r="R120" s="26">
        <v>0</v>
      </c>
      <c r="S120" s="160">
        <v>0</v>
      </c>
      <c r="T120" s="26">
        <v>0</v>
      </c>
      <c r="U120" s="26">
        <v>0</v>
      </c>
      <c r="V120" s="26">
        <v>0</v>
      </c>
      <c r="X120" s="5" t="s">
        <v>1134</v>
      </c>
      <c r="Y120" s="15">
        <v>0</v>
      </c>
      <c r="Z120" s="15">
        <v>0</v>
      </c>
      <c r="AA120" s="15">
        <v>0</v>
      </c>
    </row>
    <row r="121" spans="1:27" x14ac:dyDescent="0.2">
      <c r="A121" s="5" t="s">
        <v>1135</v>
      </c>
      <c r="B121" s="5"/>
      <c r="C121" s="26">
        <v>0</v>
      </c>
      <c r="D121" s="26">
        <v>0</v>
      </c>
      <c r="E121" s="26">
        <v>0</v>
      </c>
      <c r="F121" s="26">
        <v>0</v>
      </c>
      <c r="G121" s="26">
        <v>0</v>
      </c>
      <c r="H121" s="26">
        <v>0</v>
      </c>
      <c r="I121" s="26">
        <v>0</v>
      </c>
      <c r="J121" s="26">
        <v>36598</v>
      </c>
      <c r="K121" s="26">
        <v>49832</v>
      </c>
      <c r="L121" s="26">
        <v>82200</v>
      </c>
      <c r="M121" s="26">
        <v>76939</v>
      </c>
      <c r="N121" s="26">
        <v>149785</v>
      </c>
      <c r="O121" s="26">
        <v>300818</v>
      </c>
      <c r="P121" s="26">
        <v>214314</v>
      </c>
      <c r="Q121" s="26">
        <v>46068</v>
      </c>
      <c r="R121" s="26">
        <v>58525</v>
      </c>
      <c r="S121" s="160">
        <v>135260</v>
      </c>
      <c r="T121" s="26">
        <v>0</v>
      </c>
      <c r="U121" s="26">
        <v>0</v>
      </c>
      <c r="V121" s="26">
        <v>0</v>
      </c>
      <c r="X121" s="5" t="s">
        <v>1135</v>
      </c>
      <c r="Y121" s="15">
        <v>0</v>
      </c>
      <c r="Z121" s="15">
        <v>0</v>
      </c>
      <c r="AA121" s="15">
        <v>0</v>
      </c>
    </row>
    <row r="122" spans="1:27" x14ac:dyDescent="0.2">
      <c r="A122" s="5" t="s">
        <v>1049</v>
      </c>
      <c r="B122" s="5"/>
      <c r="C122" s="26">
        <v>0</v>
      </c>
      <c r="D122" s="26">
        <v>0</v>
      </c>
      <c r="E122" s="26">
        <v>0</v>
      </c>
      <c r="F122" s="26">
        <v>0</v>
      </c>
      <c r="G122" s="26">
        <v>0</v>
      </c>
      <c r="H122" s="26">
        <v>0</v>
      </c>
      <c r="I122" s="26">
        <v>0</v>
      </c>
      <c r="J122" s="26">
        <v>0</v>
      </c>
      <c r="K122" s="26">
        <v>0</v>
      </c>
      <c r="L122" s="26">
        <v>0</v>
      </c>
      <c r="M122" s="26">
        <v>0</v>
      </c>
      <c r="N122" s="26">
        <v>0</v>
      </c>
      <c r="O122" s="26">
        <v>0</v>
      </c>
      <c r="P122" s="26">
        <v>0</v>
      </c>
      <c r="Q122" s="26">
        <v>0</v>
      </c>
      <c r="R122" s="26">
        <v>0</v>
      </c>
      <c r="S122" s="160">
        <v>0</v>
      </c>
      <c r="T122" s="26">
        <v>81443</v>
      </c>
      <c r="U122" s="26">
        <v>102</v>
      </c>
      <c r="V122" s="26">
        <v>195</v>
      </c>
      <c r="X122" s="5" t="s">
        <v>1049</v>
      </c>
      <c r="Y122" s="15">
        <v>81</v>
      </c>
      <c r="Z122" s="15">
        <v>114</v>
      </c>
      <c r="AA122" s="15">
        <v>106</v>
      </c>
    </row>
    <row r="123" spans="1:27" x14ac:dyDescent="0.2">
      <c r="A123" s="5" t="s">
        <v>1136</v>
      </c>
      <c r="B123" s="5"/>
      <c r="C123" s="26">
        <v>-2508</v>
      </c>
      <c r="D123" s="26">
        <v>-4493</v>
      </c>
      <c r="E123" s="26">
        <v>-26851</v>
      </c>
      <c r="F123" s="26">
        <v>-100961</v>
      </c>
      <c r="G123" s="26">
        <v>-38839</v>
      </c>
      <c r="H123" s="26">
        <v>-307448</v>
      </c>
      <c r="I123" s="26">
        <v>-234526</v>
      </c>
      <c r="J123" s="26">
        <v>-457533</v>
      </c>
      <c r="K123" s="26">
        <v>-554422</v>
      </c>
      <c r="L123" s="26">
        <v>-642384</v>
      </c>
      <c r="M123" s="26">
        <v>-364920</v>
      </c>
      <c r="N123" s="26">
        <v>-1298274</v>
      </c>
      <c r="O123" s="26">
        <v>-1960762</v>
      </c>
      <c r="P123" s="26">
        <v>-2475576</v>
      </c>
      <c r="Q123" s="26">
        <v>-2256343</v>
      </c>
      <c r="R123" s="26">
        <v>-3473237</v>
      </c>
      <c r="S123" s="160">
        <v>-4389806</v>
      </c>
      <c r="T123" s="26">
        <v>0</v>
      </c>
      <c r="U123" s="26">
        <v>0</v>
      </c>
      <c r="V123" s="26">
        <v>0</v>
      </c>
      <c r="X123" s="5" t="s">
        <v>1136</v>
      </c>
      <c r="Y123" s="15">
        <v>0</v>
      </c>
      <c r="Z123" s="15">
        <v>0</v>
      </c>
      <c r="AA123" s="15">
        <v>0</v>
      </c>
    </row>
    <row r="124" spans="1:27" ht="10.5" x14ac:dyDescent="0.2">
      <c r="A124" s="14" t="s">
        <v>1137</v>
      </c>
      <c r="B124" s="14"/>
      <c r="C124" s="152">
        <v>-78826</v>
      </c>
      <c r="D124" s="152">
        <v>-81796</v>
      </c>
      <c r="E124" s="152">
        <v>-198774</v>
      </c>
      <c r="F124" s="152">
        <v>-223830</v>
      </c>
      <c r="G124" s="152">
        <v>-357494</v>
      </c>
      <c r="H124" s="152">
        <v>-627858</v>
      </c>
      <c r="I124" s="152">
        <v>-655023</v>
      </c>
      <c r="J124" s="152">
        <v>-575159</v>
      </c>
      <c r="K124" s="152">
        <v>525849</v>
      </c>
      <c r="L124" s="152">
        <v>-706255</v>
      </c>
      <c r="M124" s="152">
        <v>-269619</v>
      </c>
      <c r="N124" s="152">
        <v>-1303854</v>
      </c>
      <c r="O124" s="152">
        <v>-1890940</v>
      </c>
      <c r="P124" s="152">
        <v>-2532455</v>
      </c>
      <c r="Q124" s="152">
        <v>-11418021</v>
      </c>
      <c r="R124" s="152">
        <v>-3983762</v>
      </c>
      <c r="S124" s="152">
        <v>-10813890</v>
      </c>
      <c r="T124" s="152">
        <v>-3015711</v>
      </c>
      <c r="U124" s="152">
        <v>-2050</v>
      </c>
      <c r="V124" s="152">
        <v>-2306</v>
      </c>
      <c r="X124" s="14" t="s">
        <v>1137</v>
      </c>
      <c r="Y124" s="17">
        <v>-1278</v>
      </c>
      <c r="Z124" s="17">
        <v>-1028</v>
      </c>
      <c r="AA124" s="17">
        <v>-909</v>
      </c>
    </row>
    <row r="125" spans="1:27" x14ac:dyDescent="0.2">
      <c r="A125" s="5"/>
      <c r="B125" s="5"/>
      <c r="C125" s="151"/>
      <c r="D125" s="151"/>
      <c r="E125" s="151"/>
      <c r="F125" s="151"/>
      <c r="G125" s="151"/>
      <c r="H125" s="151"/>
      <c r="I125" s="151"/>
      <c r="J125" s="151"/>
      <c r="K125" s="151"/>
      <c r="L125" s="151"/>
      <c r="M125" s="151"/>
      <c r="N125" s="151"/>
      <c r="O125" s="151"/>
      <c r="P125" s="151"/>
      <c r="Q125" s="151"/>
      <c r="R125" s="151"/>
      <c r="S125" s="151"/>
      <c r="T125" s="151"/>
      <c r="U125" s="151"/>
      <c r="V125" s="151"/>
      <c r="X125" s="5"/>
      <c r="Y125" s="5"/>
      <c r="Z125" s="5">
        <v>0</v>
      </c>
      <c r="AA125" s="5"/>
    </row>
    <row r="126" spans="1:27" ht="10.5" x14ac:dyDescent="0.2">
      <c r="A126" s="14" t="s">
        <v>1138</v>
      </c>
      <c r="B126" s="14"/>
      <c r="C126" s="151"/>
      <c r="D126" s="151"/>
      <c r="E126" s="151"/>
      <c r="F126" s="151"/>
      <c r="G126" s="151"/>
      <c r="H126" s="151"/>
      <c r="I126" s="151"/>
      <c r="J126" s="151"/>
      <c r="K126" s="151"/>
      <c r="L126" s="151"/>
      <c r="M126" s="151"/>
      <c r="N126" s="151"/>
      <c r="O126" s="151"/>
      <c r="P126" s="151"/>
      <c r="Q126" s="151"/>
      <c r="R126" s="151"/>
      <c r="S126" s="151"/>
      <c r="T126" s="151"/>
      <c r="U126" s="151"/>
      <c r="V126" s="151"/>
      <c r="X126" s="14" t="s">
        <v>1138</v>
      </c>
      <c r="Y126" s="5"/>
      <c r="Z126" s="5">
        <v>0</v>
      </c>
      <c r="AA126" s="5"/>
    </row>
    <row r="127" spans="1:27" x14ac:dyDescent="0.2">
      <c r="A127" s="5" t="s">
        <v>1129</v>
      </c>
      <c r="B127" s="5"/>
      <c r="C127" s="26">
        <v>0</v>
      </c>
      <c r="D127" s="26">
        <v>0</v>
      </c>
      <c r="E127" s="26">
        <v>0</v>
      </c>
      <c r="F127" s="26">
        <v>0</v>
      </c>
      <c r="G127" s="26">
        <v>0</v>
      </c>
      <c r="H127" s="26">
        <v>0</v>
      </c>
      <c r="I127" s="26">
        <v>0</v>
      </c>
      <c r="J127" s="26">
        <v>0</v>
      </c>
      <c r="K127" s="26">
        <v>0</v>
      </c>
      <c r="L127" s="26">
        <v>0</v>
      </c>
      <c r="M127" s="26">
        <v>0</v>
      </c>
      <c r="N127" s="26">
        <v>0</v>
      </c>
      <c r="O127" s="26">
        <v>0</v>
      </c>
      <c r="P127" s="26">
        <v>0</v>
      </c>
      <c r="Q127" s="26">
        <v>0</v>
      </c>
      <c r="R127" s="26">
        <v>0</v>
      </c>
      <c r="S127" s="160">
        <v>0</v>
      </c>
      <c r="T127" s="26">
        <v>-17267266</v>
      </c>
      <c r="U127" s="26">
        <v>-4766</v>
      </c>
      <c r="V127" s="26">
        <v>-7311</v>
      </c>
      <c r="X127" s="5" t="s">
        <v>1129</v>
      </c>
      <c r="Y127" s="15">
        <v>-7329</v>
      </c>
      <c r="Z127" s="15">
        <v>18</v>
      </c>
      <c r="AA127" s="15">
        <v>-40098</v>
      </c>
    </row>
    <row r="128" spans="1:27" x14ac:dyDescent="0.2">
      <c r="A128" s="5" t="s">
        <v>1139</v>
      </c>
      <c r="B128" s="5"/>
      <c r="C128" s="26">
        <v>-8021</v>
      </c>
      <c r="D128" s="26">
        <v>-21789</v>
      </c>
      <c r="E128" s="26">
        <v>-18975</v>
      </c>
      <c r="F128" s="26">
        <v>-19036</v>
      </c>
      <c r="G128" s="26">
        <v>-21788</v>
      </c>
      <c r="H128" s="26">
        <v>-21878</v>
      </c>
      <c r="I128" s="26">
        <v>-18106</v>
      </c>
      <c r="J128" s="26">
        <v>-9428</v>
      </c>
      <c r="K128" s="26">
        <v>-3142</v>
      </c>
      <c r="L128" s="26">
        <v>0</v>
      </c>
      <c r="M128" s="26">
        <v>0</v>
      </c>
      <c r="N128" s="26">
        <v>0</v>
      </c>
      <c r="O128" s="26">
        <v>0</v>
      </c>
      <c r="P128" s="26">
        <v>0</v>
      </c>
      <c r="Q128" s="26">
        <v>0</v>
      </c>
      <c r="R128" s="26">
        <v>0</v>
      </c>
      <c r="S128" s="160">
        <v>0</v>
      </c>
      <c r="T128" s="26">
        <v>0</v>
      </c>
      <c r="U128" s="26">
        <v>0</v>
      </c>
      <c r="V128" s="26">
        <v>0</v>
      </c>
      <c r="X128" s="5" t="s">
        <v>1140</v>
      </c>
      <c r="Y128" s="15">
        <v>0</v>
      </c>
      <c r="Z128" s="15">
        <v>0</v>
      </c>
      <c r="AA128" s="15">
        <v>0</v>
      </c>
    </row>
    <row r="129" spans="1:256" x14ac:dyDescent="0.2">
      <c r="A129" s="5" t="s">
        <v>1141</v>
      </c>
      <c r="B129" s="5"/>
      <c r="C129" s="26">
        <v>10000</v>
      </c>
      <c r="D129" s="26">
        <v>0</v>
      </c>
      <c r="E129" s="26">
        <v>0</v>
      </c>
      <c r="F129" s="26">
        <v>0</v>
      </c>
      <c r="G129" s="26">
        <v>0</v>
      </c>
      <c r="H129" s="26">
        <v>0</v>
      </c>
      <c r="I129" s="26">
        <v>0</v>
      </c>
      <c r="J129" s="26">
        <v>0</v>
      </c>
      <c r="K129" s="26">
        <v>0</v>
      </c>
      <c r="L129" s="26">
        <v>58631</v>
      </c>
      <c r="M129" s="26">
        <v>607</v>
      </c>
      <c r="N129" s="26">
        <v>0</v>
      </c>
      <c r="O129" s="26">
        <v>136</v>
      </c>
      <c r="P129" s="26">
        <v>0</v>
      </c>
      <c r="Q129" s="26">
        <v>66</v>
      </c>
      <c r="R129" s="26">
        <v>0</v>
      </c>
      <c r="S129" s="160">
        <v>0</v>
      </c>
      <c r="T129" s="26">
        <v>0</v>
      </c>
      <c r="U129" s="26">
        <v>0</v>
      </c>
      <c r="V129" s="26">
        <v>0</v>
      </c>
      <c r="X129" s="5" t="s">
        <v>1141</v>
      </c>
      <c r="Y129" s="15">
        <v>0</v>
      </c>
      <c r="Z129" s="15">
        <v>0</v>
      </c>
      <c r="AA129" s="15">
        <v>0</v>
      </c>
    </row>
    <row r="130" spans="1:256" x14ac:dyDescent="0.2">
      <c r="A130" s="5" t="s">
        <v>1142</v>
      </c>
      <c r="B130" s="5"/>
      <c r="C130" s="26">
        <v>0</v>
      </c>
      <c r="D130" s="26">
        <v>0</v>
      </c>
      <c r="E130" s="26">
        <v>0</v>
      </c>
      <c r="F130" s="26">
        <v>0</v>
      </c>
      <c r="G130" s="26">
        <v>0</v>
      </c>
      <c r="H130" s="26">
        <v>0</v>
      </c>
      <c r="I130" s="26">
        <v>0</v>
      </c>
      <c r="J130" s="26">
        <v>0</v>
      </c>
      <c r="K130" s="26">
        <v>0</v>
      </c>
      <c r="L130" s="26">
        <v>0</v>
      </c>
      <c r="M130" s="26">
        <v>0</v>
      </c>
      <c r="N130" s="26">
        <v>0</v>
      </c>
      <c r="O130" s="26">
        <v>0</v>
      </c>
      <c r="P130" s="26">
        <v>0</v>
      </c>
      <c r="Q130" s="26">
        <v>0</v>
      </c>
      <c r="R130" s="26">
        <v>0</v>
      </c>
      <c r="S130" s="160">
        <v>173710</v>
      </c>
      <c r="T130" s="26">
        <v>0</v>
      </c>
      <c r="U130" s="26">
        <v>174</v>
      </c>
      <c r="V130" s="26">
        <v>977</v>
      </c>
      <c r="X130" s="5" t="s">
        <v>1142</v>
      </c>
      <c r="Y130" s="15">
        <v>977</v>
      </c>
      <c r="Z130" s="15">
        <v>0</v>
      </c>
      <c r="AA130" s="15">
        <v>513</v>
      </c>
    </row>
    <row r="131" spans="1:256" x14ac:dyDescent="0.2">
      <c r="A131" s="5" t="s">
        <v>1143</v>
      </c>
      <c r="B131" s="5"/>
      <c r="C131" s="26">
        <v>0</v>
      </c>
      <c r="D131" s="26">
        <v>0</v>
      </c>
      <c r="E131" s="26">
        <v>0</v>
      </c>
      <c r="F131" s="26">
        <v>0</v>
      </c>
      <c r="G131" s="26">
        <v>0</v>
      </c>
      <c r="H131" s="26">
        <v>0</v>
      </c>
      <c r="I131" s="26">
        <v>0</v>
      </c>
      <c r="J131" s="26">
        <v>0</v>
      </c>
      <c r="K131" s="26">
        <v>0</v>
      </c>
      <c r="L131" s="26">
        <v>0</v>
      </c>
      <c r="M131" s="26">
        <v>0</v>
      </c>
      <c r="N131" s="26">
        <v>0</v>
      </c>
      <c r="O131" s="26">
        <v>0</v>
      </c>
      <c r="P131" s="26">
        <v>0</v>
      </c>
      <c r="Q131" s="26">
        <v>0</v>
      </c>
      <c r="R131" s="26">
        <v>0</v>
      </c>
      <c r="S131" s="160">
        <v>0</v>
      </c>
      <c r="T131" s="26">
        <v>0</v>
      </c>
      <c r="U131" s="26">
        <v>0</v>
      </c>
      <c r="V131" s="26">
        <v>676</v>
      </c>
      <c r="X131" s="5" t="s">
        <v>1143</v>
      </c>
      <c r="Y131" s="15">
        <v>312</v>
      </c>
      <c r="Z131" s="15">
        <v>364</v>
      </c>
      <c r="AA131" s="15">
        <v>1772</v>
      </c>
    </row>
    <row r="132" spans="1:256" x14ac:dyDescent="0.2">
      <c r="A132" s="5" t="s">
        <v>1144</v>
      </c>
      <c r="B132" s="5"/>
      <c r="C132" s="26">
        <v>0</v>
      </c>
      <c r="D132" s="26">
        <v>0</v>
      </c>
      <c r="E132" s="26">
        <v>0</v>
      </c>
      <c r="F132" s="26">
        <v>0</v>
      </c>
      <c r="G132" s="26">
        <v>0</v>
      </c>
      <c r="H132" s="26">
        <v>0</v>
      </c>
      <c r="I132" s="26">
        <v>0</v>
      </c>
      <c r="J132" s="26">
        <v>0</v>
      </c>
      <c r="K132" s="26">
        <v>0</v>
      </c>
      <c r="L132" s="26">
        <v>0</v>
      </c>
      <c r="M132" s="26">
        <v>0</v>
      </c>
      <c r="N132" s="26">
        <v>0</v>
      </c>
      <c r="O132" s="26">
        <v>0</v>
      </c>
      <c r="P132" s="26">
        <v>0</v>
      </c>
      <c r="Q132" s="26">
        <v>170553</v>
      </c>
      <c r="R132" s="26">
        <v>0</v>
      </c>
      <c r="S132" s="160">
        <v>0</v>
      </c>
      <c r="T132" s="26">
        <v>0</v>
      </c>
      <c r="U132" s="26">
        <v>0</v>
      </c>
      <c r="V132" s="26">
        <v>0</v>
      </c>
      <c r="X132" s="5" t="s">
        <v>1144</v>
      </c>
      <c r="Y132" s="15">
        <v>0</v>
      </c>
      <c r="Z132" s="15">
        <v>0</v>
      </c>
      <c r="AA132" s="15">
        <v>0</v>
      </c>
    </row>
    <row r="133" spans="1:256" x14ac:dyDescent="0.2">
      <c r="A133" s="5" t="s">
        <v>1145</v>
      </c>
      <c r="B133" s="5"/>
      <c r="C133" s="26">
        <v>0</v>
      </c>
      <c r="D133" s="26">
        <v>0</v>
      </c>
      <c r="E133" s="26">
        <v>0</v>
      </c>
      <c r="F133" s="26">
        <v>0</v>
      </c>
      <c r="G133" s="26">
        <v>0</v>
      </c>
      <c r="H133" s="26">
        <v>0</v>
      </c>
      <c r="I133" s="26">
        <v>0</v>
      </c>
      <c r="J133" s="26">
        <v>0</v>
      </c>
      <c r="K133" s="26">
        <v>0</v>
      </c>
      <c r="L133" s="26">
        <v>0</v>
      </c>
      <c r="M133" s="26">
        <v>0</v>
      </c>
      <c r="N133" s="26">
        <v>0</v>
      </c>
      <c r="O133" s="26">
        <v>0</v>
      </c>
      <c r="P133" s="26">
        <v>0</v>
      </c>
      <c r="Q133" s="26">
        <v>0</v>
      </c>
      <c r="R133" s="26">
        <v>0</v>
      </c>
      <c r="S133" s="160">
        <v>0</v>
      </c>
      <c r="T133" s="26">
        <v>0</v>
      </c>
      <c r="U133" s="26">
        <v>13</v>
      </c>
      <c r="V133" s="26">
        <v>-2525</v>
      </c>
      <c r="X133" s="5" t="s">
        <v>1145</v>
      </c>
      <c r="Y133" s="15">
        <v>0</v>
      </c>
      <c r="Z133" s="15">
        <v>-2525</v>
      </c>
      <c r="AA133" s="15">
        <v>0</v>
      </c>
    </row>
    <row r="134" spans="1:256" x14ac:dyDescent="0.2">
      <c r="A134" s="5" t="s">
        <v>1146</v>
      </c>
      <c r="B134" s="5"/>
      <c r="C134" s="26">
        <v>0</v>
      </c>
      <c r="D134" s="26">
        <v>0</v>
      </c>
      <c r="E134" s="26">
        <v>0</v>
      </c>
      <c r="F134" s="26">
        <v>0</v>
      </c>
      <c r="G134" s="26">
        <v>0</v>
      </c>
      <c r="H134" s="26">
        <v>0</v>
      </c>
      <c r="I134" s="26">
        <v>0</v>
      </c>
      <c r="J134" s="26">
        <v>0</v>
      </c>
      <c r="K134" s="26">
        <v>0</v>
      </c>
      <c r="L134" s="26">
        <v>0</v>
      </c>
      <c r="M134" s="26">
        <v>0</v>
      </c>
      <c r="N134" s="26">
        <v>0</v>
      </c>
      <c r="O134" s="26">
        <v>0</v>
      </c>
      <c r="P134" s="26">
        <v>0</v>
      </c>
      <c r="Q134" s="26">
        <v>0</v>
      </c>
      <c r="R134" s="26">
        <v>176386</v>
      </c>
      <c r="S134" s="160">
        <v>205423</v>
      </c>
      <c r="T134" s="26">
        <v>1197894</v>
      </c>
      <c r="U134" s="26">
        <v>0</v>
      </c>
      <c r="V134" s="26">
        <v>0</v>
      </c>
      <c r="X134" s="5" t="s">
        <v>1146</v>
      </c>
      <c r="Y134" s="15">
        <v>0</v>
      </c>
      <c r="Z134" s="15">
        <v>0</v>
      </c>
      <c r="AA134" s="15">
        <v>0</v>
      </c>
    </row>
    <row r="135" spans="1:256" x14ac:dyDescent="0.2">
      <c r="A135" s="5"/>
      <c r="B135" s="5"/>
      <c r="C135" s="26"/>
      <c r="D135" s="26"/>
      <c r="E135" s="26"/>
      <c r="F135" s="26"/>
      <c r="G135" s="26"/>
      <c r="H135" s="26"/>
      <c r="I135" s="26"/>
      <c r="J135" s="26"/>
      <c r="K135" s="26"/>
      <c r="L135" s="26"/>
      <c r="M135" s="26"/>
      <c r="N135" s="26"/>
      <c r="O135" s="26"/>
      <c r="P135" s="26"/>
      <c r="Q135" s="26"/>
      <c r="R135" s="26"/>
      <c r="S135" s="26"/>
      <c r="T135" s="26"/>
      <c r="U135" s="26"/>
      <c r="V135" s="26"/>
      <c r="X135" s="5" t="s">
        <v>1147</v>
      </c>
      <c r="Y135" s="15">
        <v>-2550</v>
      </c>
      <c r="Z135" s="15">
        <v>2550</v>
      </c>
      <c r="AA135" s="15">
        <v>464</v>
      </c>
    </row>
    <row r="136" spans="1:256" ht="10.5" x14ac:dyDescent="0.2">
      <c r="A136" s="14" t="s">
        <v>1148</v>
      </c>
      <c r="B136" s="14"/>
      <c r="C136" s="152">
        <v>1979</v>
      </c>
      <c r="D136" s="152">
        <v>-21789</v>
      </c>
      <c r="E136" s="152">
        <v>-18975</v>
      </c>
      <c r="F136" s="152">
        <v>-19036</v>
      </c>
      <c r="G136" s="152">
        <v>-21788</v>
      </c>
      <c r="H136" s="152">
        <v>-21878</v>
      </c>
      <c r="I136" s="152">
        <v>-18106</v>
      </c>
      <c r="J136" s="152">
        <v>-9428</v>
      </c>
      <c r="K136" s="152">
        <v>-3142</v>
      </c>
      <c r="L136" s="152">
        <v>58631</v>
      </c>
      <c r="M136" s="152">
        <v>607</v>
      </c>
      <c r="N136" s="152">
        <v>0</v>
      </c>
      <c r="O136" s="152">
        <v>136</v>
      </c>
      <c r="P136" s="152">
        <v>0</v>
      </c>
      <c r="Q136" s="152">
        <v>170619</v>
      </c>
      <c r="R136" s="152">
        <v>176386</v>
      </c>
      <c r="S136" s="152">
        <v>379133</v>
      </c>
      <c r="T136" s="152">
        <v>-16069372</v>
      </c>
      <c r="U136" s="152">
        <v>-4579</v>
      </c>
      <c r="V136" s="152">
        <v>-8183</v>
      </c>
      <c r="W136" s="20"/>
      <c r="X136" s="14" t="s">
        <v>1148</v>
      </c>
      <c r="Y136" s="17">
        <v>-8590</v>
      </c>
      <c r="Z136" s="17">
        <v>407</v>
      </c>
      <c r="AA136" s="17">
        <v>-37349</v>
      </c>
      <c r="AE136" s="9"/>
      <c r="AF136" s="9"/>
      <c r="AG136" s="9"/>
      <c r="AH136" s="9"/>
      <c r="AI136" s="9"/>
      <c r="AJ136" s="9"/>
      <c r="AK136" s="9"/>
      <c r="AL136" s="9"/>
      <c r="AM136" s="9"/>
      <c r="AN136" s="9"/>
      <c r="AO136" s="9"/>
      <c r="AP136" s="9"/>
      <c r="AQ136" s="9"/>
      <c r="AR136" s="9"/>
      <c r="AS136" s="9"/>
      <c r="AT136" s="9"/>
      <c r="AU136" s="9"/>
      <c r="AV136" s="9"/>
      <c r="AW136" s="9"/>
      <c r="AX136" s="9"/>
      <c r="AY136" s="9"/>
      <c r="AZ136" s="9"/>
      <c r="BA136" s="9"/>
      <c r="BB136" s="9"/>
      <c r="BC136" s="9"/>
      <c r="BD136" s="9"/>
      <c r="BE136" s="9"/>
      <c r="BF136" s="9"/>
      <c r="BG136" s="9"/>
      <c r="BH136" s="9"/>
      <c r="BI136" s="9"/>
      <c r="BJ136" s="9"/>
      <c r="BK136" s="9"/>
      <c r="BL136" s="9"/>
      <c r="BM136" s="9"/>
      <c r="BN136" s="9"/>
      <c r="BO136" s="9"/>
      <c r="BP136" s="9"/>
      <c r="BQ136" s="9"/>
      <c r="BR136" s="9"/>
      <c r="BS136" s="9"/>
      <c r="BT136" s="9"/>
      <c r="BU136" s="9"/>
      <c r="BV136" s="9"/>
      <c r="BW136" s="9"/>
      <c r="BX136" s="9"/>
      <c r="BY136" s="9"/>
      <c r="BZ136" s="9"/>
      <c r="CA136" s="9"/>
      <c r="CB136" s="9"/>
      <c r="CC136" s="9"/>
      <c r="CD136" s="9"/>
      <c r="CE136" s="9"/>
      <c r="CF136" s="9"/>
      <c r="CG136" s="9"/>
      <c r="CH136" s="9"/>
      <c r="CI136" s="9"/>
      <c r="CJ136" s="9"/>
      <c r="CK136" s="9"/>
      <c r="CL136" s="9"/>
      <c r="CM136" s="9"/>
      <c r="CN136" s="9"/>
      <c r="CO136" s="9"/>
      <c r="CP136" s="9"/>
      <c r="CQ136" s="9"/>
      <c r="CR136" s="9"/>
      <c r="CS136" s="9"/>
      <c r="CT136" s="9"/>
      <c r="CU136" s="9"/>
      <c r="CV136" s="9"/>
      <c r="CW136" s="9"/>
      <c r="CX136" s="9"/>
      <c r="CY136" s="9"/>
      <c r="CZ136" s="9"/>
      <c r="DA136" s="9"/>
      <c r="DB136" s="9"/>
      <c r="DC136" s="9"/>
      <c r="DD136" s="9"/>
      <c r="DE136" s="9"/>
      <c r="DF136" s="9"/>
      <c r="DG136" s="9"/>
      <c r="DH136" s="9"/>
      <c r="DI136" s="9"/>
      <c r="DJ136" s="9"/>
      <c r="DK136" s="9"/>
      <c r="DL136" s="9"/>
      <c r="DM136" s="9"/>
      <c r="DN136" s="9"/>
      <c r="DO136" s="9"/>
      <c r="DP136" s="9"/>
      <c r="DQ136" s="9"/>
      <c r="DR136" s="9"/>
      <c r="DS136" s="9"/>
      <c r="DT136" s="9"/>
      <c r="DU136" s="9"/>
      <c r="DV136" s="9"/>
      <c r="DW136" s="9"/>
      <c r="DX136" s="9"/>
      <c r="DY136" s="9"/>
      <c r="DZ136" s="9"/>
      <c r="EA136" s="9"/>
      <c r="EB136" s="9"/>
      <c r="EC136" s="9"/>
      <c r="ED136" s="9"/>
      <c r="EE136" s="9"/>
      <c r="EF136" s="9"/>
      <c r="EG136" s="9"/>
      <c r="EH136" s="9"/>
      <c r="EI136" s="9"/>
      <c r="EJ136" s="9"/>
      <c r="EK136" s="9"/>
      <c r="EL136" s="9"/>
      <c r="EM136" s="9"/>
      <c r="EN136" s="9"/>
      <c r="EO136" s="9"/>
      <c r="EP136" s="9"/>
      <c r="EQ136" s="9"/>
      <c r="ER136" s="9"/>
      <c r="ES136" s="9"/>
      <c r="ET136" s="9"/>
      <c r="EU136" s="9"/>
      <c r="EV136" s="9"/>
      <c r="EW136" s="9"/>
      <c r="EX136" s="9"/>
      <c r="EY136" s="9"/>
      <c r="EZ136" s="9"/>
      <c r="FA136" s="9"/>
      <c r="FB136" s="9"/>
      <c r="FC136" s="9"/>
      <c r="FD136" s="9"/>
      <c r="FE136" s="9"/>
      <c r="FF136" s="9"/>
      <c r="FG136" s="9"/>
      <c r="FH136" s="9"/>
      <c r="FI136" s="9"/>
      <c r="FJ136" s="9"/>
      <c r="FK136" s="9"/>
      <c r="FL136" s="9"/>
      <c r="FM136" s="9"/>
      <c r="FN136" s="9"/>
      <c r="FO136" s="9"/>
      <c r="FP136" s="9"/>
      <c r="FQ136" s="9"/>
      <c r="FR136" s="9"/>
      <c r="FS136" s="9"/>
      <c r="FT136" s="9"/>
      <c r="FU136" s="9"/>
      <c r="FV136" s="9"/>
      <c r="FW136" s="9"/>
      <c r="FX136" s="9"/>
      <c r="FY136" s="9"/>
      <c r="FZ136" s="9"/>
      <c r="GA136" s="9"/>
      <c r="GB136" s="9"/>
      <c r="GC136" s="9"/>
      <c r="GD136" s="9"/>
      <c r="GE136" s="9"/>
      <c r="GF136" s="9"/>
      <c r="GG136" s="9"/>
      <c r="GH136" s="9"/>
      <c r="GI136" s="9"/>
      <c r="GJ136" s="9"/>
      <c r="GK136" s="9"/>
      <c r="GL136" s="9"/>
      <c r="GM136" s="9"/>
      <c r="GN136" s="9"/>
      <c r="GO136" s="9"/>
      <c r="GP136" s="9"/>
      <c r="GQ136" s="9"/>
      <c r="GR136" s="9"/>
      <c r="GS136" s="9"/>
      <c r="GT136" s="9"/>
      <c r="GU136" s="9"/>
      <c r="GV136" s="9"/>
      <c r="GW136" s="9"/>
      <c r="GX136" s="9"/>
      <c r="GY136" s="9"/>
      <c r="GZ136" s="9"/>
      <c r="HA136" s="9"/>
      <c r="HB136" s="9"/>
      <c r="HC136" s="9"/>
      <c r="HD136" s="9"/>
      <c r="HE136" s="9"/>
      <c r="HF136" s="9"/>
      <c r="HG136" s="9"/>
      <c r="HH136" s="9"/>
      <c r="HI136" s="9"/>
      <c r="HJ136" s="9"/>
      <c r="HK136" s="9"/>
      <c r="HL136" s="9"/>
      <c r="HM136" s="9"/>
      <c r="HN136" s="9"/>
      <c r="HO136" s="9"/>
      <c r="HP136" s="9"/>
      <c r="HQ136" s="9"/>
      <c r="HR136" s="9"/>
      <c r="HS136" s="9"/>
      <c r="HT136" s="9"/>
      <c r="HU136" s="9"/>
      <c r="HV136" s="9"/>
      <c r="HW136" s="9"/>
      <c r="HX136" s="9"/>
      <c r="HY136" s="9"/>
      <c r="HZ136" s="9"/>
      <c r="IA136" s="9"/>
      <c r="IB136" s="9"/>
      <c r="IC136" s="9"/>
      <c r="ID136" s="9"/>
      <c r="IE136" s="9"/>
      <c r="IF136" s="9"/>
      <c r="IG136" s="9"/>
      <c r="IH136" s="9"/>
      <c r="II136" s="9"/>
      <c r="IJ136" s="9"/>
      <c r="IK136" s="9"/>
      <c r="IL136" s="9"/>
      <c r="IM136" s="9"/>
      <c r="IN136" s="9"/>
      <c r="IO136" s="9"/>
      <c r="IP136" s="9"/>
      <c r="IQ136" s="9"/>
      <c r="IR136" s="9"/>
      <c r="IS136" s="9"/>
      <c r="IT136" s="9"/>
      <c r="IU136" s="9"/>
      <c r="IV136" s="9"/>
    </row>
    <row r="137" spans="1:256" x14ac:dyDescent="0.2">
      <c r="A137" s="5"/>
      <c r="B137" s="5"/>
      <c r="C137" s="151"/>
      <c r="D137" s="151"/>
      <c r="E137" s="151"/>
      <c r="F137" s="151"/>
      <c r="G137" s="151"/>
      <c r="H137" s="151"/>
      <c r="I137" s="151"/>
      <c r="J137" s="151"/>
      <c r="K137" s="151"/>
      <c r="L137" s="151"/>
      <c r="M137" s="151"/>
      <c r="N137" s="151"/>
      <c r="O137" s="151"/>
      <c r="P137" s="151"/>
      <c r="Q137" s="151"/>
      <c r="R137" s="151"/>
      <c r="S137" s="151"/>
      <c r="T137" s="151"/>
      <c r="U137" s="151"/>
      <c r="V137" s="151"/>
      <c r="W137" s="20"/>
      <c r="X137" s="5"/>
      <c r="Y137" s="5"/>
      <c r="Z137" s="5">
        <v>0</v>
      </c>
      <c r="AA137" s="5"/>
    </row>
    <row r="138" spans="1:256" ht="10.5" x14ac:dyDescent="0.2">
      <c r="A138" s="14" t="s">
        <v>1149</v>
      </c>
      <c r="B138" s="14"/>
      <c r="C138" s="151"/>
      <c r="D138" s="151"/>
      <c r="E138" s="151"/>
      <c r="F138" s="151"/>
      <c r="G138" s="151"/>
      <c r="H138" s="151"/>
      <c r="I138" s="151"/>
      <c r="J138" s="151"/>
      <c r="K138" s="151"/>
      <c r="L138" s="151"/>
      <c r="M138" s="151"/>
      <c r="N138" s="151"/>
      <c r="O138" s="151"/>
      <c r="P138" s="151"/>
      <c r="Q138" s="151"/>
      <c r="R138" s="151"/>
      <c r="S138" s="151"/>
      <c r="T138" s="151"/>
      <c r="U138" s="151"/>
      <c r="V138" s="151"/>
      <c r="W138" s="20"/>
      <c r="X138" s="14" t="s">
        <v>1149</v>
      </c>
      <c r="Y138" s="5"/>
      <c r="Z138" s="5">
        <v>0</v>
      </c>
      <c r="AA138" s="5"/>
    </row>
    <row r="139" spans="1:256" x14ac:dyDescent="0.2">
      <c r="A139" s="5" t="s">
        <v>1150</v>
      </c>
      <c r="B139" s="5"/>
      <c r="C139" s="26">
        <v>-36361</v>
      </c>
      <c r="D139" s="26">
        <v>149800</v>
      </c>
      <c r="E139" s="26">
        <v>-26194</v>
      </c>
      <c r="F139" s="26">
        <v>-729222</v>
      </c>
      <c r="G139" s="26">
        <v>-1224116</v>
      </c>
      <c r="H139" s="26">
        <v>12870</v>
      </c>
      <c r="I139" s="26">
        <v>-1402231</v>
      </c>
      <c r="J139" s="26">
        <v>4753875</v>
      </c>
      <c r="K139" s="26">
        <v>412474</v>
      </c>
      <c r="L139" s="26">
        <v>-3512515</v>
      </c>
      <c r="M139" s="26">
        <v>147604</v>
      </c>
      <c r="N139" s="26">
        <v>2496395</v>
      </c>
      <c r="O139" s="26">
        <v>4634363</v>
      </c>
      <c r="P139" s="26">
        <v>5040492</v>
      </c>
      <c r="Q139" s="26">
        <v>-2306721</v>
      </c>
      <c r="R139" s="26">
        <v>-2348874</v>
      </c>
      <c r="S139" s="26">
        <v>4161991</v>
      </c>
      <c r="T139" s="26">
        <v>-1428339</v>
      </c>
      <c r="U139" s="26">
        <v>29044</v>
      </c>
      <c r="V139" s="26">
        <v>36922</v>
      </c>
      <c r="W139" s="20"/>
      <c r="X139" s="5" t="s">
        <v>1150</v>
      </c>
      <c r="Y139" s="15">
        <v>-313</v>
      </c>
      <c r="Z139" s="15">
        <v>37235</v>
      </c>
      <c r="AA139" s="15">
        <v>-19761</v>
      </c>
    </row>
    <row r="140" spans="1:256" x14ac:dyDescent="0.2">
      <c r="A140" s="5"/>
      <c r="B140" s="5"/>
      <c r="C140" s="15"/>
      <c r="D140" s="15"/>
      <c r="E140" s="15"/>
      <c r="F140" s="15"/>
      <c r="G140" s="15"/>
      <c r="H140" s="15"/>
      <c r="I140" s="15"/>
      <c r="J140" s="15"/>
      <c r="K140" s="15"/>
      <c r="L140" s="15"/>
      <c r="M140" s="15"/>
      <c r="N140" s="15"/>
      <c r="O140" s="15"/>
      <c r="P140" s="15"/>
      <c r="Q140" s="15"/>
      <c r="R140" s="15"/>
      <c r="S140" s="15"/>
      <c r="T140" s="15"/>
      <c r="U140" s="15"/>
      <c r="V140" s="15"/>
      <c r="W140" s="20"/>
      <c r="X140" s="5" t="s">
        <v>1151</v>
      </c>
      <c r="Y140" s="15"/>
      <c r="Z140" s="15"/>
      <c r="AA140" s="15"/>
    </row>
    <row r="141" spans="1:256" s="149" customFormat="1" ht="10.5" x14ac:dyDescent="0.2">
      <c r="A141" s="147" t="s">
        <v>1152</v>
      </c>
      <c r="B141" s="147"/>
      <c r="C141" s="148"/>
      <c r="D141" s="148"/>
      <c r="E141" s="148"/>
      <c r="F141" s="148"/>
      <c r="G141" s="148"/>
      <c r="H141" s="148"/>
      <c r="I141" s="148"/>
      <c r="J141" s="148"/>
      <c r="K141" s="148"/>
      <c r="L141" s="148"/>
      <c r="M141" s="148"/>
      <c r="N141" s="148"/>
      <c r="O141" s="148"/>
      <c r="P141" s="148"/>
      <c r="Q141" s="148"/>
      <c r="R141" s="148"/>
      <c r="S141" s="148"/>
      <c r="T141" s="148"/>
      <c r="U141" s="148"/>
      <c r="V141" s="148"/>
      <c r="X141" s="147"/>
      <c r="Y141" s="148"/>
      <c r="Z141" s="148"/>
      <c r="AA141" s="148"/>
    </row>
    <row r="142" spans="1:256" ht="10.5" hidden="1" outlineLevel="1" x14ac:dyDescent="0.2">
      <c r="A142" s="14" t="s">
        <v>1011</v>
      </c>
      <c r="B142" s="14"/>
      <c r="C142" s="5" t="s">
        <v>1153</v>
      </c>
      <c r="D142" s="5" t="s">
        <v>1013</v>
      </c>
      <c r="E142" s="5" t="s">
        <v>1014</v>
      </c>
      <c r="F142" s="5" t="s">
        <v>1015</v>
      </c>
      <c r="G142" s="5" t="s">
        <v>1016</v>
      </c>
      <c r="H142" s="5" t="s">
        <v>1017</v>
      </c>
      <c r="I142" s="5" t="s">
        <v>1018</v>
      </c>
      <c r="J142" s="5" t="s">
        <v>1019</v>
      </c>
      <c r="K142" s="5" t="s">
        <v>1020</v>
      </c>
      <c r="L142" s="5" t="s">
        <v>1021</v>
      </c>
      <c r="M142" s="5" t="s">
        <v>1022</v>
      </c>
      <c r="N142" s="5" t="s">
        <v>1023</v>
      </c>
      <c r="O142" s="5" t="s">
        <v>1024</v>
      </c>
      <c r="P142" s="5" t="s">
        <v>1025</v>
      </c>
      <c r="Q142" s="5" t="s">
        <v>1026</v>
      </c>
      <c r="R142" s="5" t="s">
        <v>1027</v>
      </c>
      <c r="S142" s="5" t="s">
        <v>1028</v>
      </c>
      <c r="T142" s="5" t="s">
        <v>1029</v>
      </c>
      <c r="U142" s="5" t="s">
        <v>1030</v>
      </c>
      <c r="V142" s="5" t="s">
        <v>1031</v>
      </c>
      <c r="X142" s="14"/>
      <c r="Y142" s="5"/>
      <c r="Z142" s="5"/>
      <c r="AA142" s="5"/>
    </row>
    <row r="143" spans="1:256" ht="10.5" collapsed="1" x14ac:dyDescent="0.2">
      <c r="A143" s="14" t="s">
        <v>1154</v>
      </c>
      <c r="B143" s="14"/>
      <c r="C143" s="5"/>
      <c r="D143" s="5"/>
      <c r="E143" s="5"/>
      <c r="F143" s="5"/>
      <c r="G143" s="5"/>
      <c r="H143" s="5"/>
      <c r="I143" s="5"/>
      <c r="J143" s="5"/>
      <c r="K143" s="5"/>
      <c r="L143" s="5"/>
      <c r="M143" s="5"/>
      <c r="N143" s="5"/>
      <c r="O143" s="5"/>
      <c r="P143" s="5"/>
      <c r="Q143" s="5"/>
      <c r="R143" s="5"/>
      <c r="S143" s="5"/>
      <c r="T143" s="5"/>
      <c r="U143" s="5"/>
      <c r="V143" s="5"/>
      <c r="W143" s="20"/>
      <c r="AC143" s="9"/>
    </row>
    <row r="144" spans="1:256" x14ac:dyDescent="0.2">
      <c r="A144" s="5" t="s">
        <v>1155</v>
      </c>
      <c r="B144" s="5"/>
      <c r="C144" s="20" t="s">
        <v>52</v>
      </c>
      <c r="D144" s="21">
        <v>9.4737000000000002E-2</v>
      </c>
      <c r="E144" s="21">
        <v>0.14124</v>
      </c>
      <c r="F144" s="21">
        <v>0.12889800000000001</v>
      </c>
      <c r="G144" s="21">
        <v>5.9458999999999998E-2</v>
      </c>
      <c r="H144" s="21">
        <v>7.0493E-2</v>
      </c>
      <c r="I144" s="21">
        <v>5.5350000000000003E-2</v>
      </c>
      <c r="J144" s="21">
        <v>6.3982999999999998E-2</v>
      </c>
      <c r="K144" s="21">
        <v>8.3056000000000005E-2</v>
      </c>
      <c r="L144" s="21">
        <v>4.3307999999999999E-2</v>
      </c>
      <c r="M144" s="21">
        <v>4.9667999999999997E-2</v>
      </c>
      <c r="N144" s="21">
        <v>9.7439999999999999E-2</v>
      </c>
      <c r="O144" s="21">
        <v>0.124705</v>
      </c>
      <c r="P144" s="21">
        <v>0.139487</v>
      </c>
      <c r="Q144" s="21">
        <v>0.15634400000000001</v>
      </c>
      <c r="R144" s="21">
        <v>0.194267</v>
      </c>
      <c r="S144" s="21">
        <v>0.18410499999999999</v>
      </c>
      <c r="T144" s="21">
        <v>0.172095</v>
      </c>
      <c r="U144" s="21">
        <v>0.17261499999999999</v>
      </c>
      <c r="V144" s="21">
        <v>0.13842099999999999</v>
      </c>
      <c r="W144" s="20"/>
    </row>
    <row r="145" spans="1:28" x14ac:dyDescent="0.2">
      <c r="A145" s="5" t="s">
        <v>1156</v>
      </c>
      <c r="B145" s="5"/>
      <c r="C145" s="20" t="s">
        <v>52</v>
      </c>
      <c r="D145" s="21">
        <v>0.50544800000000001</v>
      </c>
      <c r="E145" s="21">
        <v>0.69276199999999999</v>
      </c>
      <c r="F145" s="21">
        <v>0.40505600000000003</v>
      </c>
      <c r="G145" s="21">
        <v>0.13028100000000001</v>
      </c>
      <c r="H145" s="21">
        <v>0.140735</v>
      </c>
      <c r="I145" s="21">
        <v>0.15133199999999999</v>
      </c>
      <c r="J145" s="21">
        <v>0.23087199999999999</v>
      </c>
      <c r="K145" s="21">
        <v>0.324048</v>
      </c>
      <c r="L145" s="21">
        <v>0.123554</v>
      </c>
      <c r="M145" s="21">
        <v>0.12818199999999999</v>
      </c>
      <c r="N145" s="21">
        <v>0.235182</v>
      </c>
      <c r="O145" s="21">
        <v>0.269955</v>
      </c>
      <c r="P145" s="21">
        <v>0.28290900000000002</v>
      </c>
      <c r="Q145" s="21">
        <v>0.34337699999999999</v>
      </c>
      <c r="R145" s="21">
        <v>0.43640400000000001</v>
      </c>
      <c r="S145" s="21">
        <v>0.38930599999999999</v>
      </c>
      <c r="T145" s="21">
        <v>0.37247200000000003</v>
      </c>
      <c r="U145" s="21">
        <v>0.36798900000000001</v>
      </c>
      <c r="V145" s="21">
        <v>0.29430699999999999</v>
      </c>
      <c r="W145" s="20"/>
      <c r="AB145" s="9"/>
    </row>
    <row r="146" spans="1:28" x14ac:dyDescent="0.2">
      <c r="A146" s="5" t="s">
        <v>1157</v>
      </c>
      <c r="B146" s="5"/>
      <c r="C146" s="20" t="s">
        <v>52</v>
      </c>
      <c r="D146" s="21">
        <v>1.1491499999999999</v>
      </c>
      <c r="E146" s="21">
        <v>1.015398</v>
      </c>
      <c r="F146" s="21">
        <v>0.69944799999999996</v>
      </c>
      <c r="G146" s="21">
        <v>0.31624099999999999</v>
      </c>
      <c r="H146" s="21">
        <v>0.28703299999999998</v>
      </c>
      <c r="I146" s="21">
        <v>0.30094100000000001</v>
      </c>
      <c r="J146" s="21">
        <v>0.42219099999999998</v>
      </c>
      <c r="K146" s="21">
        <v>0.43688500000000002</v>
      </c>
      <c r="L146" s="21">
        <v>0.20918</v>
      </c>
      <c r="M146" s="21">
        <v>0.21692</v>
      </c>
      <c r="N146" s="21">
        <v>0.376027</v>
      </c>
      <c r="O146" s="21">
        <v>0.47253699999999998</v>
      </c>
      <c r="P146" s="21">
        <v>0.41431000000000001</v>
      </c>
      <c r="Q146" s="21">
        <v>0.502583</v>
      </c>
      <c r="R146" s="21">
        <v>0.60388399999999998</v>
      </c>
      <c r="S146" s="21">
        <v>0.51859299999999997</v>
      </c>
      <c r="T146" s="21">
        <v>0.45915099999999998</v>
      </c>
      <c r="U146" s="21">
        <v>0.453287</v>
      </c>
      <c r="V146" s="21">
        <v>0.37018699999999999</v>
      </c>
      <c r="W146" s="20"/>
    </row>
    <row r="147" spans="1:28" x14ac:dyDescent="0.2">
      <c r="A147" s="5" t="s">
        <v>1158</v>
      </c>
      <c r="B147" s="5"/>
      <c r="C147" s="20" t="s">
        <v>52</v>
      </c>
      <c r="D147" s="21">
        <v>1.0479020000000001</v>
      </c>
      <c r="E147" s="21">
        <v>0.92345900000000003</v>
      </c>
      <c r="F147" s="21">
        <v>0.64135399999999998</v>
      </c>
      <c r="G147" s="21">
        <v>0.29702400000000001</v>
      </c>
      <c r="H147" s="21">
        <v>0.25502399999999997</v>
      </c>
      <c r="I147" s="21">
        <v>0.36588500000000002</v>
      </c>
      <c r="J147" s="21">
        <v>0.42219099999999998</v>
      </c>
      <c r="K147" s="21">
        <v>0.43688500000000002</v>
      </c>
      <c r="L147" s="21">
        <v>0.20918</v>
      </c>
      <c r="M147" s="21">
        <v>0.21692</v>
      </c>
      <c r="N147" s="21">
        <v>0.376027</v>
      </c>
      <c r="O147" s="21">
        <v>0.47253699999999998</v>
      </c>
      <c r="P147" s="21">
        <v>0.41431000000000001</v>
      </c>
      <c r="Q147" s="21">
        <v>0.502583</v>
      </c>
      <c r="R147" s="21">
        <v>0.60388399999999998</v>
      </c>
      <c r="S147" s="21">
        <v>0.51859299999999997</v>
      </c>
      <c r="T147" s="21">
        <v>0.45915099999999998</v>
      </c>
      <c r="U147" s="21">
        <v>0.453287</v>
      </c>
      <c r="V147" s="21">
        <v>0.37018699999999999</v>
      </c>
      <c r="W147" s="20"/>
    </row>
    <row r="148" spans="1:28" x14ac:dyDescent="0.2">
      <c r="A148" s="5"/>
      <c r="B148" s="5"/>
      <c r="C148" s="5"/>
      <c r="D148" s="5"/>
      <c r="E148" s="5"/>
      <c r="F148" s="5"/>
      <c r="G148" s="5"/>
      <c r="H148" s="5"/>
      <c r="I148" s="5"/>
      <c r="J148" s="5"/>
      <c r="K148" s="5"/>
      <c r="L148" s="5"/>
      <c r="M148" s="5"/>
      <c r="N148" s="5"/>
      <c r="O148" s="5"/>
      <c r="P148" s="5"/>
      <c r="Q148" s="5"/>
      <c r="R148" s="5"/>
      <c r="S148" s="5"/>
      <c r="T148" s="5"/>
      <c r="U148" s="5"/>
      <c r="V148" s="5"/>
      <c r="W148" s="20"/>
    </row>
    <row r="149" spans="1:28" ht="10.5" x14ac:dyDescent="0.2">
      <c r="A149" s="14" t="s">
        <v>723</v>
      </c>
      <c r="B149" s="14"/>
      <c r="C149" s="5"/>
      <c r="D149" s="5"/>
      <c r="E149" s="5"/>
      <c r="F149" s="5"/>
      <c r="G149" s="5"/>
      <c r="H149" s="5"/>
      <c r="I149" s="5"/>
      <c r="J149" s="5"/>
      <c r="K149" s="5"/>
      <c r="L149" s="5"/>
      <c r="M149" s="5"/>
      <c r="N149" s="5"/>
      <c r="O149" s="5"/>
      <c r="P149" s="5"/>
      <c r="Q149" s="5"/>
      <c r="R149" s="5"/>
      <c r="S149" s="5"/>
      <c r="T149" s="5"/>
      <c r="U149" s="5"/>
      <c r="V149" s="5"/>
      <c r="W149" s="20"/>
    </row>
    <row r="150" spans="1:28" x14ac:dyDescent="0.2">
      <c r="A150" s="5" t="s">
        <v>1159</v>
      </c>
      <c r="B150" s="5"/>
      <c r="C150" s="21">
        <v>0.29328300000000002</v>
      </c>
      <c r="D150" s="21">
        <v>0.25847399999999998</v>
      </c>
      <c r="E150" s="21">
        <v>0.21675800000000001</v>
      </c>
      <c r="F150" s="21">
        <v>0.172176</v>
      </c>
      <c r="G150" s="21">
        <v>0.17299700000000001</v>
      </c>
      <c r="H150" s="21">
        <v>0.14236499999999999</v>
      </c>
      <c r="I150" s="21">
        <v>0.185256</v>
      </c>
      <c r="J150" s="21">
        <v>0.18614800000000001</v>
      </c>
      <c r="K150" s="21">
        <v>0.170269</v>
      </c>
      <c r="L150" s="21">
        <v>0.14994199999999999</v>
      </c>
      <c r="M150" s="21">
        <v>0.16139999999999999</v>
      </c>
      <c r="N150" s="21">
        <v>0.170457</v>
      </c>
      <c r="O150" s="21">
        <v>0.19198599999999999</v>
      </c>
      <c r="P150" s="21">
        <v>0.19522</v>
      </c>
      <c r="Q150" s="21">
        <v>0.19566700000000001</v>
      </c>
      <c r="R150" s="21">
        <v>0.19753899999999999</v>
      </c>
      <c r="S150" s="21">
        <v>0.185112</v>
      </c>
      <c r="T150" s="21">
        <v>0.17816699999999999</v>
      </c>
      <c r="U150" s="21">
        <v>0.17535899999999999</v>
      </c>
      <c r="V150" s="21">
        <v>0.17241600000000001</v>
      </c>
      <c r="W150" s="20"/>
    </row>
    <row r="151" spans="1:28" x14ac:dyDescent="0.2">
      <c r="A151" s="5" t="s">
        <v>1160</v>
      </c>
      <c r="B151" s="5"/>
      <c r="C151" s="21">
        <v>0.27885599999999999</v>
      </c>
      <c r="D151" s="21">
        <v>0.22028</v>
      </c>
      <c r="E151" s="21">
        <v>0.163548</v>
      </c>
      <c r="F151" s="21">
        <v>0.124586</v>
      </c>
      <c r="G151" s="21">
        <v>0.14394999999999999</v>
      </c>
      <c r="H151" s="21">
        <v>0.117064</v>
      </c>
      <c r="I151" s="21">
        <v>0.15459600000000001</v>
      </c>
      <c r="J151" s="21">
        <v>0.144177</v>
      </c>
      <c r="K151" s="21">
        <v>0.13128000000000001</v>
      </c>
      <c r="L151" s="21">
        <v>0.129854</v>
      </c>
      <c r="M151" s="21">
        <v>0.14189099999999999</v>
      </c>
      <c r="N151" s="21">
        <v>0.13306100000000001</v>
      </c>
      <c r="O151" s="21">
        <v>0.136237</v>
      </c>
      <c r="P151" s="21">
        <v>0.129799</v>
      </c>
      <c r="Q151" s="21">
        <v>0.126832</v>
      </c>
      <c r="R151" s="21">
        <v>0.123234</v>
      </c>
      <c r="S151" s="21">
        <v>0.111803</v>
      </c>
      <c r="T151" s="21">
        <v>0.108765</v>
      </c>
      <c r="U151" s="21">
        <v>0.104978</v>
      </c>
      <c r="V151" s="21">
        <v>0.105421</v>
      </c>
      <c r="W151" s="20"/>
    </row>
    <row r="152" spans="1:28" x14ac:dyDescent="0.2">
      <c r="A152" s="5" t="s">
        <v>1161</v>
      </c>
      <c r="B152" s="5"/>
      <c r="C152" s="21">
        <v>2.4253E-2</v>
      </c>
      <c r="D152" s="21">
        <v>4.6345999999999998E-2</v>
      </c>
      <c r="E152" s="21">
        <v>5.9185000000000001E-2</v>
      </c>
      <c r="F152" s="21">
        <v>5.1568999999999997E-2</v>
      </c>
      <c r="G152" s="21">
        <v>3.3612000000000003E-2</v>
      </c>
      <c r="H152" s="21">
        <v>3.0074E-2</v>
      </c>
      <c r="I152" s="21">
        <v>3.7638999999999999E-2</v>
      </c>
      <c r="J152" s="21">
        <v>4.5620000000000001E-2</v>
      </c>
      <c r="K152" s="21">
        <v>4.2632999999999997E-2</v>
      </c>
      <c r="L152" s="21">
        <v>2.3869000000000001E-2</v>
      </c>
      <c r="M152" s="21">
        <v>2.2085E-2</v>
      </c>
      <c r="N152" s="21">
        <v>3.8421999999999998E-2</v>
      </c>
      <c r="O152" s="21">
        <v>5.6721000000000001E-2</v>
      </c>
      <c r="P152" s="21">
        <v>6.7840999999999999E-2</v>
      </c>
      <c r="Q152" s="21">
        <v>7.0704000000000003E-2</v>
      </c>
      <c r="R152" s="21">
        <v>7.5386999999999996E-2</v>
      </c>
      <c r="S152" s="21">
        <v>7.4870000000000006E-2</v>
      </c>
      <c r="T152" s="21">
        <v>7.1853E-2</v>
      </c>
      <c r="U152" s="21">
        <v>7.3481000000000005E-2</v>
      </c>
      <c r="V152" s="21">
        <v>6.9413000000000002E-2</v>
      </c>
      <c r="W152" s="20"/>
    </row>
    <row r="153" spans="1:28" x14ac:dyDescent="0.2">
      <c r="A153" s="5" t="s">
        <v>1162</v>
      </c>
      <c r="B153" s="5"/>
      <c r="C153" s="21">
        <v>1.4427000000000001E-2</v>
      </c>
      <c r="D153" s="21">
        <v>3.8193999999999999E-2</v>
      </c>
      <c r="E153" s="21">
        <v>5.3208999999999999E-2</v>
      </c>
      <c r="F153" s="21">
        <v>4.759E-2</v>
      </c>
      <c r="G153" s="21">
        <v>2.9047E-2</v>
      </c>
      <c r="H153" s="21">
        <v>2.5301000000000001E-2</v>
      </c>
      <c r="I153" s="21">
        <v>3.1995000000000003E-2</v>
      </c>
      <c r="J153" s="21">
        <v>4.197E-2</v>
      </c>
      <c r="K153" s="21">
        <v>3.8989000000000003E-2</v>
      </c>
      <c r="L153" s="21">
        <v>2.0088000000000002E-2</v>
      </c>
      <c r="M153" s="21">
        <v>1.9508000000000001E-2</v>
      </c>
      <c r="N153" s="21">
        <v>3.7395999999999999E-2</v>
      </c>
      <c r="O153" s="21">
        <v>5.5747999999999999E-2</v>
      </c>
      <c r="P153" s="21">
        <v>6.5420000000000006E-2</v>
      </c>
      <c r="Q153" s="21">
        <v>6.8834000000000006E-2</v>
      </c>
      <c r="R153" s="21">
        <v>7.4303999999999995E-2</v>
      </c>
      <c r="S153" s="21">
        <v>7.3308999999999999E-2</v>
      </c>
      <c r="T153" s="21">
        <v>6.9153999999999993E-2</v>
      </c>
      <c r="U153" s="21">
        <v>7.0379999999999998E-2</v>
      </c>
      <c r="V153" s="21">
        <v>6.6403000000000004E-2</v>
      </c>
      <c r="W153" s="20"/>
    </row>
    <row r="154" spans="1:28" x14ac:dyDescent="0.2">
      <c r="A154" s="5" t="s">
        <v>1163</v>
      </c>
      <c r="B154" s="5"/>
      <c r="C154" s="21">
        <v>1.4427000000000001E-2</v>
      </c>
      <c r="D154" s="21">
        <v>3.8193999999999999E-2</v>
      </c>
      <c r="E154" s="21">
        <v>5.3208999999999999E-2</v>
      </c>
      <c r="F154" s="21">
        <v>4.759E-2</v>
      </c>
      <c r="G154" s="21">
        <v>2.9047E-2</v>
      </c>
      <c r="H154" s="21">
        <v>2.5301000000000001E-2</v>
      </c>
      <c r="I154" s="21">
        <v>3.0658999999999999E-2</v>
      </c>
      <c r="J154" s="21">
        <v>4.197E-2</v>
      </c>
      <c r="K154" s="21">
        <v>3.8989000000000003E-2</v>
      </c>
      <c r="L154" s="21">
        <v>2.0088000000000002E-2</v>
      </c>
      <c r="M154" s="21">
        <v>1.9508000000000001E-2</v>
      </c>
      <c r="N154" s="21">
        <v>3.7395999999999999E-2</v>
      </c>
      <c r="O154" s="21">
        <v>5.5747999999999999E-2</v>
      </c>
      <c r="P154" s="21">
        <v>6.5420000000000006E-2</v>
      </c>
      <c r="Q154" s="21">
        <v>6.8834000000000006E-2</v>
      </c>
      <c r="R154" s="21">
        <v>7.4303999999999995E-2</v>
      </c>
      <c r="S154" s="21">
        <v>7.3308999999999999E-2</v>
      </c>
      <c r="T154" s="21">
        <v>6.9153999999999993E-2</v>
      </c>
      <c r="U154" s="21">
        <v>7.0379999999999998E-2</v>
      </c>
      <c r="V154" s="21">
        <v>6.6403000000000004E-2</v>
      </c>
      <c r="W154" s="20"/>
    </row>
    <row r="155" spans="1:28" x14ac:dyDescent="0.2">
      <c r="A155" s="5" t="s">
        <v>1164</v>
      </c>
      <c r="B155" s="5"/>
      <c r="C155" s="21">
        <v>-1.0428E-2</v>
      </c>
      <c r="D155" s="21">
        <v>2.264E-2</v>
      </c>
      <c r="E155" s="21">
        <v>3.3734E-2</v>
      </c>
      <c r="F155" s="21">
        <v>3.0256000000000002E-2</v>
      </c>
      <c r="G155" s="21">
        <v>1.9615E-2</v>
      </c>
      <c r="H155" s="21">
        <v>1.4055E-2</v>
      </c>
      <c r="I155" s="21">
        <v>1.7054E-2</v>
      </c>
      <c r="J155" s="21">
        <v>2.9826999999999999E-2</v>
      </c>
      <c r="K155" s="21">
        <v>3.2839E-2</v>
      </c>
      <c r="L155" s="21">
        <v>1.4344000000000001E-2</v>
      </c>
      <c r="M155" s="21">
        <v>1.201E-2</v>
      </c>
      <c r="N155" s="21">
        <v>2.3188E-2</v>
      </c>
      <c r="O155" s="21">
        <v>3.8112E-2</v>
      </c>
      <c r="P155" s="21">
        <v>4.5497000000000003E-2</v>
      </c>
      <c r="Q155" s="21">
        <v>4.845E-2</v>
      </c>
      <c r="R155" s="21">
        <v>5.2613E-2</v>
      </c>
      <c r="S155" s="21">
        <v>5.6555000000000001E-2</v>
      </c>
      <c r="T155" s="21">
        <v>5.2016E-2</v>
      </c>
      <c r="U155" s="21">
        <v>5.4184000000000003E-2</v>
      </c>
      <c r="V155" s="21">
        <v>5.2201999999999998E-2</v>
      </c>
      <c r="W155" s="20"/>
    </row>
    <row r="156" spans="1:28" x14ac:dyDescent="0.2">
      <c r="A156" s="5" t="s">
        <v>1165</v>
      </c>
      <c r="B156" s="5"/>
      <c r="C156" s="21">
        <v>-4.7099999999999998E-3</v>
      </c>
      <c r="D156" s="21">
        <v>1.7722999999999999E-2</v>
      </c>
      <c r="E156" s="21">
        <v>2.3314000000000001E-2</v>
      </c>
      <c r="F156" s="21">
        <v>1.7665E-2</v>
      </c>
      <c r="G156" s="21">
        <v>1.0737999999999999E-2</v>
      </c>
      <c r="H156" s="21">
        <v>8.2349999999999993E-3</v>
      </c>
      <c r="I156" s="21">
        <v>1.7054E-2</v>
      </c>
      <c r="J156" s="21">
        <v>2.9826999999999999E-2</v>
      </c>
      <c r="K156" s="21">
        <v>3.2839E-2</v>
      </c>
      <c r="L156" s="21">
        <v>1.4344000000000001E-2</v>
      </c>
      <c r="M156" s="21">
        <v>1.201E-2</v>
      </c>
      <c r="N156" s="21">
        <v>2.3188E-2</v>
      </c>
      <c r="O156" s="21">
        <v>3.8112E-2</v>
      </c>
      <c r="P156" s="21">
        <v>4.5497000000000003E-2</v>
      </c>
      <c r="Q156" s="21">
        <v>4.845E-2</v>
      </c>
      <c r="R156" s="21">
        <v>5.2613E-2</v>
      </c>
      <c r="S156" s="21">
        <v>5.6555000000000001E-2</v>
      </c>
      <c r="T156" s="21">
        <v>5.2016E-2</v>
      </c>
      <c r="U156" s="21">
        <v>5.4184000000000003E-2</v>
      </c>
      <c r="V156" s="21">
        <v>5.2201999999999998E-2</v>
      </c>
      <c r="W156" s="20"/>
    </row>
    <row r="157" spans="1:28" x14ac:dyDescent="0.2">
      <c r="A157" s="5" t="s">
        <v>1166</v>
      </c>
      <c r="B157" s="5"/>
      <c r="C157" s="21">
        <v>-4.7099999999999998E-3</v>
      </c>
      <c r="D157" s="21">
        <v>1.7722999999999999E-2</v>
      </c>
      <c r="E157" s="21">
        <v>2.3314000000000001E-2</v>
      </c>
      <c r="F157" s="21">
        <v>1.7665E-2</v>
      </c>
      <c r="G157" s="21">
        <v>1.0737999999999999E-2</v>
      </c>
      <c r="H157" s="21">
        <v>7.1529999999999996E-3</v>
      </c>
      <c r="I157" s="21">
        <v>1.7054E-2</v>
      </c>
      <c r="J157" s="21">
        <v>2.9826999999999999E-2</v>
      </c>
      <c r="K157" s="21">
        <v>3.2839E-2</v>
      </c>
      <c r="L157" s="21">
        <v>1.4344000000000001E-2</v>
      </c>
      <c r="M157" s="21">
        <v>1.201E-2</v>
      </c>
      <c r="N157" s="21">
        <v>2.3188E-2</v>
      </c>
      <c r="O157" s="21">
        <v>3.8112E-2</v>
      </c>
      <c r="P157" s="21">
        <v>4.5497000000000003E-2</v>
      </c>
      <c r="Q157" s="21">
        <v>4.845E-2</v>
      </c>
      <c r="R157" s="21">
        <v>5.2613E-2</v>
      </c>
      <c r="S157" s="21">
        <v>5.6555000000000001E-2</v>
      </c>
      <c r="T157" s="21">
        <v>5.2016E-2</v>
      </c>
      <c r="U157" s="21">
        <v>5.4184000000000003E-2</v>
      </c>
      <c r="V157" s="21">
        <v>5.2201999999999998E-2</v>
      </c>
      <c r="W157" s="20"/>
    </row>
    <row r="158" spans="1:28" x14ac:dyDescent="0.2">
      <c r="A158" s="5" t="s">
        <v>1167</v>
      </c>
      <c r="B158" s="5"/>
      <c r="C158" s="21">
        <v>9.417E-3</v>
      </c>
      <c r="D158" s="21">
        <v>1.3705E-2</v>
      </c>
      <c r="E158" s="21">
        <v>1.8742999999999999E-2</v>
      </c>
      <c r="F158" s="21">
        <v>1.5547E-2</v>
      </c>
      <c r="G158" s="21">
        <v>6.96E-3</v>
      </c>
      <c r="H158" s="21">
        <v>6.483E-3</v>
      </c>
      <c r="I158" s="21">
        <v>1.8651000000000001E-2</v>
      </c>
      <c r="J158" s="21">
        <v>2.6655999999999999E-2</v>
      </c>
      <c r="K158" s="21">
        <v>4.3757999999999998E-2</v>
      </c>
      <c r="L158" s="21">
        <v>1.328E-2</v>
      </c>
      <c r="M158" s="21">
        <v>1.2623000000000001E-2</v>
      </c>
      <c r="N158" s="21">
        <v>2.4362000000000002E-2</v>
      </c>
      <c r="O158" s="21">
        <v>3.6662E-2</v>
      </c>
      <c r="P158" s="21">
        <v>4.2065999999999999E-2</v>
      </c>
      <c r="Q158" s="21">
        <v>4.2979000000000003E-2</v>
      </c>
      <c r="R158" s="21">
        <v>4.6605000000000001E-2</v>
      </c>
      <c r="S158" s="21">
        <v>4.6095999999999998E-2</v>
      </c>
      <c r="T158" s="21">
        <v>4.3348999999999999E-2</v>
      </c>
      <c r="U158" s="21">
        <v>4.4114E-2</v>
      </c>
      <c r="V158" s="21">
        <v>4.1706E-2</v>
      </c>
      <c r="W158" s="20"/>
    </row>
    <row r="159" spans="1:28" x14ac:dyDescent="0.2">
      <c r="A159" s="5" t="s">
        <v>1168</v>
      </c>
      <c r="B159" s="5"/>
      <c r="C159" s="20" t="s">
        <v>52</v>
      </c>
      <c r="D159" s="21">
        <v>3.2802999999999999E-2</v>
      </c>
      <c r="E159" s="21">
        <v>-6.3699999999999998E-3</v>
      </c>
      <c r="F159" s="21">
        <v>-4.6920999999999997E-2</v>
      </c>
      <c r="G159" s="21">
        <v>-6.9692000000000004E-2</v>
      </c>
      <c r="H159" s="21">
        <v>-6.6200000000000005E-4</v>
      </c>
      <c r="I159" s="21">
        <v>-2.4781000000000001E-2</v>
      </c>
      <c r="J159" s="21">
        <v>0.15787399999999999</v>
      </c>
      <c r="K159" s="21">
        <v>-2.5010000000000001E-2</v>
      </c>
      <c r="L159" s="21">
        <v>-2.4583000000000001E-2</v>
      </c>
      <c r="M159" s="21">
        <v>2.9E-4</v>
      </c>
      <c r="N159" s="21">
        <v>2.8105000000000002E-2</v>
      </c>
      <c r="O159" s="21">
        <v>4.9029000000000003E-2</v>
      </c>
      <c r="P159" s="21">
        <v>4.0919999999999998E-2</v>
      </c>
      <c r="Q159" s="21">
        <v>3.8829000000000002E-2</v>
      </c>
      <c r="R159" s="21">
        <v>-1.7961999999999999E-2</v>
      </c>
      <c r="S159" s="21">
        <v>7.6099999999999996E-3</v>
      </c>
      <c r="T159" s="21">
        <v>2.6634999999999999E-2</v>
      </c>
      <c r="U159" s="21">
        <v>5.3855E-2</v>
      </c>
      <c r="V159" s="21">
        <v>6.4184000000000005E-2</v>
      </c>
      <c r="W159" s="20"/>
    </row>
    <row r="160" spans="1:28" x14ac:dyDescent="0.2">
      <c r="A160" s="5" t="s">
        <v>1169</v>
      </c>
      <c r="B160" s="5"/>
      <c r="C160" s="20" t="s">
        <v>52</v>
      </c>
      <c r="D160" s="21">
        <v>3.8052000000000002E-2</v>
      </c>
      <c r="E160" s="21">
        <v>-2.2139999999999998E-3</v>
      </c>
      <c r="F160" s="21">
        <v>-4.5316000000000002E-2</v>
      </c>
      <c r="G160" s="21">
        <v>-6.7375000000000004E-2</v>
      </c>
      <c r="H160" s="21">
        <v>1.7650000000000001E-3</v>
      </c>
      <c r="I160" s="21">
        <v>-2.427E-2</v>
      </c>
      <c r="J160" s="21">
        <v>0.158029</v>
      </c>
      <c r="K160" s="21">
        <v>-2.4972000000000001E-2</v>
      </c>
      <c r="L160" s="21">
        <v>-2.4409E-2</v>
      </c>
      <c r="M160" s="21">
        <v>5.7399999999999997E-4</v>
      </c>
      <c r="N160" s="21">
        <v>2.8164999999999999E-2</v>
      </c>
      <c r="O160" s="21">
        <v>4.9036999999999997E-2</v>
      </c>
      <c r="P160" s="21">
        <v>4.0925000000000003E-2</v>
      </c>
      <c r="Q160" s="21">
        <v>3.9067999999999999E-2</v>
      </c>
      <c r="R160" s="21">
        <v>-1.7961000000000001E-2</v>
      </c>
      <c r="S160" s="21">
        <v>7.6099999999999996E-3</v>
      </c>
      <c r="T160" s="21">
        <v>2.6634999999999999E-2</v>
      </c>
      <c r="U160" s="21">
        <v>5.3855E-2</v>
      </c>
      <c r="V160" s="21">
        <v>6.4184000000000005E-2</v>
      </c>
      <c r="W160" s="20"/>
    </row>
    <row r="161" spans="1:23" x14ac:dyDescent="0.2">
      <c r="A161" s="5"/>
      <c r="B161" s="5"/>
      <c r="C161" s="5"/>
      <c r="D161" s="5"/>
      <c r="E161" s="5"/>
      <c r="F161" s="5"/>
      <c r="G161" s="5"/>
      <c r="H161" s="5"/>
      <c r="I161" s="5"/>
      <c r="J161" s="5"/>
      <c r="K161" s="5"/>
      <c r="L161" s="5"/>
      <c r="M161" s="5"/>
      <c r="N161" s="5"/>
      <c r="O161" s="5"/>
      <c r="P161" s="5"/>
      <c r="Q161" s="5"/>
      <c r="R161" s="5"/>
      <c r="S161" s="5"/>
      <c r="T161" s="5"/>
      <c r="U161" s="5"/>
      <c r="V161" s="5"/>
      <c r="W161" s="20"/>
    </row>
    <row r="162" spans="1:23" ht="10.5" x14ac:dyDescent="0.2">
      <c r="A162" s="14" t="s">
        <v>1170</v>
      </c>
      <c r="B162" s="14"/>
      <c r="C162" s="5"/>
      <c r="D162" s="5"/>
      <c r="E162" s="5"/>
      <c r="F162" s="5"/>
      <c r="G162" s="5"/>
      <c r="H162" s="5"/>
      <c r="I162" s="5"/>
      <c r="J162" s="5"/>
      <c r="K162" s="5"/>
      <c r="L162" s="5"/>
      <c r="M162" s="5"/>
      <c r="N162" s="5"/>
      <c r="O162" s="5"/>
      <c r="P162" s="5"/>
      <c r="Q162" s="5"/>
      <c r="R162" s="5"/>
      <c r="S162" s="5"/>
      <c r="T162" s="5"/>
      <c r="U162" s="5"/>
      <c r="V162" s="5"/>
      <c r="W162" s="20"/>
    </row>
    <row r="163" spans="1:23" x14ac:dyDescent="0.2">
      <c r="A163" s="5" t="s">
        <v>1171</v>
      </c>
      <c r="B163" s="5"/>
      <c r="C163" s="20" t="s">
        <v>52</v>
      </c>
      <c r="D163" s="27">
        <v>3.9686819999999998</v>
      </c>
      <c r="E163" s="27">
        <v>4.2470689999999998</v>
      </c>
      <c r="F163" s="27">
        <v>4.3336079999999999</v>
      </c>
      <c r="G163" s="27">
        <v>3.2751999999999999</v>
      </c>
      <c r="H163" s="27">
        <v>4.4578249999999997</v>
      </c>
      <c r="I163" s="27">
        <v>2.888547</v>
      </c>
      <c r="J163" s="27">
        <v>2.4391720000000001</v>
      </c>
      <c r="K163" s="27">
        <v>3.4084120000000002</v>
      </c>
      <c r="L163" s="27">
        <v>3.4494630000000002</v>
      </c>
      <c r="M163" s="27">
        <v>4.0735950000000001</v>
      </c>
      <c r="N163" s="27">
        <v>4.1689379999999998</v>
      </c>
      <c r="O163" s="27">
        <v>3.5790649999999999</v>
      </c>
      <c r="P163" s="27">
        <v>3.4114550000000001</v>
      </c>
      <c r="Q163" s="27">
        <v>3.6340919999999999</v>
      </c>
      <c r="R163" s="27">
        <v>4.1831480000000001</v>
      </c>
      <c r="S163" s="27">
        <v>4.0181630000000004</v>
      </c>
      <c r="T163" s="27">
        <v>3.981722</v>
      </c>
      <c r="U163" s="27">
        <v>3.9241570000000001</v>
      </c>
      <c r="V163" s="27">
        <v>3.3352949999999999</v>
      </c>
      <c r="W163" s="20"/>
    </row>
    <row r="164" spans="1:23" x14ac:dyDescent="0.2">
      <c r="A164" s="5" t="s">
        <v>1172</v>
      </c>
      <c r="B164" s="5"/>
      <c r="C164" s="20" t="s">
        <v>52</v>
      </c>
      <c r="D164" s="27">
        <v>33.527033000000003</v>
      </c>
      <c r="E164" s="27">
        <v>45.462881000000003</v>
      </c>
      <c r="F164" s="27">
        <v>64.238994000000005</v>
      </c>
      <c r="G164" s="27">
        <v>51.547685000000001</v>
      </c>
      <c r="H164" s="27">
        <v>66.844610000000003</v>
      </c>
      <c r="I164" s="27">
        <v>86.663010999999997</v>
      </c>
      <c r="J164" s="27">
        <v>105.590288</v>
      </c>
      <c r="K164" s="27">
        <v>96.600622000000001</v>
      </c>
      <c r="L164" s="27">
        <v>87.833511999999999</v>
      </c>
      <c r="M164" s="27">
        <v>133.63687400000001</v>
      </c>
      <c r="N164" s="27">
        <v>211.45006000000001</v>
      </c>
      <c r="O164" s="27">
        <v>201.98916800000001</v>
      </c>
      <c r="P164" s="27">
        <v>221.657039</v>
      </c>
      <c r="Q164" s="27" t="s">
        <v>1173</v>
      </c>
      <c r="R164" s="27" t="s">
        <v>1173</v>
      </c>
      <c r="S164" s="27">
        <v>112.550535</v>
      </c>
      <c r="T164" s="27">
        <v>71.646761999999995</v>
      </c>
      <c r="U164" s="27">
        <v>77.914707000000007</v>
      </c>
      <c r="V164" s="27">
        <v>87.633636999999993</v>
      </c>
      <c r="W164" s="20"/>
    </row>
    <row r="165" spans="1:23" x14ac:dyDescent="0.2">
      <c r="A165" s="5" t="s">
        <v>1174</v>
      </c>
      <c r="B165" s="5"/>
      <c r="C165" s="20" t="s">
        <v>52</v>
      </c>
      <c r="D165" s="27">
        <v>5.4638299999999997</v>
      </c>
      <c r="E165" s="27">
        <v>5.2807890000000004</v>
      </c>
      <c r="F165" s="27">
        <v>5.0767139999999999</v>
      </c>
      <c r="G165" s="27">
        <v>3.8046000000000002</v>
      </c>
      <c r="H165" s="27">
        <v>5.2536690000000004</v>
      </c>
      <c r="I165" s="27">
        <v>3.3669539999999998</v>
      </c>
      <c r="J165" s="27">
        <v>3.0316890000000001</v>
      </c>
      <c r="K165" s="27">
        <v>4.5035509999999999</v>
      </c>
      <c r="L165" s="27">
        <v>4.4662509999999997</v>
      </c>
      <c r="M165" s="27">
        <v>4.8816639999999998</v>
      </c>
      <c r="N165" s="27">
        <v>5.3499889999999999</v>
      </c>
      <c r="O165" s="27">
        <v>5.4966900000000001</v>
      </c>
      <c r="P165" s="27">
        <v>5.8098099999999997</v>
      </c>
      <c r="Q165" s="27">
        <v>5.9503779999999997</v>
      </c>
      <c r="R165" s="27">
        <v>5.8420579999999998</v>
      </c>
      <c r="S165" s="27">
        <v>5.4985150000000003</v>
      </c>
      <c r="T165" s="27">
        <v>5.5227589999999998</v>
      </c>
      <c r="U165" s="27">
        <v>5.9161760000000001</v>
      </c>
      <c r="V165" s="27">
        <v>5.8467979999999997</v>
      </c>
      <c r="W165" s="20"/>
    </row>
    <row r="166" spans="1:23" x14ac:dyDescent="0.2">
      <c r="A166" s="5" t="s">
        <v>1175</v>
      </c>
      <c r="B166" s="5"/>
      <c r="C166" s="20" t="s">
        <v>52</v>
      </c>
      <c r="D166" s="27">
        <v>33.594484000000001</v>
      </c>
      <c r="E166" s="27">
        <v>119.275581</v>
      </c>
      <c r="F166" s="27">
        <v>243.524553</v>
      </c>
      <c r="G166" s="27">
        <v>139.01180500000001</v>
      </c>
      <c r="H166" s="27">
        <v>107.88678400000001</v>
      </c>
      <c r="I166" s="27">
        <v>38.957296999999997</v>
      </c>
      <c r="J166" s="27">
        <v>40.967699000000003</v>
      </c>
      <c r="K166" s="27">
        <v>158.93597399999999</v>
      </c>
      <c r="L166" s="27">
        <v>195.79116999999999</v>
      </c>
      <c r="M166" s="27">
        <v>267.477013</v>
      </c>
      <c r="N166" s="27">
        <v>257.407239</v>
      </c>
      <c r="O166" s="27">
        <v>206.354804</v>
      </c>
      <c r="P166" s="27">
        <v>273.17422900000003</v>
      </c>
      <c r="Q166" s="27">
        <v>214.10087799999999</v>
      </c>
      <c r="R166" s="27">
        <v>187.99254199999999</v>
      </c>
      <c r="S166" s="27">
        <v>162.591925</v>
      </c>
      <c r="T166" s="27">
        <v>103.47813600000001</v>
      </c>
      <c r="U166" s="27">
        <v>95.041701000000003</v>
      </c>
      <c r="V166" s="27">
        <v>138.317398</v>
      </c>
      <c r="W166" s="20"/>
    </row>
    <row r="167" spans="1:23" x14ac:dyDescent="0.2">
      <c r="A167" s="5"/>
      <c r="B167" s="5"/>
      <c r="C167" s="5"/>
      <c r="D167" s="5"/>
      <c r="E167" s="5"/>
      <c r="F167" s="5"/>
      <c r="G167" s="5"/>
      <c r="H167" s="5"/>
      <c r="I167" s="5"/>
      <c r="J167" s="5"/>
      <c r="K167" s="5"/>
      <c r="L167" s="5"/>
      <c r="M167" s="5"/>
      <c r="N167" s="5"/>
      <c r="O167" s="5"/>
      <c r="P167" s="5"/>
      <c r="Q167" s="5"/>
      <c r="R167" s="5"/>
      <c r="S167" s="5"/>
      <c r="T167" s="5"/>
      <c r="U167" s="5"/>
      <c r="V167" s="5"/>
      <c r="W167" s="20"/>
    </row>
    <row r="168" spans="1:23" ht="10.5" x14ac:dyDescent="0.2">
      <c r="A168" s="14" t="s">
        <v>1176</v>
      </c>
      <c r="B168" s="14"/>
      <c r="C168" s="5"/>
      <c r="D168" s="5"/>
      <c r="E168" s="5"/>
      <c r="F168" s="5"/>
      <c r="G168" s="5"/>
      <c r="H168" s="5"/>
      <c r="I168" s="5"/>
      <c r="J168" s="5"/>
      <c r="K168" s="5"/>
      <c r="L168" s="5"/>
      <c r="M168" s="5"/>
      <c r="N168" s="5"/>
      <c r="O168" s="5"/>
      <c r="P168" s="5"/>
      <c r="Q168" s="5"/>
      <c r="R168" s="5"/>
      <c r="S168" s="5"/>
      <c r="T168" s="5"/>
      <c r="U168" s="5"/>
      <c r="V168" s="5"/>
      <c r="W168" s="20"/>
    </row>
    <row r="169" spans="1:23" x14ac:dyDescent="0.2">
      <c r="A169" s="5" t="s">
        <v>1177</v>
      </c>
      <c r="B169" s="5"/>
      <c r="C169" s="27">
        <v>0.89953099999999997</v>
      </c>
      <c r="D169" s="27">
        <v>0.99907100000000004</v>
      </c>
      <c r="E169" s="27">
        <v>1.1021620000000001</v>
      </c>
      <c r="F169" s="27">
        <v>1.1848430000000001</v>
      </c>
      <c r="G169" s="27">
        <v>1.174952</v>
      </c>
      <c r="H169" s="27">
        <v>1.2140340000000001</v>
      </c>
      <c r="I169" s="27">
        <v>1.109213</v>
      </c>
      <c r="J169" s="27">
        <v>1.126088</v>
      </c>
      <c r="K169" s="27">
        <v>1.334708</v>
      </c>
      <c r="L169" s="27">
        <v>1.185667</v>
      </c>
      <c r="M169" s="27">
        <v>1.317299</v>
      </c>
      <c r="N169" s="27">
        <v>1.314114</v>
      </c>
      <c r="O169" s="27">
        <v>1.4378169999999999</v>
      </c>
      <c r="P169" s="27">
        <v>1.7142809999999999</v>
      </c>
      <c r="Q169" s="27">
        <v>1.40011</v>
      </c>
      <c r="R169" s="27">
        <v>1.7007080000000001</v>
      </c>
      <c r="S169" s="27">
        <v>1.7420249999999999</v>
      </c>
      <c r="T169" s="27">
        <v>1.6959599999999999</v>
      </c>
      <c r="U169" s="27">
        <v>1.8311770000000001</v>
      </c>
      <c r="V169" s="27">
        <v>1.7859499999999999</v>
      </c>
      <c r="W169" s="20"/>
    </row>
    <row r="170" spans="1:23" x14ac:dyDescent="0.2">
      <c r="A170" s="5" t="s">
        <v>1178</v>
      </c>
      <c r="B170" s="5"/>
      <c r="C170" s="27">
        <v>0.67915300000000001</v>
      </c>
      <c r="D170" s="27">
        <v>0.91445299999999996</v>
      </c>
      <c r="E170" s="27">
        <v>1.0345660000000001</v>
      </c>
      <c r="F170" s="27">
        <v>1.0998479999999999</v>
      </c>
      <c r="G170" s="27">
        <v>1.095089</v>
      </c>
      <c r="H170" s="27">
        <v>1.1244369999999999</v>
      </c>
      <c r="I170" s="27">
        <v>1.0106470000000001</v>
      </c>
      <c r="J170" s="27">
        <v>1.070306</v>
      </c>
      <c r="K170" s="27">
        <v>1.2771790000000001</v>
      </c>
      <c r="L170" s="27">
        <v>1.1358680000000001</v>
      </c>
      <c r="M170" s="27">
        <v>1.272051</v>
      </c>
      <c r="N170" s="27">
        <v>1.261897</v>
      </c>
      <c r="O170" s="27">
        <v>1.389303</v>
      </c>
      <c r="P170" s="27">
        <v>1.6609039999999999</v>
      </c>
      <c r="Q170" s="27">
        <v>1.3464320000000001</v>
      </c>
      <c r="R170" s="27">
        <v>1.5870329999999999</v>
      </c>
      <c r="S170" s="27">
        <v>1.5615300000000001</v>
      </c>
      <c r="T170" s="27">
        <v>1.50007</v>
      </c>
      <c r="U170" s="27">
        <v>1.7130209999999999</v>
      </c>
      <c r="V170" s="27">
        <v>1.71227</v>
      </c>
      <c r="W170" s="20"/>
    </row>
    <row r="171" spans="1:23" x14ac:dyDescent="0.2">
      <c r="A171" s="5" t="s">
        <v>1179</v>
      </c>
      <c r="B171" s="5"/>
      <c r="C171" s="27">
        <v>3.6686999999999997E-2</v>
      </c>
      <c r="D171" s="27">
        <v>0.186415</v>
      </c>
      <c r="E171" s="27">
        <v>8.4853999999999999E-2</v>
      </c>
      <c r="F171" s="27" t="s">
        <v>1173</v>
      </c>
      <c r="G171" s="27" t="s">
        <v>1173</v>
      </c>
      <c r="H171" s="27">
        <v>0.109108</v>
      </c>
      <c r="I171" s="27" t="s">
        <v>1173</v>
      </c>
      <c r="J171" s="27">
        <v>0.50820699999999996</v>
      </c>
      <c r="K171" s="27" t="s">
        <v>1173</v>
      </c>
      <c r="L171" s="27" t="s">
        <v>1173</v>
      </c>
      <c r="M171" s="27">
        <v>3.4430000000000002E-2</v>
      </c>
      <c r="N171" s="27">
        <v>0.193213</v>
      </c>
      <c r="O171" s="27">
        <v>0.30752000000000002</v>
      </c>
      <c r="P171" s="27">
        <v>0.374668</v>
      </c>
      <c r="Q171" s="27">
        <v>0.28062300000000001</v>
      </c>
      <c r="R171" s="27">
        <v>4.1995999999999999E-2</v>
      </c>
      <c r="S171" s="27">
        <v>0.29269800000000001</v>
      </c>
      <c r="T171" s="27">
        <v>0.300122</v>
      </c>
      <c r="U171" s="27">
        <v>0.45874500000000001</v>
      </c>
      <c r="V171" s="27">
        <v>0.42497000000000001</v>
      </c>
      <c r="W171" s="20"/>
    </row>
    <row r="172" spans="1:23" x14ac:dyDescent="0.2">
      <c r="A172" s="5" t="s">
        <v>1180</v>
      </c>
      <c r="B172" s="5"/>
      <c r="C172" s="15" t="s">
        <v>52</v>
      </c>
      <c r="D172" s="15">
        <v>66.802665000000005</v>
      </c>
      <c r="E172" s="15">
        <v>69.118224999999995</v>
      </c>
      <c r="F172" s="15">
        <v>71.896604999999994</v>
      </c>
      <c r="G172" s="15">
        <v>96.199073999999996</v>
      </c>
      <c r="H172" s="15">
        <v>69.475194999999999</v>
      </c>
      <c r="I172" s="15">
        <v>108.40646</v>
      </c>
      <c r="J172" s="15">
        <v>120.394885</v>
      </c>
      <c r="K172" s="15">
        <v>81.268835999999993</v>
      </c>
      <c r="L172" s="15">
        <v>81.723865000000004</v>
      </c>
      <c r="M172" s="15">
        <v>74.76952</v>
      </c>
      <c r="N172" s="15">
        <v>68.224339999999998</v>
      </c>
      <c r="O172" s="15">
        <v>66.585282000000007</v>
      </c>
      <c r="P172" s="15">
        <v>62.824530000000003</v>
      </c>
      <c r="Q172" s="15">
        <v>61.340440000000001</v>
      </c>
      <c r="R172" s="15">
        <v>62.477780000000003</v>
      </c>
      <c r="S172" s="15">
        <v>66.563321999999999</v>
      </c>
      <c r="T172" s="15">
        <v>66.089820000000003</v>
      </c>
      <c r="U172" s="15">
        <v>61.695219999999999</v>
      </c>
      <c r="V172" s="15">
        <v>62.427045</v>
      </c>
      <c r="W172" s="20"/>
    </row>
    <row r="173" spans="1:23" x14ac:dyDescent="0.2">
      <c r="A173" s="5" t="s">
        <v>1181</v>
      </c>
      <c r="B173" s="5"/>
      <c r="C173" s="15" t="s">
        <v>52</v>
      </c>
      <c r="D173" s="15">
        <v>10.86459</v>
      </c>
      <c r="E173" s="15">
        <v>3.0597949999999998</v>
      </c>
      <c r="F173" s="15">
        <v>1.4986900000000001</v>
      </c>
      <c r="G173" s="15">
        <v>2.632638</v>
      </c>
      <c r="H173" s="15">
        <v>3.3828200000000002</v>
      </c>
      <c r="I173" s="15">
        <v>9.3691849999999999</v>
      </c>
      <c r="J173" s="15">
        <v>8.9092850000000006</v>
      </c>
      <c r="K173" s="15">
        <v>2.3025060000000002</v>
      </c>
      <c r="L173" s="15">
        <v>1.864055</v>
      </c>
      <c r="M173" s="15">
        <v>1.3643700000000001</v>
      </c>
      <c r="N173" s="15">
        <v>1.4176599999999999</v>
      </c>
      <c r="O173" s="15">
        <v>1.773636</v>
      </c>
      <c r="P173" s="15">
        <v>1.3359000000000001</v>
      </c>
      <c r="Q173" s="15">
        <v>1.70455</v>
      </c>
      <c r="R173" s="15">
        <v>1.941435</v>
      </c>
      <c r="S173" s="15">
        <v>2.2509000000000001</v>
      </c>
      <c r="T173" s="15">
        <v>3.5269949999999999</v>
      </c>
      <c r="U173" s="15">
        <v>3.8401649999999998</v>
      </c>
      <c r="V173" s="15">
        <v>2.638585</v>
      </c>
      <c r="W173" s="20"/>
    </row>
    <row r="174" spans="1:23" x14ac:dyDescent="0.2">
      <c r="A174" s="5" t="s">
        <v>1182</v>
      </c>
      <c r="B174" s="5"/>
      <c r="C174" s="15" t="s">
        <v>52</v>
      </c>
      <c r="D174" s="15">
        <v>53.118450000000003</v>
      </c>
      <c r="E174" s="15">
        <v>38.320255000000003</v>
      </c>
      <c r="F174" s="15">
        <v>35.890450000000001</v>
      </c>
      <c r="G174" s="15">
        <v>44.625647999999998</v>
      </c>
      <c r="H174" s="15">
        <v>31.85866</v>
      </c>
      <c r="I174" s="15">
        <v>62.515374999999999</v>
      </c>
      <c r="J174" s="15">
        <v>86.155330000000006</v>
      </c>
      <c r="K174" s="15">
        <v>65.244258000000002</v>
      </c>
      <c r="L174" s="15">
        <v>56.02093</v>
      </c>
      <c r="M174" s="15">
        <v>40.164234999999998</v>
      </c>
      <c r="N174" s="15">
        <v>35.809055000000001</v>
      </c>
      <c r="O174" s="15">
        <v>38.357897999999999</v>
      </c>
      <c r="P174" s="15">
        <v>36.271144999999997</v>
      </c>
      <c r="Q174" s="15">
        <v>36.791634999999999</v>
      </c>
      <c r="R174" s="15">
        <v>31.177569999999999</v>
      </c>
      <c r="S174" s="15">
        <v>27.452928</v>
      </c>
      <c r="T174" s="15">
        <v>31.504245000000001</v>
      </c>
      <c r="U174" s="15">
        <v>36.239755000000002</v>
      </c>
      <c r="V174" s="15">
        <v>44.297494999999998</v>
      </c>
      <c r="W174" s="20"/>
    </row>
    <row r="175" spans="1:23" x14ac:dyDescent="0.2">
      <c r="A175" s="5" t="s">
        <v>1183</v>
      </c>
      <c r="B175" s="5"/>
      <c r="C175" s="15" t="s">
        <v>52</v>
      </c>
      <c r="D175" s="15">
        <v>24.548805000000002</v>
      </c>
      <c r="E175" s="15">
        <v>33.857765000000001</v>
      </c>
      <c r="F175" s="15">
        <v>37.504845000000003</v>
      </c>
      <c r="G175" s="15">
        <v>54.206063999999998</v>
      </c>
      <c r="H175" s="15">
        <v>40.999355000000001</v>
      </c>
      <c r="I175" s="15">
        <v>55.260269999999998</v>
      </c>
      <c r="J175" s="15">
        <v>43.14884</v>
      </c>
      <c r="K175" s="15">
        <v>18.327083999999999</v>
      </c>
      <c r="L175" s="15">
        <v>27.566990000000001</v>
      </c>
      <c r="M175" s="15">
        <v>35.969655000000003</v>
      </c>
      <c r="N175" s="15">
        <v>33.832945000000002</v>
      </c>
      <c r="O175" s="15">
        <v>30.00102</v>
      </c>
      <c r="P175" s="15">
        <v>27.889285000000001</v>
      </c>
      <c r="Q175" s="15">
        <v>26.253354999999999</v>
      </c>
      <c r="R175" s="15">
        <v>33.241644999999998</v>
      </c>
      <c r="S175" s="15">
        <v>41.361294000000001</v>
      </c>
      <c r="T175" s="15">
        <v>38.112569999999998</v>
      </c>
      <c r="U175" s="15">
        <v>29.295629999999999</v>
      </c>
      <c r="V175" s="15">
        <v>20.768135000000001</v>
      </c>
      <c r="W175" s="20"/>
    </row>
    <row r="176" spans="1:23" x14ac:dyDescent="0.2">
      <c r="A176" s="5"/>
      <c r="B176" s="5"/>
      <c r="C176" s="5"/>
      <c r="D176" s="5"/>
      <c r="E176" s="5"/>
      <c r="F176" s="5"/>
      <c r="G176" s="5"/>
      <c r="H176" s="5"/>
      <c r="I176" s="5"/>
      <c r="J176" s="5"/>
      <c r="K176" s="5"/>
      <c r="L176" s="5"/>
      <c r="M176" s="5"/>
      <c r="N176" s="5"/>
      <c r="O176" s="5"/>
      <c r="P176" s="5"/>
      <c r="Q176" s="5"/>
      <c r="R176" s="5"/>
      <c r="S176" s="5"/>
      <c r="T176" s="5"/>
      <c r="U176" s="5"/>
      <c r="V176" s="5"/>
      <c r="W176" s="20"/>
    </row>
    <row r="177" spans="1:23" ht="10.5" x14ac:dyDescent="0.2">
      <c r="A177" s="14" t="s">
        <v>1184</v>
      </c>
      <c r="B177" s="14"/>
      <c r="C177" s="5"/>
      <c r="D177" s="5"/>
      <c r="E177" s="5"/>
      <c r="F177" s="5"/>
      <c r="G177" s="5"/>
      <c r="H177" s="5"/>
      <c r="I177" s="5"/>
      <c r="J177" s="5"/>
      <c r="K177" s="5"/>
      <c r="L177" s="5"/>
      <c r="M177" s="5"/>
      <c r="N177" s="5"/>
      <c r="O177" s="5"/>
      <c r="P177" s="5"/>
      <c r="Q177" s="5"/>
      <c r="R177" s="5"/>
      <c r="S177" s="5"/>
      <c r="T177" s="5"/>
      <c r="U177" s="5"/>
      <c r="V177" s="5"/>
      <c r="W177" s="20"/>
    </row>
    <row r="178" spans="1:23" x14ac:dyDescent="0.2">
      <c r="A178" s="5" t="s">
        <v>1185</v>
      </c>
      <c r="B178" s="5"/>
      <c r="C178" s="21">
        <v>4.2071969999999999</v>
      </c>
      <c r="D178" s="21">
        <v>0.63784300000000005</v>
      </c>
      <c r="E178" s="21">
        <v>0.38196600000000003</v>
      </c>
      <c r="F178" s="21">
        <v>0.84647300000000003</v>
      </c>
      <c r="G178" s="21">
        <v>1.537426</v>
      </c>
      <c r="H178" s="21">
        <v>1.11669</v>
      </c>
      <c r="I178" s="21">
        <v>1.3167949999999999</v>
      </c>
      <c r="J178" s="21">
        <v>1.0449999999999999E-3</v>
      </c>
      <c r="K178" s="20" t="s">
        <v>52</v>
      </c>
      <c r="L178" s="21">
        <v>1.198391</v>
      </c>
      <c r="M178" s="21">
        <v>0.36636400000000002</v>
      </c>
      <c r="N178" s="21">
        <v>0.76922000000000001</v>
      </c>
      <c r="O178" s="21">
        <v>0.486155</v>
      </c>
      <c r="P178" s="21">
        <v>0.203261</v>
      </c>
      <c r="Q178" s="21">
        <v>0.40895199999999998</v>
      </c>
      <c r="R178" s="21">
        <v>0.122789</v>
      </c>
      <c r="S178" s="21">
        <v>5.2748999999999997E-2</v>
      </c>
      <c r="T178" s="20" t="s">
        <v>52</v>
      </c>
      <c r="U178" s="20" t="s">
        <v>52</v>
      </c>
      <c r="V178" s="20" t="s">
        <v>52</v>
      </c>
      <c r="W178" s="20"/>
    </row>
    <row r="179" spans="1:23" x14ac:dyDescent="0.2">
      <c r="A179" s="5" t="s">
        <v>1186</v>
      </c>
      <c r="B179" s="5"/>
      <c r="C179" s="21">
        <v>0.80795799999999995</v>
      </c>
      <c r="D179" s="21">
        <v>0.38944099999999998</v>
      </c>
      <c r="E179" s="21">
        <v>0.276393</v>
      </c>
      <c r="F179" s="21">
        <v>0.45842699999999997</v>
      </c>
      <c r="G179" s="21">
        <v>0.60589899999999997</v>
      </c>
      <c r="H179" s="21">
        <v>0.52756400000000003</v>
      </c>
      <c r="I179" s="21">
        <v>0.56836900000000001</v>
      </c>
      <c r="J179" s="21">
        <v>1.044E-3</v>
      </c>
      <c r="K179" s="20" t="s">
        <v>52</v>
      </c>
      <c r="L179" s="21">
        <v>0.545122</v>
      </c>
      <c r="M179" s="21">
        <v>0.26812999999999998</v>
      </c>
      <c r="N179" s="21">
        <v>0.43477900000000003</v>
      </c>
      <c r="O179" s="21">
        <v>0.32712200000000002</v>
      </c>
      <c r="P179" s="21">
        <v>0.16892499999999999</v>
      </c>
      <c r="Q179" s="21">
        <v>0.29025299999999998</v>
      </c>
      <c r="R179" s="21">
        <v>0.10936</v>
      </c>
      <c r="S179" s="21">
        <v>5.0105999999999998E-2</v>
      </c>
      <c r="T179" s="20" t="s">
        <v>52</v>
      </c>
      <c r="U179" s="20" t="s">
        <v>52</v>
      </c>
      <c r="V179" s="20" t="s">
        <v>52</v>
      </c>
      <c r="W179" s="20"/>
    </row>
    <row r="180" spans="1:23" x14ac:dyDescent="0.2">
      <c r="A180" s="5" t="s">
        <v>1187</v>
      </c>
      <c r="B180" s="5"/>
      <c r="C180" s="21">
        <v>8.7271000000000001E-2</v>
      </c>
      <c r="D180" s="21">
        <v>0.15406800000000001</v>
      </c>
      <c r="E180" s="21">
        <v>3.4293999999999998E-2</v>
      </c>
      <c r="F180" s="21">
        <v>2.2445E-2</v>
      </c>
      <c r="G180" s="21">
        <v>6.6400000000000001E-3</v>
      </c>
      <c r="H180" s="21">
        <v>6.9760000000000004E-3</v>
      </c>
      <c r="I180" s="21">
        <v>1.2199999999999999E-3</v>
      </c>
      <c r="J180" s="20" t="s">
        <v>52</v>
      </c>
      <c r="K180" s="20" t="s">
        <v>52</v>
      </c>
      <c r="L180" s="20" t="s">
        <v>52</v>
      </c>
      <c r="M180" s="20" t="s">
        <v>52</v>
      </c>
      <c r="N180" s="20" t="s">
        <v>52</v>
      </c>
      <c r="O180" s="20" t="s">
        <v>52</v>
      </c>
      <c r="P180" s="20" t="s">
        <v>52</v>
      </c>
      <c r="Q180" s="20" t="s">
        <v>52</v>
      </c>
      <c r="R180" s="20" t="s">
        <v>52</v>
      </c>
      <c r="S180" s="20" t="s">
        <v>52</v>
      </c>
      <c r="T180" s="20" t="s">
        <v>52</v>
      </c>
      <c r="U180" s="20" t="s">
        <v>52</v>
      </c>
      <c r="V180" s="20" t="s">
        <v>52</v>
      </c>
      <c r="W180" s="20"/>
    </row>
    <row r="181" spans="1:23" x14ac:dyDescent="0.2">
      <c r="A181" s="5" t="s">
        <v>1188</v>
      </c>
      <c r="B181" s="5"/>
      <c r="C181" s="21">
        <v>1.6759E-2</v>
      </c>
      <c r="D181" s="21">
        <v>9.4066999999999998E-2</v>
      </c>
      <c r="E181" s="21">
        <v>2.4815E-2</v>
      </c>
      <c r="F181" s="21">
        <v>1.2156E-2</v>
      </c>
      <c r="G181" s="21">
        <v>2.617E-3</v>
      </c>
      <c r="H181" s="21">
        <v>3.2950000000000002E-3</v>
      </c>
      <c r="I181" s="21">
        <v>5.2599999999999999E-4</v>
      </c>
      <c r="J181" s="20" t="s">
        <v>52</v>
      </c>
      <c r="K181" s="20" t="s">
        <v>52</v>
      </c>
      <c r="L181" s="20" t="s">
        <v>52</v>
      </c>
      <c r="M181" s="20" t="s">
        <v>52</v>
      </c>
      <c r="N181" s="20" t="s">
        <v>52</v>
      </c>
      <c r="O181" s="20" t="s">
        <v>52</v>
      </c>
      <c r="P181" s="20" t="s">
        <v>52</v>
      </c>
      <c r="Q181" s="20" t="s">
        <v>52</v>
      </c>
      <c r="R181" s="20" t="s">
        <v>52</v>
      </c>
      <c r="S181" s="20" t="s">
        <v>52</v>
      </c>
      <c r="T181" s="20" t="s">
        <v>52</v>
      </c>
      <c r="U181" s="20" t="s">
        <v>52</v>
      </c>
      <c r="V181" s="20" t="s">
        <v>52</v>
      </c>
      <c r="W181" s="20"/>
    </row>
    <row r="182" spans="1:23" x14ac:dyDescent="0.2">
      <c r="A182" s="5" t="s">
        <v>1189</v>
      </c>
      <c r="B182" s="5"/>
      <c r="C182" s="21">
        <v>0.95415700000000003</v>
      </c>
      <c r="D182" s="21">
        <v>0.90338799999999997</v>
      </c>
      <c r="E182" s="21">
        <v>0.83393099999999998</v>
      </c>
      <c r="F182" s="21">
        <v>0.80040299999999998</v>
      </c>
      <c r="G182" s="21">
        <v>0.79418900000000003</v>
      </c>
      <c r="H182" s="21">
        <v>0.77155399999999996</v>
      </c>
      <c r="I182" s="21">
        <v>0.86340700000000004</v>
      </c>
      <c r="J182" s="21">
        <v>0.77788500000000005</v>
      </c>
      <c r="K182" s="21">
        <v>0.71581799999999995</v>
      </c>
      <c r="L182" s="21">
        <v>0.81065299999999996</v>
      </c>
      <c r="M182" s="21">
        <v>0.73775999999999997</v>
      </c>
      <c r="N182" s="21">
        <v>0.74612599999999996</v>
      </c>
      <c r="O182" s="21">
        <v>0.68188000000000004</v>
      </c>
      <c r="P182" s="21">
        <v>0.57532399999999995</v>
      </c>
      <c r="Q182" s="21">
        <v>0.70769599999999999</v>
      </c>
      <c r="R182" s="21">
        <v>0.58116699999999999</v>
      </c>
      <c r="S182" s="21">
        <v>0.549149</v>
      </c>
      <c r="T182" s="21">
        <v>0.54872399999999999</v>
      </c>
      <c r="U182" s="21">
        <v>0.51820200000000005</v>
      </c>
      <c r="V182" s="21">
        <v>0.53796600000000006</v>
      </c>
      <c r="W182" s="20"/>
    </row>
    <row r="183" spans="1:23" x14ac:dyDescent="0.2">
      <c r="A183" s="5"/>
      <c r="B183" s="5"/>
      <c r="C183" s="5"/>
      <c r="D183" s="5"/>
      <c r="E183" s="5"/>
      <c r="F183" s="5"/>
      <c r="G183" s="5"/>
      <c r="H183" s="5"/>
      <c r="I183" s="5"/>
      <c r="J183" s="5"/>
      <c r="K183" s="5"/>
      <c r="L183" s="5"/>
      <c r="M183" s="5"/>
      <c r="N183" s="5"/>
      <c r="O183" s="5"/>
      <c r="P183" s="5"/>
      <c r="Q183" s="5"/>
      <c r="R183" s="5"/>
      <c r="S183" s="5"/>
      <c r="T183" s="5"/>
      <c r="U183" s="5"/>
      <c r="V183" s="5"/>
      <c r="W183" s="20"/>
    </row>
    <row r="184" spans="1:23" x14ac:dyDescent="0.2">
      <c r="A184" s="5" t="s">
        <v>1190</v>
      </c>
      <c r="B184" s="5"/>
      <c r="C184" s="27">
        <v>1.695616</v>
      </c>
      <c r="D184" s="27">
        <v>4.5475329999999996</v>
      </c>
      <c r="E184" s="27">
        <v>8.0025630000000003</v>
      </c>
      <c r="F184" s="27">
        <v>18.532240000000002</v>
      </c>
      <c r="G184" s="27">
        <v>7.8345739999999999</v>
      </c>
      <c r="H184" s="27">
        <v>6.513903</v>
      </c>
      <c r="I184" s="27">
        <v>37.486778000000001</v>
      </c>
      <c r="J184" s="27">
        <v>169.93548699999999</v>
      </c>
      <c r="K184" s="27" t="s">
        <v>1173</v>
      </c>
      <c r="L184" s="27">
        <v>72.141940000000005</v>
      </c>
      <c r="M184" s="27">
        <v>42.893591000000001</v>
      </c>
      <c r="N184" s="27" t="s">
        <v>1173</v>
      </c>
      <c r="O184" s="27" t="s">
        <v>1173</v>
      </c>
      <c r="P184" s="27" t="s">
        <v>1173</v>
      </c>
      <c r="Q184" s="27">
        <v>179.72761600000001</v>
      </c>
      <c r="R184" s="27" t="s">
        <v>1173</v>
      </c>
      <c r="S184" s="20" t="s">
        <v>52</v>
      </c>
      <c r="T184" s="20" t="s">
        <v>52</v>
      </c>
      <c r="U184" s="20" t="s">
        <v>52</v>
      </c>
      <c r="V184" s="20" t="s">
        <v>52</v>
      </c>
      <c r="W184" s="20"/>
    </row>
    <row r="185" spans="1:23" x14ac:dyDescent="0.2">
      <c r="A185" s="5" t="s">
        <v>1191</v>
      </c>
      <c r="B185" s="5"/>
      <c r="C185" s="27">
        <v>2.8504839999999998</v>
      </c>
      <c r="D185" s="27">
        <v>5.5182180000000001</v>
      </c>
      <c r="E185" s="27">
        <v>8.9013229999999997</v>
      </c>
      <c r="F185" s="27">
        <v>20.081734000000001</v>
      </c>
      <c r="G185" s="27">
        <v>9.0660670000000003</v>
      </c>
      <c r="H185" s="27">
        <v>7.7426199999999996</v>
      </c>
      <c r="I185" s="27">
        <v>46.020774000000003</v>
      </c>
      <c r="J185" s="27">
        <v>184.71507600000001</v>
      </c>
      <c r="K185" s="27" t="s">
        <v>1173</v>
      </c>
      <c r="L185" s="27">
        <v>85.721086</v>
      </c>
      <c r="M185" s="27">
        <v>48.558613000000001</v>
      </c>
      <c r="N185" s="27" t="s">
        <v>1173</v>
      </c>
      <c r="O185" s="27" t="s">
        <v>1173</v>
      </c>
      <c r="P185" s="27" t="s">
        <v>1173</v>
      </c>
      <c r="Q185" s="27">
        <v>184.60850500000001</v>
      </c>
      <c r="R185" s="27" t="s">
        <v>1173</v>
      </c>
      <c r="S185" s="20" t="s">
        <v>52</v>
      </c>
      <c r="T185" s="20" t="s">
        <v>52</v>
      </c>
      <c r="U185" s="20" t="s">
        <v>52</v>
      </c>
      <c r="V185" s="20" t="s">
        <v>52</v>
      </c>
      <c r="W185" s="20"/>
    </row>
    <row r="186" spans="1:23" x14ac:dyDescent="0.2">
      <c r="A186" s="5" t="s">
        <v>1192</v>
      </c>
      <c r="B186" s="5"/>
      <c r="C186" s="27">
        <v>2.178172</v>
      </c>
      <c r="D186" s="27">
        <v>4.6724889999999997</v>
      </c>
      <c r="E186" s="27">
        <v>7.0248980000000003</v>
      </c>
      <c r="F186" s="27">
        <v>18.036225000000002</v>
      </c>
      <c r="G186" s="27">
        <v>5.2853130000000004</v>
      </c>
      <c r="H186" s="27">
        <v>6.1542009999999996</v>
      </c>
      <c r="I186" s="27">
        <v>43.486905</v>
      </c>
      <c r="J186" s="27">
        <v>169.38441</v>
      </c>
      <c r="K186" s="27" t="s">
        <v>1173</v>
      </c>
      <c r="L186" s="27">
        <v>69.371799999999993</v>
      </c>
      <c r="M186" s="27">
        <v>45.148305000000001</v>
      </c>
      <c r="N186" s="27" t="s">
        <v>1173</v>
      </c>
      <c r="O186" s="27" t="s">
        <v>1173</v>
      </c>
      <c r="P186" s="27" t="s">
        <v>1173</v>
      </c>
      <c r="Q186" s="27">
        <v>180.45836700000001</v>
      </c>
      <c r="R186" s="27" t="s">
        <v>1173</v>
      </c>
      <c r="S186" s="20" t="s">
        <v>52</v>
      </c>
      <c r="T186" s="20" t="s">
        <v>52</v>
      </c>
      <c r="U186" s="20" t="s">
        <v>52</v>
      </c>
      <c r="V186" s="20" t="s">
        <v>52</v>
      </c>
      <c r="W186" s="20"/>
    </row>
    <row r="187" spans="1:23" x14ac:dyDescent="0.2">
      <c r="A187" s="5" t="s">
        <v>1193</v>
      </c>
      <c r="B187" s="5"/>
      <c r="C187" s="27">
        <v>2.7198639999999998</v>
      </c>
      <c r="D187" s="27">
        <v>0.42694399999999999</v>
      </c>
      <c r="E187" s="27">
        <v>0.32326300000000002</v>
      </c>
      <c r="F187" s="27">
        <v>0.96477000000000002</v>
      </c>
      <c r="G187" s="27">
        <v>3.285628</v>
      </c>
      <c r="H187" s="27">
        <v>2.0993539999999999</v>
      </c>
      <c r="I187" s="27">
        <v>2.3324590000000001</v>
      </c>
      <c r="J187" s="27">
        <v>1.7440000000000001E-3</v>
      </c>
      <c r="K187" s="20" t="s">
        <v>52</v>
      </c>
      <c r="L187" s="27">
        <v>2.7684540000000002</v>
      </c>
      <c r="M187" s="27">
        <v>1.0605059999999999</v>
      </c>
      <c r="N187" s="27">
        <v>1.5031730000000001</v>
      </c>
      <c r="O187" s="27">
        <v>0.82515499999999997</v>
      </c>
      <c r="P187" s="27">
        <v>0.39559800000000001</v>
      </c>
      <c r="Q187" s="27">
        <v>0.52251300000000001</v>
      </c>
      <c r="R187" s="27">
        <v>0.18598799999999999</v>
      </c>
      <c r="S187" s="27">
        <v>9.5663999999999999E-2</v>
      </c>
      <c r="T187" s="20" t="s">
        <v>52</v>
      </c>
      <c r="U187" s="20" t="s">
        <v>52</v>
      </c>
      <c r="V187" s="20" t="s">
        <v>52</v>
      </c>
      <c r="W187" s="20"/>
    </row>
    <row r="188" spans="1:23" x14ac:dyDescent="0.2">
      <c r="A188" s="5" t="s">
        <v>1194</v>
      </c>
      <c r="B188" s="5"/>
      <c r="C188" s="27">
        <v>2.7187459999999999</v>
      </c>
      <c r="D188" s="27">
        <v>0.21882499999999999</v>
      </c>
      <c r="E188" s="27">
        <v>0.132691</v>
      </c>
      <c r="F188" s="27">
        <v>0.95626100000000003</v>
      </c>
      <c r="G188" s="27">
        <v>3.2509229999999998</v>
      </c>
      <c r="H188" s="27">
        <v>2.090287</v>
      </c>
      <c r="I188" s="27">
        <v>2.3310179999999998</v>
      </c>
      <c r="J188" s="20" t="s">
        <v>1173</v>
      </c>
      <c r="K188" s="20" t="s">
        <v>1173</v>
      </c>
      <c r="L188" s="27">
        <v>1.2626280000000001</v>
      </c>
      <c r="M188" s="27">
        <v>1.0589409999999999</v>
      </c>
      <c r="N188" s="20" t="s">
        <v>1173</v>
      </c>
      <c r="O188" s="20" t="s">
        <v>1173</v>
      </c>
      <c r="P188" s="20" t="s">
        <v>1173</v>
      </c>
      <c r="Q188" s="20" t="s">
        <v>1173</v>
      </c>
      <c r="R188" s="20" t="s">
        <v>1173</v>
      </c>
      <c r="S188" s="20" t="s">
        <v>1173</v>
      </c>
      <c r="T188" s="20" t="s">
        <v>1173</v>
      </c>
      <c r="U188" s="20" t="s">
        <v>1173</v>
      </c>
      <c r="V188" s="20" t="s">
        <v>1173</v>
      </c>
      <c r="W188" s="20"/>
    </row>
    <row r="189" spans="1:23" x14ac:dyDescent="0.2">
      <c r="A189" s="5" t="s">
        <v>1195</v>
      </c>
      <c r="B189" s="5"/>
      <c r="C189" s="27">
        <v>3.5593729999999999</v>
      </c>
      <c r="D189" s="27">
        <v>0.50422199999999995</v>
      </c>
      <c r="E189" s="27">
        <v>0.40960999999999997</v>
      </c>
      <c r="F189" s="27">
        <v>1.0741849999999999</v>
      </c>
      <c r="G189" s="27">
        <v>5.6359430000000001</v>
      </c>
      <c r="H189" s="27">
        <v>2.6412040000000001</v>
      </c>
      <c r="I189" s="27">
        <v>2.4683649999999999</v>
      </c>
      <c r="J189" s="27">
        <v>1.902E-3</v>
      </c>
      <c r="K189" s="20" t="s">
        <v>52</v>
      </c>
      <c r="L189" s="27">
        <v>3.420912</v>
      </c>
      <c r="M189" s="27">
        <v>1.1406130000000001</v>
      </c>
      <c r="N189" s="27">
        <v>1.57047</v>
      </c>
      <c r="O189" s="27">
        <v>0.85895999999999995</v>
      </c>
      <c r="P189" s="27">
        <v>0.40415800000000002</v>
      </c>
      <c r="Q189" s="27">
        <v>0.53452900000000003</v>
      </c>
      <c r="R189" s="27">
        <v>0.19270499999999999</v>
      </c>
      <c r="S189" s="27">
        <v>0.11923300000000001</v>
      </c>
      <c r="T189" s="20" t="s">
        <v>52</v>
      </c>
      <c r="U189" s="20" t="s">
        <v>52</v>
      </c>
      <c r="V189" s="20" t="s">
        <v>52</v>
      </c>
      <c r="W189" s="20"/>
    </row>
    <row r="190" spans="1:23" x14ac:dyDescent="0.2">
      <c r="A190" s="5" t="s">
        <v>1196</v>
      </c>
      <c r="B190" s="5"/>
      <c r="C190" s="27">
        <v>3.5579109999999998</v>
      </c>
      <c r="D190" s="27">
        <v>0.25843300000000002</v>
      </c>
      <c r="E190" s="27">
        <v>0.16813400000000001</v>
      </c>
      <c r="F190" s="27">
        <v>1.0647120000000001</v>
      </c>
      <c r="G190" s="27">
        <v>5.5764120000000004</v>
      </c>
      <c r="H190" s="27">
        <v>2.6297969999999999</v>
      </c>
      <c r="I190" s="27">
        <v>2.4668399999999999</v>
      </c>
      <c r="J190" s="20" t="s">
        <v>1173</v>
      </c>
      <c r="K190" s="20" t="s">
        <v>1173</v>
      </c>
      <c r="L190" s="27">
        <v>1.5602</v>
      </c>
      <c r="M190" s="27">
        <v>1.1389290000000001</v>
      </c>
      <c r="N190" s="20" t="s">
        <v>1173</v>
      </c>
      <c r="O190" s="20" t="s">
        <v>1173</v>
      </c>
      <c r="P190" s="20" t="s">
        <v>1173</v>
      </c>
      <c r="Q190" s="20" t="s">
        <v>1173</v>
      </c>
      <c r="R190" s="20" t="s">
        <v>1173</v>
      </c>
      <c r="S190" s="20" t="s">
        <v>1173</v>
      </c>
      <c r="T190" s="20" t="s">
        <v>1173</v>
      </c>
      <c r="U190" s="20" t="s">
        <v>1173</v>
      </c>
      <c r="V190" s="20" t="s">
        <v>1173</v>
      </c>
      <c r="W190" s="20"/>
    </row>
    <row r="191" spans="1:23" x14ac:dyDescent="0.2">
      <c r="A191" s="5"/>
      <c r="B191" s="5"/>
      <c r="C191" s="5"/>
      <c r="D191" s="5"/>
      <c r="E191" s="5"/>
      <c r="F191" s="5"/>
      <c r="G191" s="5"/>
      <c r="H191" s="5"/>
      <c r="I191" s="5"/>
      <c r="J191" s="5"/>
      <c r="K191" s="5"/>
      <c r="L191" s="5"/>
      <c r="M191" s="5"/>
      <c r="N191" s="5"/>
      <c r="O191" s="5"/>
      <c r="P191" s="5"/>
      <c r="Q191" s="5"/>
      <c r="R191" s="5"/>
      <c r="S191" s="5"/>
      <c r="T191" s="5"/>
      <c r="U191" s="5"/>
      <c r="V191" s="5"/>
      <c r="W191" s="20"/>
    </row>
    <row r="192" spans="1:23" x14ac:dyDescent="0.2">
      <c r="A192" s="5" t="s">
        <v>1197</v>
      </c>
      <c r="B192" s="5"/>
      <c r="C192" s="19">
        <v>2.9691999999999998</v>
      </c>
      <c r="D192" s="19">
        <v>3.5949339999999999</v>
      </c>
      <c r="E192" s="19">
        <v>4.1573700000000002</v>
      </c>
      <c r="F192" s="19">
        <v>4.2630569999999999</v>
      </c>
      <c r="G192" s="19">
        <v>3.4671789999999998</v>
      </c>
      <c r="H192" s="19">
        <v>4.7531090000000003</v>
      </c>
      <c r="I192" s="19">
        <v>2.469525</v>
      </c>
      <c r="J192" s="19">
        <v>3.6257969999999999</v>
      </c>
      <c r="K192" s="19">
        <v>4.1819930000000003</v>
      </c>
      <c r="L192" s="19">
        <v>4.2999309999999999</v>
      </c>
      <c r="M192" s="19">
        <v>5.2099159999999998</v>
      </c>
      <c r="N192" s="19">
        <v>4.5569449999999998</v>
      </c>
      <c r="O192" s="19">
        <v>4.8534170000000003</v>
      </c>
      <c r="P192" s="19">
        <v>5.12005</v>
      </c>
      <c r="Q192" s="19">
        <v>4.8095509999999999</v>
      </c>
      <c r="R192" s="19">
        <v>5.7059259999999998</v>
      </c>
      <c r="S192" s="19">
        <v>5.275652</v>
      </c>
      <c r="T192" s="19">
        <v>5.6216929999999996</v>
      </c>
      <c r="U192" s="19">
        <v>5.3227099999999998</v>
      </c>
      <c r="V192" s="19">
        <v>4.6581440000000001</v>
      </c>
      <c r="W192" s="20"/>
    </row>
    <row r="193" spans="1:23" x14ac:dyDescent="0.2">
      <c r="A193" s="5"/>
      <c r="B193" s="5"/>
      <c r="C193" s="5"/>
      <c r="D193" s="5"/>
      <c r="E193" s="5"/>
      <c r="F193" s="5"/>
      <c r="G193" s="5"/>
      <c r="H193" s="5"/>
      <c r="I193" s="5"/>
      <c r="J193" s="5"/>
      <c r="K193" s="5"/>
      <c r="L193" s="5"/>
      <c r="M193" s="5"/>
      <c r="N193" s="5"/>
      <c r="O193" s="5"/>
      <c r="P193" s="5"/>
      <c r="Q193" s="5"/>
      <c r="R193" s="5"/>
      <c r="S193" s="5"/>
      <c r="T193" s="5"/>
      <c r="U193" s="5"/>
      <c r="V193" s="5"/>
      <c r="W193" s="20"/>
    </row>
    <row r="194" spans="1:23" ht="10.5" x14ac:dyDescent="0.2">
      <c r="A194" s="14" t="s">
        <v>1198</v>
      </c>
      <c r="B194" s="14"/>
      <c r="C194" s="5"/>
      <c r="D194" s="5"/>
      <c r="E194" s="5"/>
      <c r="F194" s="5"/>
      <c r="G194" s="5"/>
      <c r="H194" s="5"/>
      <c r="I194" s="5"/>
      <c r="J194" s="5"/>
      <c r="K194" s="5"/>
      <c r="L194" s="5"/>
      <c r="M194" s="5"/>
      <c r="N194" s="5"/>
      <c r="O194" s="5"/>
      <c r="P194" s="5"/>
      <c r="Q194" s="5"/>
      <c r="R194" s="5"/>
      <c r="S194" s="5"/>
      <c r="T194" s="5"/>
      <c r="U194" s="5"/>
      <c r="V194" s="5"/>
      <c r="W194" s="20"/>
    </row>
    <row r="195" spans="1:23" x14ac:dyDescent="0.2">
      <c r="A195" s="5" t="s">
        <v>1199</v>
      </c>
      <c r="B195" s="5"/>
      <c r="C195" s="20" t="s">
        <v>52</v>
      </c>
      <c r="D195" s="21">
        <v>0.87066900000000003</v>
      </c>
      <c r="E195" s="21">
        <v>0.89675400000000005</v>
      </c>
      <c r="F195" s="21">
        <v>0.805759</v>
      </c>
      <c r="G195" s="21">
        <v>0.125586</v>
      </c>
      <c r="H195" s="21">
        <v>0.73510500000000001</v>
      </c>
      <c r="I195" s="21">
        <v>0.211477</v>
      </c>
      <c r="J195" s="21">
        <v>2.2494E-2</v>
      </c>
      <c r="K195" s="21">
        <v>0.29525200000000001</v>
      </c>
      <c r="L195" s="21">
        <v>0.116798</v>
      </c>
      <c r="M195" s="21">
        <v>0.178144</v>
      </c>
      <c r="N195" s="21">
        <v>0.32498899999999997</v>
      </c>
      <c r="O195" s="21">
        <v>0.15451000000000001</v>
      </c>
      <c r="P195" s="21">
        <v>9.9093000000000001E-2</v>
      </c>
      <c r="Q195" s="21">
        <v>0.28853200000000001</v>
      </c>
      <c r="R195" s="21">
        <v>0.50412299999999999</v>
      </c>
      <c r="S195" s="21">
        <v>0.386936</v>
      </c>
      <c r="T195" s="21">
        <v>0.30159000000000002</v>
      </c>
      <c r="U195" s="21">
        <v>0.27552599999999999</v>
      </c>
      <c r="V195" s="21">
        <v>0.180839</v>
      </c>
      <c r="W195" s="20"/>
    </row>
    <row r="196" spans="1:23" x14ac:dyDescent="0.2">
      <c r="A196" s="5" t="s">
        <v>1200</v>
      </c>
      <c r="B196" s="5"/>
      <c r="C196" s="20" t="s">
        <v>52</v>
      </c>
      <c r="D196" s="21">
        <v>0.64863999999999999</v>
      </c>
      <c r="E196" s="21">
        <v>0.59063399999999999</v>
      </c>
      <c r="F196" s="21">
        <v>0.43435800000000002</v>
      </c>
      <c r="G196" s="21">
        <v>0.13095499999999999</v>
      </c>
      <c r="H196" s="21">
        <v>0.427873</v>
      </c>
      <c r="I196" s="21">
        <v>0.57646200000000003</v>
      </c>
      <c r="J196" s="21">
        <v>2.7415999999999999E-2</v>
      </c>
      <c r="K196" s="21">
        <v>0.18476999999999999</v>
      </c>
      <c r="L196" s="21">
        <v>-1.653E-2</v>
      </c>
      <c r="M196" s="21">
        <v>0.26817400000000002</v>
      </c>
      <c r="N196" s="21">
        <v>0.39934399999999998</v>
      </c>
      <c r="O196" s="21">
        <v>0.30031999999999998</v>
      </c>
      <c r="P196" s="21">
        <v>0.11760900000000001</v>
      </c>
      <c r="Q196" s="21">
        <v>0.29148000000000002</v>
      </c>
      <c r="R196" s="21">
        <v>0.51851599999999998</v>
      </c>
      <c r="S196" s="21">
        <v>0.29968499999999998</v>
      </c>
      <c r="T196" s="21">
        <v>0.25275900000000001</v>
      </c>
      <c r="U196" s="21">
        <v>0.25542399999999998</v>
      </c>
      <c r="V196" s="21">
        <v>0.161023</v>
      </c>
      <c r="W196" s="20"/>
    </row>
    <row r="197" spans="1:23" x14ac:dyDescent="0.2">
      <c r="A197" s="5" t="s">
        <v>1201</v>
      </c>
      <c r="B197" s="5"/>
      <c r="C197" s="20" t="s">
        <v>52</v>
      </c>
      <c r="D197" s="21">
        <v>2.5746470000000001</v>
      </c>
      <c r="E197" s="21">
        <v>1.4221980000000001</v>
      </c>
      <c r="F197" s="21">
        <v>0.57338800000000001</v>
      </c>
      <c r="G197" s="21">
        <v>-0.26634799999999997</v>
      </c>
      <c r="H197" s="21">
        <v>0.55243100000000001</v>
      </c>
      <c r="I197" s="21">
        <v>0.51622999999999997</v>
      </c>
      <c r="J197" s="21">
        <v>0.239316</v>
      </c>
      <c r="K197" s="21">
        <v>0.21043600000000001</v>
      </c>
      <c r="L197" s="21">
        <v>-0.37473699999999999</v>
      </c>
      <c r="M197" s="21">
        <v>9.0087E-2</v>
      </c>
      <c r="N197" s="21">
        <v>1.305126</v>
      </c>
      <c r="O197" s="21">
        <v>0.70437099999999997</v>
      </c>
      <c r="P197" s="21">
        <v>0.314552</v>
      </c>
      <c r="Q197" s="21">
        <v>0.34290799999999999</v>
      </c>
      <c r="R197" s="21">
        <v>0.60375800000000002</v>
      </c>
      <c r="S197" s="21">
        <v>0.377417</v>
      </c>
      <c r="T197" s="21">
        <v>0.24915000000000001</v>
      </c>
      <c r="U197" s="21">
        <v>0.30441400000000002</v>
      </c>
      <c r="V197" s="21">
        <v>0.115466</v>
      </c>
      <c r="W197" s="20"/>
    </row>
    <row r="198" spans="1:23" x14ac:dyDescent="0.2">
      <c r="A198" s="5" t="s">
        <v>1202</v>
      </c>
      <c r="B198" s="5"/>
      <c r="C198" s="20" t="s">
        <v>52</v>
      </c>
      <c r="D198" s="21">
        <v>3.9522370000000002</v>
      </c>
      <c r="E198" s="21">
        <v>1.6424529999999999</v>
      </c>
      <c r="F198" s="21">
        <v>0.61505799999999999</v>
      </c>
      <c r="G198" s="21">
        <v>-0.31299500000000002</v>
      </c>
      <c r="H198" s="21">
        <v>0.51136499999999996</v>
      </c>
      <c r="I198" s="21">
        <v>0.53200899999999995</v>
      </c>
      <c r="J198" s="21">
        <v>0.34126400000000001</v>
      </c>
      <c r="K198" s="21">
        <v>0.20324200000000001</v>
      </c>
      <c r="L198" s="21">
        <v>-0.42459999999999998</v>
      </c>
      <c r="M198" s="21">
        <v>0.14416100000000001</v>
      </c>
      <c r="N198" s="21">
        <v>1.5399119999999999</v>
      </c>
      <c r="O198" s="21">
        <v>0.72107399999999999</v>
      </c>
      <c r="P198" s="21">
        <v>0.289775</v>
      </c>
      <c r="Q198" s="21">
        <v>0.35577599999999998</v>
      </c>
      <c r="R198" s="21">
        <v>0.62365000000000004</v>
      </c>
      <c r="S198" s="21">
        <v>0.36835600000000002</v>
      </c>
      <c r="T198" s="21">
        <v>0.22781399999999999</v>
      </c>
      <c r="U198" s="21">
        <v>0.29815199999999997</v>
      </c>
      <c r="V198" s="21">
        <v>0.114107</v>
      </c>
      <c r="W198" s="20"/>
    </row>
    <row r="199" spans="1:23" x14ac:dyDescent="0.2">
      <c r="A199" s="5" t="s">
        <v>1203</v>
      </c>
      <c r="B199" s="5"/>
      <c r="C199" s="20" t="s">
        <v>52</v>
      </c>
      <c r="D199" s="21">
        <v>3.9522370000000002</v>
      </c>
      <c r="E199" s="21">
        <v>1.6424529999999999</v>
      </c>
      <c r="F199" s="21">
        <v>0.61505799999999999</v>
      </c>
      <c r="G199" s="21">
        <v>-0.31299500000000002</v>
      </c>
      <c r="H199" s="21">
        <v>0.51136499999999996</v>
      </c>
      <c r="I199" s="21">
        <v>0.46803400000000001</v>
      </c>
      <c r="J199" s="21">
        <v>0.39971499999999999</v>
      </c>
      <c r="K199" s="21">
        <v>0.20324200000000001</v>
      </c>
      <c r="L199" s="21">
        <v>-0.42459999999999998</v>
      </c>
      <c r="M199" s="21">
        <v>0.14416100000000001</v>
      </c>
      <c r="N199" s="21">
        <v>1.5399119999999999</v>
      </c>
      <c r="O199" s="21">
        <v>0.72107399999999999</v>
      </c>
      <c r="P199" s="21">
        <v>0.289775</v>
      </c>
      <c r="Q199" s="21">
        <v>0.35577599999999998</v>
      </c>
      <c r="R199" s="21">
        <v>0.62365000000000004</v>
      </c>
      <c r="S199" s="21">
        <v>0.36835600000000002</v>
      </c>
      <c r="T199" s="21">
        <v>0.22781399999999999</v>
      </c>
      <c r="U199" s="21">
        <v>0.29815199999999997</v>
      </c>
      <c r="V199" s="21">
        <v>0.114107</v>
      </c>
      <c r="W199" s="20"/>
    </row>
    <row r="200" spans="1:23" x14ac:dyDescent="0.2">
      <c r="A200" s="5" t="s">
        <v>1204</v>
      </c>
      <c r="B200" s="5"/>
      <c r="C200" s="20" t="s">
        <v>52</v>
      </c>
      <c r="D200" s="21" t="s">
        <v>1173</v>
      </c>
      <c r="E200" s="21">
        <v>1.8261339999999999</v>
      </c>
      <c r="F200" s="21">
        <v>0.61960400000000004</v>
      </c>
      <c r="G200" s="21">
        <v>-0.27028400000000002</v>
      </c>
      <c r="H200" s="21">
        <v>0.24333399999999999</v>
      </c>
      <c r="I200" s="21">
        <v>0.46992099999999998</v>
      </c>
      <c r="J200" s="21">
        <v>0.78830800000000001</v>
      </c>
      <c r="K200" s="21">
        <v>0.42606899999999998</v>
      </c>
      <c r="L200" s="21">
        <v>-0.51217800000000002</v>
      </c>
      <c r="M200" s="21">
        <v>-1.3592999999999999E-2</v>
      </c>
      <c r="N200" s="21">
        <v>1.558171</v>
      </c>
      <c r="O200" s="21">
        <v>0.89756499999999995</v>
      </c>
      <c r="P200" s="21">
        <v>0.31207299999999999</v>
      </c>
      <c r="Q200" s="21">
        <v>0.372174</v>
      </c>
      <c r="R200" s="21">
        <v>0.63334100000000004</v>
      </c>
      <c r="S200" s="21">
        <v>0.49086600000000002</v>
      </c>
      <c r="T200" s="21">
        <v>0.19711400000000001</v>
      </c>
      <c r="U200" s="21">
        <v>0.32868700000000001</v>
      </c>
      <c r="V200" s="21">
        <v>0.13764899999999999</v>
      </c>
      <c r="W200" s="20"/>
    </row>
    <row r="201" spans="1:23" x14ac:dyDescent="0.2">
      <c r="A201" s="5" t="s">
        <v>1205</v>
      </c>
      <c r="B201" s="5"/>
      <c r="C201" s="20" t="s">
        <v>52</v>
      </c>
      <c r="D201" s="21" t="s">
        <v>1173</v>
      </c>
      <c r="E201" s="21">
        <v>1.494996</v>
      </c>
      <c r="F201" s="21">
        <v>0.36822100000000002</v>
      </c>
      <c r="G201" s="21">
        <v>-0.31576700000000002</v>
      </c>
      <c r="H201" s="21">
        <v>0.33069100000000001</v>
      </c>
      <c r="I201" s="21">
        <v>1.5087489999999999</v>
      </c>
      <c r="J201" s="21">
        <v>0.78830800000000001</v>
      </c>
      <c r="K201" s="21">
        <v>0.42606899999999998</v>
      </c>
      <c r="L201" s="21">
        <v>-0.51217800000000002</v>
      </c>
      <c r="M201" s="21">
        <v>-1.3592999999999999E-2</v>
      </c>
      <c r="N201" s="21">
        <v>1.558171</v>
      </c>
      <c r="O201" s="21">
        <v>0.89756499999999995</v>
      </c>
      <c r="P201" s="21">
        <v>0.31207299999999999</v>
      </c>
      <c r="Q201" s="21">
        <v>0.372174</v>
      </c>
      <c r="R201" s="21">
        <v>0.63334100000000004</v>
      </c>
      <c r="S201" s="21">
        <v>0.49086600000000002</v>
      </c>
      <c r="T201" s="21">
        <v>0.19711400000000001</v>
      </c>
      <c r="U201" s="21">
        <v>0.32868700000000001</v>
      </c>
      <c r="V201" s="21">
        <v>0.13764899999999999</v>
      </c>
      <c r="W201" s="20"/>
    </row>
    <row r="202" spans="1:23" x14ac:dyDescent="0.2">
      <c r="A202" s="5" t="s">
        <v>1206</v>
      </c>
      <c r="B202" s="5"/>
      <c r="C202" s="20" t="s">
        <v>52</v>
      </c>
      <c r="D202" s="21">
        <v>1.7224390000000001</v>
      </c>
      <c r="E202" s="21">
        <v>1.5939810000000001</v>
      </c>
      <c r="F202" s="21">
        <v>0.497892</v>
      </c>
      <c r="G202" s="21">
        <v>-0.49609799999999998</v>
      </c>
      <c r="H202" s="21">
        <v>0.61611199999999999</v>
      </c>
      <c r="I202" s="21">
        <v>2.4853070000000002</v>
      </c>
      <c r="J202" s="21">
        <v>0.46138000000000001</v>
      </c>
      <c r="K202" s="21">
        <v>1.1262540000000001</v>
      </c>
      <c r="L202" s="21">
        <v>-0.66105499999999995</v>
      </c>
      <c r="M202" s="21">
        <v>0.119836</v>
      </c>
      <c r="N202" s="21">
        <v>1.5571980000000001</v>
      </c>
      <c r="O202" s="21">
        <v>0.73735300000000004</v>
      </c>
      <c r="P202" s="21">
        <v>0.26111800000000002</v>
      </c>
      <c r="Q202" s="21">
        <v>0.316498</v>
      </c>
      <c r="R202" s="21">
        <v>0.631019</v>
      </c>
      <c r="S202" s="21">
        <v>0.37177399999999999</v>
      </c>
      <c r="T202" s="21">
        <v>0.22403999999999999</v>
      </c>
      <c r="U202" s="21">
        <v>0.298016</v>
      </c>
      <c r="V202" s="21">
        <v>0.11638999999999999</v>
      </c>
      <c r="W202" s="20"/>
    </row>
    <row r="203" spans="1:23" x14ac:dyDescent="0.2">
      <c r="A203" s="5" t="s">
        <v>1207</v>
      </c>
      <c r="B203" s="5"/>
      <c r="C203" s="20" t="s">
        <v>52</v>
      </c>
      <c r="D203" s="20" t="s">
        <v>52</v>
      </c>
      <c r="E203" s="21">
        <v>1.494996</v>
      </c>
      <c r="F203" s="21">
        <v>0.36822100000000002</v>
      </c>
      <c r="G203" s="21">
        <v>-0.31576700000000002</v>
      </c>
      <c r="H203" s="21">
        <v>0.15578800000000001</v>
      </c>
      <c r="I203" s="21">
        <v>-0.975607</v>
      </c>
      <c r="J203" s="21">
        <v>0.78830900000000004</v>
      </c>
      <c r="K203" s="21">
        <v>0.42607</v>
      </c>
      <c r="L203" s="21">
        <v>-0.52682099999999998</v>
      </c>
      <c r="M203" s="21">
        <v>-1.3785E-2</v>
      </c>
      <c r="N203" s="21">
        <v>1.558135</v>
      </c>
      <c r="O203" s="21">
        <v>0.89334899999999995</v>
      </c>
      <c r="P203" s="21">
        <v>0.31083</v>
      </c>
      <c r="Q203" s="21">
        <v>0.37069400000000002</v>
      </c>
      <c r="R203" s="21">
        <v>0.63334100000000004</v>
      </c>
      <c r="S203" s="21">
        <v>0.45683000000000001</v>
      </c>
      <c r="T203" s="21">
        <v>0.156917</v>
      </c>
      <c r="U203" s="20" t="s">
        <v>52</v>
      </c>
      <c r="V203" s="20" t="s">
        <v>52</v>
      </c>
      <c r="W203" s="20"/>
    </row>
    <row r="204" spans="1:23" x14ac:dyDescent="0.2">
      <c r="A204" s="5"/>
      <c r="B204" s="5"/>
      <c r="C204" s="5"/>
      <c r="D204" s="5"/>
      <c r="E204" s="5"/>
      <c r="F204" s="5"/>
      <c r="G204" s="5"/>
      <c r="H204" s="5"/>
      <c r="I204" s="5"/>
      <c r="J204" s="5"/>
      <c r="K204" s="5"/>
      <c r="L204" s="5"/>
      <c r="M204" s="5"/>
      <c r="N204" s="5"/>
      <c r="O204" s="5"/>
      <c r="P204" s="5"/>
      <c r="Q204" s="5"/>
      <c r="R204" s="5"/>
      <c r="S204" s="5"/>
      <c r="T204" s="5"/>
      <c r="U204" s="5"/>
      <c r="V204" s="5"/>
      <c r="W204" s="20"/>
    </row>
    <row r="205" spans="1:23" x14ac:dyDescent="0.2">
      <c r="A205" s="5" t="s">
        <v>1208</v>
      </c>
      <c r="B205" s="5"/>
      <c r="C205" s="20" t="s">
        <v>52</v>
      </c>
      <c r="D205" s="21">
        <v>1.1419090000000001</v>
      </c>
      <c r="E205" s="21">
        <v>0.87873699999999999</v>
      </c>
      <c r="F205" s="21">
        <v>0.878139</v>
      </c>
      <c r="G205" s="21">
        <v>0.30163499999999999</v>
      </c>
      <c r="H205" s="21">
        <v>0.22187399999999999</v>
      </c>
      <c r="I205" s="21">
        <v>1.4374290000000001</v>
      </c>
      <c r="J205" s="21">
        <v>-0.39854299999999998</v>
      </c>
      <c r="K205" s="21">
        <v>0.32163900000000001</v>
      </c>
      <c r="L205" s="21">
        <v>-2.1808000000000001E-2</v>
      </c>
      <c r="M205" s="21">
        <v>0.17980499999999999</v>
      </c>
      <c r="N205" s="21">
        <v>0.23375000000000001</v>
      </c>
      <c r="O205" s="21">
        <v>3.4494999999999998E-2</v>
      </c>
      <c r="P205" s="21">
        <v>4.5041999999999999E-2</v>
      </c>
      <c r="Q205" s="21">
        <v>0.46195999999999998</v>
      </c>
      <c r="R205" s="21">
        <v>0.579928</v>
      </c>
      <c r="S205" s="21">
        <v>0.40628599999999998</v>
      </c>
      <c r="T205" s="21">
        <v>0.217365</v>
      </c>
      <c r="U205" s="21">
        <v>0.16880500000000001</v>
      </c>
      <c r="V205" s="21">
        <v>0.21713399999999999</v>
      </c>
      <c r="W205" s="20"/>
    </row>
    <row r="206" spans="1:23" x14ac:dyDescent="0.2">
      <c r="A206" s="5" t="s">
        <v>1209</v>
      </c>
      <c r="B206" s="5"/>
      <c r="C206" s="20" t="s">
        <v>52</v>
      </c>
      <c r="D206" s="21">
        <v>-0.648173</v>
      </c>
      <c r="E206" s="21">
        <v>0.16814599999999999</v>
      </c>
      <c r="F206" s="21">
        <v>-0.26497500000000002</v>
      </c>
      <c r="G206" s="21">
        <v>2.649864</v>
      </c>
      <c r="H206" s="21">
        <v>0.95370100000000002</v>
      </c>
      <c r="I206" s="21">
        <v>2.8186149999999999</v>
      </c>
      <c r="J206" s="21">
        <v>-0.77439899999999995</v>
      </c>
      <c r="K206" s="21">
        <v>-0.15084800000000001</v>
      </c>
      <c r="L206" s="21">
        <v>2.2564000000000001E-2</v>
      </c>
      <c r="M206" s="21">
        <v>-0.31723699999999999</v>
      </c>
      <c r="N206" s="21">
        <v>1.3567229999999999</v>
      </c>
      <c r="O206" s="21">
        <v>-2.0230000000000001E-3</v>
      </c>
      <c r="P206" s="21">
        <v>-0.34446599999999999</v>
      </c>
      <c r="Q206" s="21">
        <v>2.1497099999999998</v>
      </c>
      <c r="R206" s="21">
        <v>0.25162400000000001</v>
      </c>
      <c r="S206" s="21">
        <v>0.929504</v>
      </c>
      <c r="T206" s="21">
        <v>1.1315459999999999</v>
      </c>
      <c r="U206" s="21">
        <v>4.7240999999999998E-2</v>
      </c>
      <c r="V206" s="21">
        <v>-0.40816799999999998</v>
      </c>
      <c r="W206" s="20"/>
    </row>
    <row r="207" spans="1:23" x14ac:dyDescent="0.2">
      <c r="A207" s="5" t="s">
        <v>1210</v>
      </c>
      <c r="B207" s="5"/>
      <c r="C207" s="20" t="s">
        <v>52</v>
      </c>
      <c r="D207" s="21">
        <v>0.34839599999999998</v>
      </c>
      <c r="E207" s="21">
        <v>0.43613600000000002</v>
      </c>
      <c r="F207" s="21">
        <v>0.167823</v>
      </c>
      <c r="G207" s="21">
        <v>0.60384400000000005</v>
      </c>
      <c r="H207" s="21">
        <v>0.17230799999999999</v>
      </c>
      <c r="I207" s="21">
        <v>-0.26848</v>
      </c>
      <c r="J207" s="21">
        <v>-1.3576E-2</v>
      </c>
      <c r="K207" s="21">
        <v>0.85106400000000004</v>
      </c>
      <c r="L207" s="21">
        <v>-0.108182</v>
      </c>
      <c r="M207" s="21">
        <v>-0.35738700000000001</v>
      </c>
      <c r="N207" s="21">
        <v>0.14050599999999999</v>
      </c>
      <c r="O207" s="21">
        <v>0.26827800000000002</v>
      </c>
      <c r="P207" s="21">
        <v>-0.20872199999999999</v>
      </c>
      <c r="Q207" s="21">
        <v>-0.18013799999999999</v>
      </c>
      <c r="R207" s="21">
        <v>0.91071999999999997</v>
      </c>
      <c r="S207" s="21">
        <v>5.6500659999999998</v>
      </c>
      <c r="T207" s="21">
        <v>0.35214699999999999</v>
      </c>
      <c r="U207" s="21">
        <v>4.036E-2</v>
      </c>
      <c r="V207" s="21">
        <v>5.9027999999999997E-2</v>
      </c>
      <c r="W207" s="20"/>
    </row>
    <row r="208" spans="1:23" x14ac:dyDescent="0.2">
      <c r="A208" s="5" t="s">
        <v>1079</v>
      </c>
      <c r="B208" s="5"/>
      <c r="C208" s="20" t="s">
        <v>52</v>
      </c>
      <c r="D208" s="21">
        <v>0.75620299999999996</v>
      </c>
      <c r="E208" s="21">
        <v>0.78166400000000003</v>
      </c>
      <c r="F208" s="21">
        <v>0.76298299999999997</v>
      </c>
      <c r="G208" s="21">
        <v>0.33410600000000001</v>
      </c>
      <c r="H208" s="21">
        <v>0.23033899999999999</v>
      </c>
      <c r="I208" s="21">
        <v>1.3892599999999999</v>
      </c>
      <c r="J208" s="21">
        <v>-0.282331</v>
      </c>
      <c r="K208" s="21">
        <v>0.218501</v>
      </c>
      <c r="L208" s="21">
        <v>9.1339999999999998E-3</v>
      </c>
      <c r="M208" s="21">
        <v>-1.3757999999999999E-2</v>
      </c>
      <c r="N208" s="21">
        <v>0.60743499999999995</v>
      </c>
      <c r="O208" s="21">
        <v>0.181391</v>
      </c>
      <c r="P208" s="21">
        <v>0.12914100000000001</v>
      </c>
      <c r="Q208" s="21">
        <v>0.28084199999999998</v>
      </c>
      <c r="R208" s="21">
        <v>0.32688899999999999</v>
      </c>
      <c r="S208" s="21">
        <v>0.53205499999999994</v>
      </c>
      <c r="T208" s="21">
        <v>0.17085</v>
      </c>
      <c r="U208" s="21">
        <v>0.399619</v>
      </c>
      <c r="V208" s="21">
        <v>0.38196400000000003</v>
      </c>
      <c r="W208" s="20"/>
    </row>
    <row r="209" spans="1:23" x14ac:dyDescent="0.2">
      <c r="A209" s="5"/>
      <c r="B209" s="5"/>
      <c r="C209" s="5"/>
      <c r="D209" s="5"/>
      <c r="E209" s="5"/>
      <c r="F209" s="5"/>
      <c r="G209" s="5"/>
      <c r="H209" s="5"/>
      <c r="I209" s="5"/>
      <c r="J209" s="5"/>
      <c r="K209" s="5"/>
      <c r="L209" s="5"/>
      <c r="M209" s="5"/>
      <c r="N209" s="5"/>
      <c r="O209" s="5"/>
      <c r="P209" s="5"/>
      <c r="Q209" s="5"/>
      <c r="R209" s="5"/>
      <c r="S209" s="5"/>
      <c r="T209" s="5"/>
      <c r="U209" s="5"/>
      <c r="V209" s="5"/>
      <c r="W209" s="20"/>
    </row>
    <row r="210" spans="1:23" x14ac:dyDescent="0.2">
      <c r="A210" s="5" t="s">
        <v>1211</v>
      </c>
      <c r="B210" s="5"/>
      <c r="C210" s="20" t="s">
        <v>52</v>
      </c>
      <c r="D210" s="21">
        <v>2.7430500000000002</v>
      </c>
      <c r="E210" s="21">
        <v>1.7156070000000001</v>
      </c>
      <c r="F210" s="21">
        <v>0.69550000000000001</v>
      </c>
      <c r="G210" s="21">
        <v>0.348829</v>
      </c>
      <c r="H210" s="21">
        <v>0.34413899999999997</v>
      </c>
      <c r="I210" s="21">
        <v>1.0581210000000001</v>
      </c>
      <c r="J210" s="21">
        <v>0.42381000000000002</v>
      </c>
      <c r="K210" s="21">
        <v>0.55899299999999996</v>
      </c>
      <c r="L210" s="21">
        <v>-0.32762599999999997</v>
      </c>
      <c r="M210" s="21">
        <v>0.36591200000000002</v>
      </c>
      <c r="N210" s="21">
        <v>0.55615499999999995</v>
      </c>
      <c r="O210" s="21">
        <v>0.48035800000000001</v>
      </c>
      <c r="P210" s="21">
        <v>0.507355</v>
      </c>
      <c r="Q210" s="21">
        <v>-0.118399</v>
      </c>
      <c r="R210" s="21">
        <v>0.90125900000000003</v>
      </c>
      <c r="S210" s="21">
        <v>0.649173</v>
      </c>
      <c r="T210" s="21">
        <v>0.16212699999999999</v>
      </c>
      <c r="U210" s="21">
        <v>0.49601600000000001</v>
      </c>
      <c r="V210" s="21">
        <v>0.32854899999999998</v>
      </c>
      <c r="W210" s="20"/>
    </row>
    <row r="211" spans="1:23" x14ac:dyDescent="0.2">
      <c r="A211" s="5" t="s">
        <v>1212</v>
      </c>
      <c r="B211" s="5"/>
      <c r="C211" s="20" t="s">
        <v>52</v>
      </c>
      <c r="D211" s="21">
        <v>2.201219</v>
      </c>
      <c r="E211" s="21">
        <v>1.7156070000000001</v>
      </c>
      <c r="F211" s="21">
        <v>0.69550000000000001</v>
      </c>
      <c r="G211" s="21">
        <v>0.348829</v>
      </c>
      <c r="H211" s="21">
        <v>0.34413899999999997</v>
      </c>
      <c r="I211" s="21">
        <v>1.5110110000000001</v>
      </c>
      <c r="J211" s="21">
        <v>0.16700899999999999</v>
      </c>
      <c r="K211" s="21">
        <v>0.55899299999999996</v>
      </c>
      <c r="L211" s="21">
        <v>-0.32762599999999997</v>
      </c>
      <c r="M211" s="21">
        <v>0.36591200000000002</v>
      </c>
      <c r="N211" s="21">
        <v>0.55615499999999995</v>
      </c>
      <c r="O211" s="21">
        <v>0.48035800000000001</v>
      </c>
      <c r="P211" s="21">
        <v>0.507355</v>
      </c>
      <c r="Q211" s="21">
        <v>-0.118399</v>
      </c>
      <c r="R211" s="21">
        <v>0.90125900000000003</v>
      </c>
      <c r="S211" s="21">
        <v>0.649173</v>
      </c>
      <c r="T211" s="21">
        <v>0.171955</v>
      </c>
      <c r="U211" s="21">
        <v>0.49428100000000003</v>
      </c>
      <c r="V211" s="21">
        <v>0.32527400000000001</v>
      </c>
      <c r="W211" s="20"/>
    </row>
    <row r="212" spans="1:23" x14ac:dyDescent="0.2">
      <c r="A212" s="5" t="s">
        <v>1213</v>
      </c>
      <c r="B212" s="5"/>
      <c r="C212" s="20" t="s">
        <v>52</v>
      </c>
      <c r="D212" s="21">
        <v>7.3446400000000001</v>
      </c>
      <c r="E212" s="21">
        <v>-0.24401700000000001</v>
      </c>
      <c r="F212" s="21" t="s">
        <v>1173</v>
      </c>
      <c r="G212" s="21" t="s">
        <v>1173</v>
      </c>
      <c r="H212" s="21" t="s">
        <v>1173</v>
      </c>
      <c r="I212" s="21" t="s">
        <v>1173</v>
      </c>
      <c r="J212" s="21" t="s">
        <v>1173</v>
      </c>
      <c r="K212" s="21" t="s">
        <v>1173</v>
      </c>
      <c r="L212" s="21" t="s">
        <v>1173</v>
      </c>
      <c r="M212" s="21" t="s">
        <v>1173</v>
      </c>
      <c r="N212" s="21">
        <v>8.1217059999999996</v>
      </c>
      <c r="O212" s="21">
        <v>0.71703600000000001</v>
      </c>
      <c r="P212" s="21">
        <v>0.160575</v>
      </c>
      <c r="Q212" s="21">
        <v>0.18060699999999999</v>
      </c>
      <c r="R212" s="21">
        <v>-0.83687</v>
      </c>
      <c r="S212" s="21">
        <v>9.0080410000000004</v>
      </c>
      <c r="T212" s="21">
        <v>0.20963499999999999</v>
      </c>
      <c r="U212" s="21">
        <v>1.0203610000000001</v>
      </c>
      <c r="V212" s="21">
        <v>0.329044</v>
      </c>
      <c r="W212" s="20"/>
    </row>
    <row r="213" spans="1:23" x14ac:dyDescent="0.2">
      <c r="A213" s="5" t="s">
        <v>1214</v>
      </c>
      <c r="B213" s="5"/>
      <c r="C213" s="20" t="s">
        <v>52</v>
      </c>
      <c r="D213" s="21">
        <v>1.322808</v>
      </c>
      <c r="E213" s="21">
        <v>2.3316089999999998</v>
      </c>
      <c r="F213" s="21">
        <v>-0.23974500000000001</v>
      </c>
      <c r="G213" s="21">
        <v>2.0036510000000001</v>
      </c>
      <c r="H213" s="21">
        <v>-0.236288</v>
      </c>
      <c r="I213" s="21">
        <v>-0.59307200000000004</v>
      </c>
      <c r="J213" s="21">
        <v>0.86814400000000003</v>
      </c>
      <c r="K213" s="21">
        <v>2.386047</v>
      </c>
      <c r="L213" s="21">
        <v>-0.48635400000000001</v>
      </c>
      <c r="M213" s="21">
        <v>-0.59860000000000002</v>
      </c>
      <c r="N213" s="21">
        <v>0.40647899999999998</v>
      </c>
      <c r="O213" s="21">
        <v>0.56533</v>
      </c>
      <c r="P213" s="21">
        <v>-0.29252400000000001</v>
      </c>
      <c r="Q213" s="21">
        <v>0.42532999999999999</v>
      </c>
      <c r="R213" s="21">
        <v>1.4863960000000001</v>
      </c>
      <c r="S213" s="21">
        <v>6.8122480000000003</v>
      </c>
      <c r="T213" s="21">
        <v>-0.39504099999999998</v>
      </c>
      <c r="U213" s="21">
        <v>-0.33072000000000001</v>
      </c>
      <c r="V213" s="21">
        <v>0.21679399999999999</v>
      </c>
      <c r="W213" s="20"/>
    </row>
    <row r="214" spans="1:23" x14ac:dyDescent="0.2">
      <c r="A214" s="5" t="s">
        <v>1215</v>
      </c>
      <c r="B214" s="5"/>
      <c r="C214" s="20" t="s">
        <v>52</v>
      </c>
      <c r="D214" s="20" t="s">
        <v>52</v>
      </c>
      <c r="E214" s="21" t="s">
        <v>1173</v>
      </c>
      <c r="F214" s="21" t="s">
        <v>1173</v>
      </c>
      <c r="G214" s="21" t="s">
        <v>1173</v>
      </c>
      <c r="H214" s="21" t="s">
        <v>1173</v>
      </c>
      <c r="I214" s="21" t="s">
        <v>1173</v>
      </c>
      <c r="J214" s="21" t="s">
        <v>1173</v>
      </c>
      <c r="K214" s="21" t="s">
        <v>1173</v>
      </c>
      <c r="L214" s="21" t="s">
        <v>1173</v>
      </c>
      <c r="M214" s="21" t="s">
        <v>1173</v>
      </c>
      <c r="N214" s="21">
        <v>127.25026800000001</v>
      </c>
      <c r="O214" s="21">
        <v>1.0140579999999999</v>
      </c>
      <c r="P214" s="21">
        <v>-8.2687999999999998E-2</v>
      </c>
      <c r="Q214" s="21">
        <v>0.22267500000000001</v>
      </c>
      <c r="R214" s="21" t="s">
        <v>1173</v>
      </c>
      <c r="S214" s="21" t="s">
        <v>1173</v>
      </c>
      <c r="T214" s="21">
        <v>3.5553469999999998</v>
      </c>
      <c r="U214" s="21">
        <v>1.579078</v>
      </c>
      <c r="V214" s="21">
        <v>0.40731299999999998</v>
      </c>
      <c r="W214" s="20"/>
    </row>
    <row r="215" spans="1:23" x14ac:dyDescent="0.2">
      <c r="A215" s="5" t="s">
        <v>1216</v>
      </c>
      <c r="B215" s="5"/>
      <c r="C215" s="20" t="s">
        <v>52</v>
      </c>
      <c r="D215" s="20" t="s">
        <v>52</v>
      </c>
      <c r="E215" s="21" t="s">
        <v>1173</v>
      </c>
      <c r="F215" s="21" t="s">
        <v>1173</v>
      </c>
      <c r="G215" s="21" t="s">
        <v>1173</v>
      </c>
      <c r="H215" s="21" t="s">
        <v>1173</v>
      </c>
      <c r="I215" s="21" t="s">
        <v>1173</v>
      </c>
      <c r="J215" s="21" t="s">
        <v>1173</v>
      </c>
      <c r="K215" s="21" t="s">
        <v>1173</v>
      </c>
      <c r="L215" s="21" t="s">
        <v>1173</v>
      </c>
      <c r="M215" s="21" t="s">
        <v>1173</v>
      </c>
      <c r="N215" s="21">
        <v>63.945858999999999</v>
      </c>
      <c r="O215" s="21">
        <v>1.010059</v>
      </c>
      <c r="P215" s="21">
        <v>-8.2713999999999996E-2</v>
      </c>
      <c r="Q215" s="21">
        <v>0.23005600000000001</v>
      </c>
      <c r="R215" s="21" t="s">
        <v>1173</v>
      </c>
      <c r="S215" s="21" t="s">
        <v>1173</v>
      </c>
      <c r="T215" s="21">
        <v>3.5553469999999998</v>
      </c>
      <c r="U215" s="21">
        <v>1.579078</v>
      </c>
      <c r="V215" s="21">
        <v>0.40731299999999998</v>
      </c>
      <c r="W215" s="20"/>
    </row>
    <row r="216" spans="1:23" x14ac:dyDescent="0.2">
      <c r="A216" s="5" t="s">
        <v>1217</v>
      </c>
      <c r="B216" s="5"/>
      <c r="C216" s="20" t="s">
        <v>52</v>
      </c>
      <c r="D216" s="20" t="s">
        <v>52</v>
      </c>
      <c r="E216" s="20" t="s">
        <v>52</v>
      </c>
      <c r="F216" s="20" t="s">
        <v>52</v>
      </c>
      <c r="G216" s="20" t="s">
        <v>52</v>
      </c>
      <c r="H216" s="20" t="s">
        <v>52</v>
      </c>
      <c r="I216" s="20" t="s">
        <v>52</v>
      </c>
      <c r="J216" s="20" t="s">
        <v>52</v>
      </c>
      <c r="K216" s="20" t="s">
        <v>52</v>
      </c>
      <c r="L216" s="20" t="s">
        <v>52</v>
      </c>
      <c r="M216" s="20" t="s">
        <v>52</v>
      </c>
      <c r="N216" s="20" t="s">
        <v>52</v>
      </c>
      <c r="O216" s="20" t="s">
        <v>52</v>
      </c>
      <c r="P216" s="20" t="s">
        <v>52</v>
      </c>
      <c r="Q216" s="20" t="s">
        <v>52</v>
      </c>
      <c r="R216" s="20" t="s">
        <v>52</v>
      </c>
      <c r="S216" s="20" t="s">
        <v>52</v>
      </c>
      <c r="T216" s="20" t="s">
        <v>52</v>
      </c>
      <c r="U216" s="20" t="s">
        <v>52</v>
      </c>
      <c r="V216" s="21">
        <v>4.4864860000000002</v>
      </c>
      <c r="W216" s="20"/>
    </row>
    <row r="217" spans="1:23" x14ac:dyDescent="0.2">
      <c r="A217" s="5"/>
      <c r="B217" s="5"/>
      <c r="C217" s="5"/>
      <c r="D217" s="5"/>
      <c r="E217" s="5"/>
      <c r="F217" s="5"/>
      <c r="G217" s="5"/>
      <c r="H217" s="5"/>
      <c r="I217" s="5"/>
      <c r="J217" s="5"/>
      <c r="K217" s="5"/>
      <c r="L217" s="5"/>
      <c r="M217" s="5"/>
      <c r="N217" s="5"/>
      <c r="O217" s="5"/>
      <c r="P217" s="5"/>
      <c r="Q217" s="5"/>
      <c r="R217" s="5"/>
      <c r="S217" s="5"/>
      <c r="T217" s="5"/>
      <c r="U217" s="5"/>
      <c r="V217" s="5"/>
      <c r="W217" s="5"/>
    </row>
    <row r="218" spans="1:23" ht="10.5" x14ac:dyDescent="0.2">
      <c r="A218" s="14" t="s">
        <v>1218</v>
      </c>
      <c r="B218" s="14"/>
      <c r="C218" s="5"/>
      <c r="D218" s="5"/>
      <c r="E218" s="5"/>
      <c r="F218" s="5"/>
      <c r="G218" s="5"/>
      <c r="H218" s="5"/>
      <c r="I218" s="5"/>
      <c r="J218" s="5"/>
      <c r="K218" s="5"/>
      <c r="L218" s="5"/>
      <c r="M218" s="5"/>
      <c r="N218" s="5"/>
      <c r="O218" s="5"/>
      <c r="P218" s="5"/>
      <c r="Q218" s="5"/>
      <c r="R218" s="5"/>
      <c r="S218" s="5"/>
      <c r="T218" s="5"/>
      <c r="U218" s="5"/>
      <c r="V218" s="5"/>
      <c r="W218" s="5"/>
    </row>
    <row r="219" spans="1:23" x14ac:dyDescent="0.2">
      <c r="A219" s="5" t="s">
        <v>1199</v>
      </c>
      <c r="B219" s="5"/>
      <c r="C219" s="20" t="s">
        <v>52</v>
      </c>
      <c r="D219" s="20" t="s">
        <v>52</v>
      </c>
      <c r="E219" s="21">
        <v>0.88366699999999998</v>
      </c>
      <c r="F219" s="21">
        <v>0.85069700000000004</v>
      </c>
      <c r="G219" s="21">
        <v>0.42567100000000002</v>
      </c>
      <c r="H219" s="21">
        <v>0.39750200000000002</v>
      </c>
      <c r="I219" s="21">
        <v>0.44984200000000002</v>
      </c>
      <c r="J219" s="21">
        <v>0.112982</v>
      </c>
      <c r="K219" s="21">
        <v>0.15082100000000001</v>
      </c>
      <c r="L219" s="21">
        <v>0.20272000000000001</v>
      </c>
      <c r="M219" s="21">
        <v>0.147061</v>
      </c>
      <c r="N219" s="21">
        <v>0.24941099999999999</v>
      </c>
      <c r="O219" s="21">
        <v>0.236816</v>
      </c>
      <c r="P219" s="21">
        <v>0.12646099999999999</v>
      </c>
      <c r="Q219" s="21">
        <v>0.19005</v>
      </c>
      <c r="R219" s="21">
        <v>0.39216099999999998</v>
      </c>
      <c r="S219" s="21">
        <v>0.44434200000000001</v>
      </c>
      <c r="T219" s="21">
        <v>0.343586</v>
      </c>
      <c r="U219" s="21">
        <v>0.288493</v>
      </c>
      <c r="V219" s="21">
        <v>0.22727</v>
      </c>
      <c r="W219" s="20"/>
    </row>
    <row r="220" spans="1:23" x14ac:dyDescent="0.2">
      <c r="A220" s="5" t="s">
        <v>1200</v>
      </c>
      <c r="B220" s="5"/>
      <c r="C220" s="20" t="s">
        <v>52</v>
      </c>
      <c r="D220" s="20" t="s">
        <v>52</v>
      </c>
      <c r="E220" s="21">
        <v>0.61937699999999996</v>
      </c>
      <c r="F220" s="21">
        <v>0.51047600000000004</v>
      </c>
      <c r="G220" s="21">
        <v>0.27365400000000001</v>
      </c>
      <c r="H220" s="21">
        <v>0.27077200000000001</v>
      </c>
      <c r="I220" s="21">
        <v>0.50033000000000005</v>
      </c>
      <c r="J220" s="21">
        <v>0.27266800000000002</v>
      </c>
      <c r="K220" s="21">
        <v>0.10329099999999999</v>
      </c>
      <c r="L220" s="21">
        <v>7.9436999999999994E-2</v>
      </c>
      <c r="M220" s="21">
        <v>0.116786</v>
      </c>
      <c r="N220" s="21">
        <v>0.332146</v>
      </c>
      <c r="O220" s="21">
        <v>0.34892400000000001</v>
      </c>
      <c r="P220" s="21">
        <v>0.205508</v>
      </c>
      <c r="Q220" s="21">
        <v>0.201404</v>
      </c>
      <c r="R220" s="21">
        <v>0.40040500000000001</v>
      </c>
      <c r="S220" s="21">
        <v>0.40484599999999998</v>
      </c>
      <c r="T220" s="21">
        <v>0.27600599999999997</v>
      </c>
      <c r="U220" s="21">
        <v>0.25409100000000001</v>
      </c>
      <c r="V220" s="21">
        <v>0.20730199999999999</v>
      </c>
      <c r="W220" s="20"/>
    </row>
    <row r="221" spans="1:23" x14ac:dyDescent="0.2">
      <c r="A221" s="5" t="s">
        <v>1201</v>
      </c>
      <c r="B221" s="5"/>
      <c r="C221" s="20" t="s">
        <v>52</v>
      </c>
      <c r="D221" s="20" t="s">
        <v>52</v>
      </c>
      <c r="E221" s="21">
        <v>1.942534</v>
      </c>
      <c r="F221" s="21">
        <v>0.95219399999999998</v>
      </c>
      <c r="G221" s="21">
        <v>7.4393000000000001E-2</v>
      </c>
      <c r="H221" s="21">
        <v>6.7213999999999996E-2</v>
      </c>
      <c r="I221" s="21">
        <v>0.53422499999999995</v>
      </c>
      <c r="J221" s="21">
        <v>0.37079899999999999</v>
      </c>
      <c r="K221" s="21">
        <v>0.22479099999999999</v>
      </c>
      <c r="L221" s="21">
        <v>-0.13003400000000001</v>
      </c>
      <c r="M221" s="21">
        <v>-0.17441400000000001</v>
      </c>
      <c r="N221" s="21">
        <v>0.58517799999999998</v>
      </c>
      <c r="O221" s="21">
        <v>0.98211800000000005</v>
      </c>
      <c r="P221" s="21">
        <v>0.49682500000000002</v>
      </c>
      <c r="Q221" s="21">
        <v>0.32865499999999997</v>
      </c>
      <c r="R221" s="21">
        <v>0.46754899999999999</v>
      </c>
      <c r="S221" s="21">
        <v>0.48628500000000002</v>
      </c>
      <c r="T221" s="21">
        <v>0.31171599999999999</v>
      </c>
      <c r="U221" s="21">
        <v>0.27648299999999998</v>
      </c>
      <c r="V221" s="21">
        <v>0.20624700000000001</v>
      </c>
      <c r="W221" s="20"/>
    </row>
    <row r="222" spans="1:23" x14ac:dyDescent="0.2">
      <c r="A222" s="5" t="s">
        <v>1202</v>
      </c>
      <c r="B222" s="5"/>
      <c r="C222" s="20" t="s">
        <v>52</v>
      </c>
      <c r="D222" s="20" t="s">
        <v>52</v>
      </c>
      <c r="E222" s="21">
        <v>2.6174650000000002</v>
      </c>
      <c r="F222" s="21">
        <v>1.0658449999999999</v>
      </c>
      <c r="G222" s="21">
        <v>5.3352999999999998E-2</v>
      </c>
      <c r="H222" s="21">
        <v>1.8977000000000001E-2</v>
      </c>
      <c r="I222" s="21">
        <v>0.521652</v>
      </c>
      <c r="J222" s="21">
        <v>0.43346699999999999</v>
      </c>
      <c r="K222" s="21">
        <v>0.27038000000000001</v>
      </c>
      <c r="L222" s="21">
        <v>-0.16792699999999999</v>
      </c>
      <c r="M222" s="21">
        <v>-0.188612</v>
      </c>
      <c r="N222" s="21">
        <v>0.70472000000000001</v>
      </c>
      <c r="O222" s="21">
        <v>1.090784</v>
      </c>
      <c r="P222" s="21">
        <v>0.48989899999999997</v>
      </c>
      <c r="Q222" s="21">
        <v>0.32236399999999998</v>
      </c>
      <c r="R222" s="21">
        <v>0.48368</v>
      </c>
      <c r="S222" s="21">
        <v>0.49054799999999998</v>
      </c>
      <c r="T222" s="21">
        <v>0.296182</v>
      </c>
      <c r="U222" s="21">
        <v>0.26249400000000001</v>
      </c>
      <c r="V222" s="21">
        <v>0.20261399999999999</v>
      </c>
      <c r="W222" s="20"/>
    </row>
    <row r="223" spans="1:23" x14ac:dyDescent="0.2">
      <c r="A223" s="5" t="s">
        <v>1203</v>
      </c>
      <c r="B223" s="5"/>
      <c r="C223" s="20" t="s">
        <v>52</v>
      </c>
      <c r="D223" s="20" t="s">
        <v>52</v>
      </c>
      <c r="E223" s="21">
        <v>2.6174650000000002</v>
      </c>
      <c r="F223" s="21">
        <v>1.0658449999999999</v>
      </c>
      <c r="G223" s="21">
        <v>5.3352999999999998E-2</v>
      </c>
      <c r="H223" s="21">
        <v>1.8977000000000001E-2</v>
      </c>
      <c r="I223" s="21">
        <v>0.48954199999999998</v>
      </c>
      <c r="J223" s="21">
        <v>0.43346699999999999</v>
      </c>
      <c r="K223" s="21">
        <v>0.29776599999999998</v>
      </c>
      <c r="L223" s="21">
        <v>-0.16792699999999999</v>
      </c>
      <c r="M223" s="21">
        <v>-0.188612</v>
      </c>
      <c r="N223" s="21">
        <v>0.70472000000000001</v>
      </c>
      <c r="O223" s="21">
        <v>1.090784</v>
      </c>
      <c r="P223" s="21">
        <v>0.48989899999999997</v>
      </c>
      <c r="Q223" s="21">
        <v>0.32236399999999998</v>
      </c>
      <c r="R223" s="21">
        <v>0.48368</v>
      </c>
      <c r="S223" s="21">
        <v>0.49054799999999998</v>
      </c>
      <c r="T223" s="21">
        <v>0.296182</v>
      </c>
      <c r="U223" s="21">
        <v>0.26249400000000001</v>
      </c>
      <c r="V223" s="21">
        <v>0.20261399999999999</v>
      </c>
      <c r="W223" s="20"/>
    </row>
    <row r="224" spans="1:23" x14ac:dyDescent="0.2">
      <c r="A224" s="5" t="s">
        <v>1204</v>
      </c>
      <c r="B224" s="5"/>
      <c r="C224" s="20" t="s">
        <v>52</v>
      </c>
      <c r="D224" s="20" t="s">
        <v>52</v>
      </c>
      <c r="E224" s="21" t="s">
        <v>1173</v>
      </c>
      <c r="F224" s="21">
        <v>1.1394439999999999</v>
      </c>
      <c r="G224" s="21">
        <v>8.7129999999999999E-2</v>
      </c>
      <c r="H224" s="21">
        <v>-4.7487000000000001E-2</v>
      </c>
      <c r="I224" s="21">
        <v>0.35188900000000001</v>
      </c>
      <c r="J224" s="21">
        <v>0.62131800000000004</v>
      </c>
      <c r="K224" s="21">
        <v>0.59695100000000001</v>
      </c>
      <c r="L224" s="21">
        <v>-0.165932</v>
      </c>
      <c r="M224" s="21">
        <v>-0.30631999999999998</v>
      </c>
      <c r="N224" s="21">
        <v>0.58852099999999996</v>
      </c>
      <c r="O224" s="21">
        <v>1.203247</v>
      </c>
      <c r="P224" s="21">
        <v>0.57789299999999999</v>
      </c>
      <c r="Q224" s="21">
        <v>0.34178700000000001</v>
      </c>
      <c r="R224" s="21">
        <v>0.49707299999999999</v>
      </c>
      <c r="S224" s="21">
        <v>0.56047899999999995</v>
      </c>
      <c r="T224" s="21">
        <v>0.33594099999999999</v>
      </c>
      <c r="U224" s="21">
        <v>0.26118599999999997</v>
      </c>
      <c r="V224" s="21">
        <v>0.229464</v>
      </c>
      <c r="W224" s="20"/>
    </row>
    <row r="225" spans="1:23" x14ac:dyDescent="0.2">
      <c r="A225" s="5" t="s">
        <v>1205</v>
      </c>
      <c r="B225" s="5"/>
      <c r="C225" s="20" t="s">
        <v>52</v>
      </c>
      <c r="D225" s="20" t="s">
        <v>52</v>
      </c>
      <c r="E225" s="21" t="s">
        <v>1173</v>
      </c>
      <c r="F225" s="21">
        <v>0.84762199999999999</v>
      </c>
      <c r="G225" s="21">
        <v>-3.2434999999999999E-2</v>
      </c>
      <c r="H225" s="21">
        <v>-4.5796999999999997E-2</v>
      </c>
      <c r="I225" s="21">
        <v>0.82712200000000002</v>
      </c>
      <c r="J225" s="21">
        <v>1.118117</v>
      </c>
      <c r="K225" s="21">
        <v>0.59695100000000001</v>
      </c>
      <c r="L225" s="21">
        <v>-0.165932</v>
      </c>
      <c r="M225" s="21">
        <v>-0.30631999999999998</v>
      </c>
      <c r="N225" s="21">
        <v>0.58852099999999996</v>
      </c>
      <c r="O225" s="21">
        <v>1.203247</v>
      </c>
      <c r="P225" s="21">
        <v>0.57789299999999999</v>
      </c>
      <c r="Q225" s="21">
        <v>0.34178700000000001</v>
      </c>
      <c r="R225" s="21">
        <v>0.49707299999999999</v>
      </c>
      <c r="S225" s="21">
        <v>0.56047899999999995</v>
      </c>
      <c r="T225" s="21">
        <v>0.33594099999999999</v>
      </c>
      <c r="U225" s="21">
        <v>0.26118599999999997</v>
      </c>
      <c r="V225" s="21">
        <v>0.229464</v>
      </c>
      <c r="W225" s="20"/>
    </row>
    <row r="226" spans="1:23" x14ac:dyDescent="0.2">
      <c r="A226" s="5" t="s">
        <v>1206</v>
      </c>
      <c r="B226" s="5"/>
      <c r="C226" s="20" t="s">
        <v>52</v>
      </c>
      <c r="D226" s="20" t="s">
        <v>52</v>
      </c>
      <c r="E226" s="21">
        <v>1.6574340000000001</v>
      </c>
      <c r="F226" s="21">
        <v>0.97116800000000003</v>
      </c>
      <c r="G226" s="21">
        <v>-0.131213</v>
      </c>
      <c r="H226" s="21">
        <v>-9.758E-2</v>
      </c>
      <c r="I226" s="21">
        <v>1.3733200000000001</v>
      </c>
      <c r="J226" s="21">
        <v>1.256847</v>
      </c>
      <c r="K226" s="21">
        <v>0.76274399999999998</v>
      </c>
      <c r="L226" s="21">
        <v>-0.15106900000000001</v>
      </c>
      <c r="M226" s="21">
        <v>-0.383913</v>
      </c>
      <c r="N226" s="21">
        <v>0.69223000000000001</v>
      </c>
      <c r="O226" s="21">
        <v>1.107785</v>
      </c>
      <c r="P226" s="21">
        <v>0.48020499999999999</v>
      </c>
      <c r="Q226" s="21">
        <v>0.28851100000000002</v>
      </c>
      <c r="R226" s="21">
        <v>0.46534399999999998</v>
      </c>
      <c r="S226" s="21">
        <v>0.49579099999999998</v>
      </c>
      <c r="T226" s="21">
        <v>0.29580400000000001</v>
      </c>
      <c r="U226" s="21">
        <v>0.260486</v>
      </c>
      <c r="V226" s="21">
        <v>0.20378299999999999</v>
      </c>
      <c r="W226" s="20"/>
    </row>
    <row r="227" spans="1:23" x14ac:dyDescent="0.2">
      <c r="A227" s="5" t="s">
        <v>1207</v>
      </c>
      <c r="B227" s="5"/>
      <c r="C227" s="20" t="s">
        <v>52</v>
      </c>
      <c r="D227" s="20" t="s">
        <v>52</v>
      </c>
      <c r="E227" s="20" t="s">
        <v>52</v>
      </c>
      <c r="F227" s="21">
        <v>0.84762199999999999</v>
      </c>
      <c r="G227" s="21">
        <v>-3.2434999999999999E-2</v>
      </c>
      <c r="H227" s="21">
        <v>-0.11071400000000001</v>
      </c>
      <c r="I227" s="21">
        <v>-0.83209200000000005</v>
      </c>
      <c r="J227" s="21">
        <v>-0.79114099999999998</v>
      </c>
      <c r="K227" s="21">
        <v>0.59695100000000001</v>
      </c>
      <c r="L227" s="21">
        <v>-0.17854600000000001</v>
      </c>
      <c r="M227" s="21">
        <v>-0.31687799999999999</v>
      </c>
      <c r="N227" s="21">
        <v>0.58835499999999996</v>
      </c>
      <c r="O227" s="21">
        <v>1.200782</v>
      </c>
      <c r="P227" s="21">
        <v>0.57539200000000001</v>
      </c>
      <c r="Q227" s="21">
        <v>0.34042800000000001</v>
      </c>
      <c r="R227" s="21">
        <v>0.49626599999999998</v>
      </c>
      <c r="S227" s="21">
        <v>0.54256300000000002</v>
      </c>
      <c r="T227" s="21">
        <v>0.29824200000000001</v>
      </c>
      <c r="U227" s="20" t="s">
        <v>52</v>
      </c>
      <c r="V227" s="20" t="s">
        <v>52</v>
      </c>
      <c r="W227" s="20"/>
    </row>
    <row r="228" spans="1:23" x14ac:dyDescent="0.2">
      <c r="A228" s="5"/>
      <c r="B228" s="5"/>
      <c r="C228" s="5"/>
      <c r="D228" s="5"/>
      <c r="E228" s="5"/>
      <c r="F228" s="5"/>
      <c r="G228" s="5"/>
      <c r="H228" s="5"/>
      <c r="I228" s="5"/>
      <c r="J228" s="5"/>
      <c r="K228" s="5"/>
      <c r="L228" s="5"/>
      <c r="M228" s="5"/>
      <c r="N228" s="5"/>
      <c r="O228" s="5"/>
      <c r="P228" s="5"/>
      <c r="Q228" s="5"/>
      <c r="R228" s="5"/>
      <c r="S228" s="5"/>
      <c r="T228" s="5"/>
      <c r="U228" s="5"/>
      <c r="V228" s="5"/>
      <c r="W228" s="5"/>
    </row>
    <row r="229" spans="1:23" x14ac:dyDescent="0.2">
      <c r="A229" s="5" t="s">
        <v>1208</v>
      </c>
      <c r="B229" s="5"/>
      <c r="C229" s="20" t="s">
        <v>52</v>
      </c>
      <c r="D229" s="20" t="s">
        <v>52</v>
      </c>
      <c r="E229" s="21">
        <v>1.0060119999999999</v>
      </c>
      <c r="F229" s="21">
        <v>0.87843800000000005</v>
      </c>
      <c r="G229" s="21">
        <v>0.56353799999999998</v>
      </c>
      <c r="H229" s="21">
        <v>0.26112400000000002</v>
      </c>
      <c r="I229" s="21">
        <v>0.72575599999999996</v>
      </c>
      <c r="J229" s="21">
        <v>0.210789</v>
      </c>
      <c r="K229" s="21">
        <v>-0.10842300000000001</v>
      </c>
      <c r="L229" s="21">
        <v>0.137021</v>
      </c>
      <c r="M229" s="21">
        <v>7.4279999999999999E-2</v>
      </c>
      <c r="N229" s="21">
        <v>0.20647699999999999</v>
      </c>
      <c r="O229" s="21">
        <v>0.12973799999999999</v>
      </c>
      <c r="P229" s="21">
        <v>3.9754999999999999E-2</v>
      </c>
      <c r="Q229" s="21">
        <v>0.23604700000000001</v>
      </c>
      <c r="R229" s="21">
        <v>0.51980000000000004</v>
      </c>
      <c r="S229" s="21">
        <v>0.49058099999999999</v>
      </c>
      <c r="T229" s="21">
        <v>0.308421</v>
      </c>
      <c r="U229" s="21">
        <v>0.19283900000000001</v>
      </c>
      <c r="V229" s="21">
        <v>0.19272500000000001</v>
      </c>
      <c r="W229" s="20"/>
    </row>
    <row r="230" spans="1:23" x14ac:dyDescent="0.2">
      <c r="A230" s="5" t="s">
        <v>1209</v>
      </c>
      <c r="B230" s="5"/>
      <c r="C230" s="20" t="s">
        <v>52</v>
      </c>
      <c r="D230" s="20" t="s">
        <v>52</v>
      </c>
      <c r="E230" s="21">
        <v>-0.35891899999999999</v>
      </c>
      <c r="F230" s="21">
        <v>-7.3384000000000005E-2</v>
      </c>
      <c r="G230" s="21">
        <v>0.63790800000000003</v>
      </c>
      <c r="H230" s="21">
        <v>1.6703460000000001</v>
      </c>
      <c r="I230" s="21">
        <v>1.7313799999999999</v>
      </c>
      <c r="J230" s="21">
        <v>-7.1839E-2</v>
      </c>
      <c r="K230" s="21">
        <v>-0.56231399999999998</v>
      </c>
      <c r="L230" s="21">
        <v>-6.8167000000000005E-2</v>
      </c>
      <c r="M230" s="21">
        <v>-0.164435</v>
      </c>
      <c r="N230" s="21">
        <v>0.26849699999999999</v>
      </c>
      <c r="O230" s="21">
        <v>0.533609</v>
      </c>
      <c r="P230" s="21">
        <v>-0.19116900000000001</v>
      </c>
      <c r="Q230" s="21">
        <v>0.43692199999999998</v>
      </c>
      <c r="R230" s="21">
        <v>0.98551100000000003</v>
      </c>
      <c r="S230" s="21">
        <v>0.55403199999999997</v>
      </c>
      <c r="T230" s="21">
        <v>1.028011</v>
      </c>
      <c r="U230" s="21">
        <v>0.49407000000000001</v>
      </c>
      <c r="V230" s="21">
        <v>-0.212732</v>
      </c>
      <c r="W230" s="20"/>
    </row>
    <row r="231" spans="1:23" x14ac:dyDescent="0.2">
      <c r="A231" s="5" t="s">
        <v>1210</v>
      </c>
      <c r="B231" s="5"/>
      <c r="C231" s="20" t="s">
        <v>52</v>
      </c>
      <c r="D231" s="20" t="s">
        <v>52</v>
      </c>
      <c r="E231" s="21">
        <v>0.39157500000000001</v>
      </c>
      <c r="F231" s="21">
        <v>0.29504900000000001</v>
      </c>
      <c r="G231" s="21">
        <v>0.36857800000000002</v>
      </c>
      <c r="H231" s="21">
        <v>0.37120399999999998</v>
      </c>
      <c r="I231" s="21">
        <v>-7.3951000000000003E-2</v>
      </c>
      <c r="J231" s="21">
        <v>-0.150536</v>
      </c>
      <c r="K231" s="21">
        <v>0.35127199999999997</v>
      </c>
      <c r="L231" s="21">
        <v>0.28483999999999998</v>
      </c>
      <c r="M231" s="21">
        <v>-0.24296999999999999</v>
      </c>
      <c r="N231" s="21">
        <v>-0.143902</v>
      </c>
      <c r="O231" s="21">
        <v>0.20269699999999999</v>
      </c>
      <c r="P231" s="21">
        <v>1.779E-3</v>
      </c>
      <c r="Q231" s="21">
        <v>-0.19455700000000001</v>
      </c>
      <c r="R231" s="21">
        <v>0.25161</v>
      </c>
      <c r="S231" s="21">
        <v>2.5646059999999999</v>
      </c>
      <c r="T231" s="21">
        <v>1.998645</v>
      </c>
      <c r="U231" s="21">
        <v>0.186053</v>
      </c>
      <c r="V231" s="21">
        <v>4.9653000000000003E-2</v>
      </c>
      <c r="W231" s="20"/>
    </row>
    <row r="232" spans="1:23" x14ac:dyDescent="0.2">
      <c r="A232" s="5" t="s">
        <v>1079</v>
      </c>
      <c r="B232" s="5"/>
      <c r="C232" s="20" t="s">
        <v>52</v>
      </c>
      <c r="D232" s="20" t="s">
        <v>52</v>
      </c>
      <c r="E232" s="21">
        <v>0.76888800000000002</v>
      </c>
      <c r="F232" s="21">
        <v>0.77229899999999996</v>
      </c>
      <c r="G232" s="21">
        <v>0.53362500000000002</v>
      </c>
      <c r="H232" s="21">
        <v>0.28117300000000001</v>
      </c>
      <c r="I232" s="21">
        <v>0.71452700000000002</v>
      </c>
      <c r="J232" s="21">
        <v>0.30946499999999999</v>
      </c>
      <c r="K232" s="21">
        <v>-6.4863000000000004E-2</v>
      </c>
      <c r="L232" s="21">
        <v>0.108887</v>
      </c>
      <c r="M232" s="21">
        <v>-2.3779999999999999E-3</v>
      </c>
      <c r="N232" s="21">
        <v>0.25909500000000002</v>
      </c>
      <c r="O232" s="21">
        <v>0.37804599999999999</v>
      </c>
      <c r="P232" s="21">
        <v>0.154971</v>
      </c>
      <c r="Q232" s="21">
        <v>0.202602</v>
      </c>
      <c r="R232" s="21">
        <v>0.30366300000000002</v>
      </c>
      <c r="S232" s="21">
        <v>0.42578700000000003</v>
      </c>
      <c r="T232" s="21">
        <v>0.33933099999999999</v>
      </c>
      <c r="U232" s="21">
        <v>0.28013399999999999</v>
      </c>
      <c r="V232" s="21">
        <v>0.390764</v>
      </c>
      <c r="W232" s="20"/>
    </row>
    <row r="233" spans="1:23" x14ac:dyDescent="0.2">
      <c r="A233" s="5"/>
      <c r="B233" s="5"/>
      <c r="C233" s="5"/>
      <c r="D233" s="5"/>
      <c r="E233" s="5"/>
      <c r="F233" s="5"/>
      <c r="G233" s="5"/>
      <c r="H233" s="5"/>
      <c r="I233" s="5"/>
      <c r="J233" s="5"/>
      <c r="K233" s="5"/>
      <c r="L233" s="5"/>
      <c r="M233" s="5"/>
      <c r="N233" s="5"/>
      <c r="O233" s="5"/>
      <c r="P233" s="5"/>
      <c r="Q233" s="5"/>
      <c r="R233" s="5"/>
      <c r="S233" s="5"/>
      <c r="T233" s="5"/>
      <c r="U233" s="5"/>
      <c r="V233" s="5"/>
      <c r="W233" s="5"/>
    </row>
    <row r="234" spans="1:23" x14ac:dyDescent="0.2">
      <c r="A234" s="5" t="s">
        <v>1211</v>
      </c>
      <c r="B234" s="5"/>
      <c r="C234" s="20" t="s">
        <v>52</v>
      </c>
      <c r="D234" s="20" t="s">
        <v>52</v>
      </c>
      <c r="E234" s="21">
        <v>2.188205</v>
      </c>
      <c r="F234" s="21">
        <v>1.145767</v>
      </c>
      <c r="G234" s="21">
        <v>0.51226400000000005</v>
      </c>
      <c r="H234" s="21">
        <v>0.34648200000000001</v>
      </c>
      <c r="I234" s="21">
        <v>0.66325000000000001</v>
      </c>
      <c r="J234" s="21">
        <v>0.71183399999999997</v>
      </c>
      <c r="K234" s="21">
        <v>0.489869</v>
      </c>
      <c r="L234" s="21">
        <v>2.383E-2</v>
      </c>
      <c r="M234" s="21">
        <v>-4.1666000000000002E-2</v>
      </c>
      <c r="N234" s="21">
        <v>0.45793400000000001</v>
      </c>
      <c r="O234" s="21">
        <v>0.51778400000000002</v>
      </c>
      <c r="P234" s="21">
        <v>0.49379600000000001</v>
      </c>
      <c r="Q234" s="21">
        <v>0.15277399999999999</v>
      </c>
      <c r="R234" s="21">
        <v>0.29466300000000001</v>
      </c>
      <c r="S234" s="21">
        <v>0.77073599999999998</v>
      </c>
      <c r="T234" s="21">
        <v>0.38439499999999999</v>
      </c>
      <c r="U234" s="21">
        <v>0.31854500000000002</v>
      </c>
      <c r="V234" s="21">
        <v>0.40979900000000002</v>
      </c>
      <c r="W234" s="20"/>
    </row>
    <row r="235" spans="1:23" x14ac:dyDescent="0.2">
      <c r="A235" s="5" t="s">
        <v>1212</v>
      </c>
      <c r="B235" s="5"/>
      <c r="C235" s="20" t="s">
        <v>52</v>
      </c>
      <c r="D235" s="20" t="s">
        <v>52</v>
      </c>
      <c r="E235" s="21">
        <v>1.9484330000000001</v>
      </c>
      <c r="F235" s="21">
        <v>1.145767</v>
      </c>
      <c r="G235" s="21">
        <v>0.51226400000000005</v>
      </c>
      <c r="H235" s="21">
        <v>0.34648200000000001</v>
      </c>
      <c r="I235" s="21">
        <v>0.83715799999999996</v>
      </c>
      <c r="J235" s="21">
        <v>0.71183399999999997</v>
      </c>
      <c r="K235" s="21">
        <v>0.34883700000000001</v>
      </c>
      <c r="L235" s="21">
        <v>2.383E-2</v>
      </c>
      <c r="M235" s="21">
        <v>-4.1666000000000002E-2</v>
      </c>
      <c r="N235" s="21">
        <v>0.45793400000000001</v>
      </c>
      <c r="O235" s="21">
        <v>0.51778400000000002</v>
      </c>
      <c r="P235" s="21">
        <v>0.49379600000000001</v>
      </c>
      <c r="Q235" s="21">
        <v>0.15277399999999999</v>
      </c>
      <c r="R235" s="21">
        <v>0.29466300000000001</v>
      </c>
      <c r="S235" s="21">
        <v>0.77073599999999998</v>
      </c>
      <c r="T235" s="21">
        <v>0.39023600000000003</v>
      </c>
      <c r="U235" s="21">
        <v>0.32334000000000002</v>
      </c>
      <c r="V235" s="21">
        <v>0.40724300000000002</v>
      </c>
      <c r="W235" s="20"/>
    </row>
    <row r="236" spans="1:23" x14ac:dyDescent="0.2">
      <c r="A236" s="5" t="s">
        <v>1213</v>
      </c>
      <c r="B236" s="5"/>
      <c r="C236" s="20" t="s">
        <v>52</v>
      </c>
      <c r="D236" s="20" t="s">
        <v>52</v>
      </c>
      <c r="E236" s="21">
        <v>1.5116560000000001</v>
      </c>
      <c r="F236" s="21" t="s">
        <v>1173</v>
      </c>
      <c r="G236" s="21" t="s">
        <v>1173</v>
      </c>
      <c r="H236" s="21" t="s">
        <v>1173</v>
      </c>
      <c r="I236" s="21" t="s">
        <v>1173</v>
      </c>
      <c r="J236" s="21">
        <v>1.838444</v>
      </c>
      <c r="K236" s="21" t="s">
        <v>1173</v>
      </c>
      <c r="L236" s="21" t="s">
        <v>1173</v>
      </c>
      <c r="M236" s="21" t="s">
        <v>1173</v>
      </c>
      <c r="N236" s="21" t="s">
        <v>1173</v>
      </c>
      <c r="O236" s="21">
        <v>2.9575629999999999</v>
      </c>
      <c r="P236" s="21">
        <v>0.41164800000000001</v>
      </c>
      <c r="Q236" s="21">
        <v>0.17054900000000001</v>
      </c>
      <c r="R236" s="21">
        <v>-0.56114600000000003</v>
      </c>
      <c r="S236" s="21">
        <v>0.27774100000000002</v>
      </c>
      <c r="T236" s="21">
        <v>2.4793790000000002</v>
      </c>
      <c r="U236" s="21">
        <v>0.56329799999999997</v>
      </c>
      <c r="V236" s="21">
        <v>0.63864200000000004</v>
      </c>
      <c r="W236" s="20"/>
    </row>
    <row r="237" spans="1:23" x14ac:dyDescent="0.2">
      <c r="A237" s="5" t="s">
        <v>1214</v>
      </c>
      <c r="B237" s="5"/>
      <c r="C237" s="20" t="s">
        <v>52</v>
      </c>
      <c r="D237" s="20" t="s">
        <v>52</v>
      </c>
      <c r="E237" s="21">
        <v>1.7818499999999999</v>
      </c>
      <c r="F237" s="21">
        <v>0.59150100000000005</v>
      </c>
      <c r="G237" s="21">
        <v>0.51113900000000001</v>
      </c>
      <c r="H237" s="21">
        <v>0.51457200000000003</v>
      </c>
      <c r="I237" s="21">
        <v>-0.442527</v>
      </c>
      <c r="J237" s="21">
        <v>-0.128104</v>
      </c>
      <c r="K237" s="21">
        <v>1.51508</v>
      </c>
      <c r="L237" s="21">
        <v>0.318799</v>
      </c>
      <c r="M237" s="21">
        <v>-0.545933</v>
      </c>
      <c r="N237" s="21">
        <v>-0.24862699999999999</v>
      </c>
      <c r="O237" s="21">
        <v>0.48378100000000002</v>
      </c>
      <c r="P237" s="21">
        <v>5.2346999999999998E-2</v>
      </c>
      <c r="Q237" s="21">
        <v>4.1850000000000004E-3</v>
      </c>
      <c r="R237" s="21">
        <v>0.88253499999999996</v>
      </c>
      <c r="S237" s="21">
        <v>3.4073060000000002</v>
      </c>
      <c r="T237" s="21">
        <v>1.1739569999999999</v>
      </c>
      <c r="U237" s="21">
        <v>-0.36369299999999999</v>
      </c>
      <c r="V237" s="21">
        <v>-9.7572000000000006E-2</v>
      </c>
      <c r="W237" s="20"/>
    </row>
    <row r="238" spans="1:23" x14ac:dyDescent="0.2">
      <c r="A238" s="5" t="s">
        <v>1215</v>
      </c>
      <c r="B238" s="5"/>
      <c r="C238" s="20" t="s">
        <v>52</v>
      </c>
      <c r="D238" s="20" t="s">
        <v>52</v>
      </c>
      <c r="E238" s="20" t="s">
        <v>52</v>
      </c>
      <c r="F238" s="21" t="s">
        <v>1173</v>
      </c>
      <c r="G238" s="21" t="s">
        <v>1173</v>
      </c>
      <c r="H238" s="21" t="s">
        <v>1173</v>
      </c>
      <c r="I238" s="21" t="s">
        <v>1173</v>
      </c>
      <c r="J238" s="21" t="s">
        <v>1173</v>
      </c>
      <c r="K238" s="21" t="s">
        <v>1173</v>
      </c>
      <c r="L238" s="21" t="s">
        <v>1173</v>
      </c>
      <c r="M238" s="21" t="s">
        <v>1173</v>
      </c>
      <c r="N238" s="21" t="s">
        <v>1173</v>
      </c>
      <c r="O238" s="21">
        <v>15.071823</v>
      </c>
      <c r="P238" s="21">
        <v>0.35923500000000003</v>
      </c>
      <c r="Q238" s="21">
        <v>5.9043999999999999E-2</v>
      </c>
      <c r="R238" s="21" t="s">
        <v>1173</v>
      </c>
      <c r="S238" s="21">
        <v>-0.36057</v>
      </c>
      <c r="T238" s="21" t="s">
        <v>1173</v>
      </c>
      <c r="U238" s="21">
        <v>2.4276230000000001</v>
      </c>
      <c r="V238" s="21">
        <v>0.90514399999999995</v>
      </c>
      <c r="W238" s="20"/>
    </row>
    <row r="239" spans="1:23" x14ac:dyDescent="0.2">
      <c r="A239" s="5" t="s">
        <v>1216</v>
      </c>
      <c r="B239" s="5"/>
      <c r="C239" s="20" t="s">
        <v>52</v>
      </c>
      <c r="D239" s="20" t="s">
        <v>52</v>
      </c>
      <c r="E239" s="20" t="s">
        <v>52</v>
      </c>
      <c r="F239" s="21" t="s">
        <v>1173</v>
      </c>
      <c r="G239" s="21" t="s">
        <v>1173</v>
      </c>
      <c r="H239" s="21" t="s">
        <v>1173</v>
      </c>
      <c r="I239" s="21" t="s">
        <v>1173</v>
      </c>
      <c r="J239" s="21">
        <v>9.5301240000000007</v>
      </c>
      <c r="K239" s="21" t="s">
        <v>1173</v>
      </c>
      <c r="L239" s="21" t="s">
        <v>1173</v>
      </c>
      <c r="M239" s="21" t="s">
        <v>1173</v>
      </c>
      <c r="N239" s="21" t="s">
        <v>1173</v>
      </c>
      <c r="O239" s="21">
        <v>10.425632</v>
      </c>
      <c r="P239" s="21">
        <v>0.35786600000000002</v>
      </c>
      <c r="Q239" s="21">
        <v>6.2220999999999999E-2</v>
      </c>
      <c r="R239" s="21" t="s">
        <v>1173</v>
      </c>
      <c r="S239" s="21">
        <v>-0.36253200000000002</v>
      </c>
      <c r="T239" s="21" t="s">
        <v>1173</v>
      </c>
      <c r="U239" s="21">
        <v>2.4276230000000001</v>
      </c>
      <c r="V239" s="21">
        <v>0.90514399999999995</v>
      </c>
      <c r="W239" s="20"/>
    </row>
    <row r="240" spans="1:23" x14ac:dyDescent="0.2">
      <c r="A240" s="5" t="s">
        <v>1217</v>
      </c>
      <c r="B240" s="5"/>
      <c r="C240" s="20" t="s">
        <v>52</v>
      </c>
      <c r="D240" s="20" t="s">
        <v>52</v>
      </c>
      <c r="E240" s="20" t="s">
        <v>52</v>
      </c>
      <c r="F240" s="20" t="s">
        <v>52</v>
      </c>
      <c r="G240" s="20" t="s">
        <v>52</v>
      </c>
      <c r="H240" s="20" t="s">
        <v>52</v>
      </c>
      <c r="I240" s="20" t="s">
        <v>52</v>
      </c>
      <c r="J240" s="20" t="s">
        <v>52</v>
      </c>
      <c r="K240" s="20" t="s">
        <v>52</v>
      </c>
      <c r="L240" s="20" t="s">
        <v>52</v>
      </c>
      <c r="M240" s="20" t="s">
        <v>52</v>
      </c>
      <c r="N240" s="20" t="s">
        <v>52</v>
      </c>
      <c r="O240" s="20" t="s">
        <v>52</v>
      </c>
      <c r="P240" s="20" t="s">
        <v>52</v>
      </c>
      <c r="Q240" s="20" t="s">
        <v>52</v>
      </c>
      <c r="R240" s="20" t="s">
        <v>52</v>
      </c>
      <c r="S240" s="20" t="s">
        <v>52</v>
      </c>
      <c r="T240" s="20" t="s">
        <v>52</v>
      </c>
      <c r="U240" s="20" t="s">
        <v>52</v>
      </c>
      <c r="V240" s="20" t="s">
        <v>52</v>
      </c>
      <c r="W240" s="20"/>
    </row>
    <row r="241" spans="1:23" x14ac:dyDescent="0.2">
      <c r="A241" s="5"/>
      <c r="B241" s="5"/>
      <c r="C241" s="5"/>
      <c r="D241" s="5"/>
      <c r="E241" s="5"/>
      <c r="F241" s="5"/>
      <c r="G241" s="5"/>
      <c r="H241" s="5"/>
      <c r="I241" s="5"/>
      <c r="J241" s="5"/>
      <c r="K241" s="5"/>
      <c r="L241" s="5"/>
      <c r="M241" s="5"/>
      <c r="N241" s="5"/>
      <c r="O241" s="5"/>
      <c r="P241" s="5"/>
      <c r="Q241" s="5"/>
      <c r="R241" s="5"/>
      <c r="S241" s="5"/>
      <c r="T241" s="5"/>
      <c r="U241" s="5"/>
      <c r="V241" s="5"/>
      <c r="W241" s="5"/>
    </row>
    <row r="242" spans="1:23" ht="10.5" x14ac:dyDescent="0.2">
      <c r="A242" s="14" t="s">
        <v>1219</v>
      </c>
      <c r="B242" s="14"/>
      <c r="C242" s="5"/>
      <c r="D242" s="5"/>
      <c r="E242" s="5"/>
      <c r="F242" s="5"/>
      <c r="G242" s="5"/>
      <c r="H242" s="5"/>
      <c r="I242" s="5"/>
      <c r="J242" s="5"/>
      <c r="K242" s="5"/>
      <c r="L242" s="5"/>
      <c r="M242" s="5"/>
      <c r="N242" s="5"/>
      <c r="O242" s="5"/>
      <c r="P242" s="5"/>
      <c r="Q242" s="5"/>
      <c r="R242" s="5"/>
      <c r="S242" s="5"/>
      <c r="T242" s="5"/>
      <c r="U242" s="5"/>
      <c r="V242" s="5"/>
      <c r="W242" s="5"/>
    </row>
    <row r="243" spans="1:23" x14ac:dyDescent="0.2">
      <c r="A243" s="5" t="s">
        <v>1199</v>
      </c>
      <c r="B243" s="5"/>
      <c r="C243" s="20" t="s">
        <v>52</v>
      </c>
      <c r="D243" s="20" t="s">
        <v>52</v>
      </c>
      <c r="E243" s="20" t="s">
        <v>52</v>
      </c>
      <c r="F243" s="21">
        <v>0.85733099999999995</v>
      </c>
      <c r="G243" s="21">
        <v>0.56801400000000002</v>
      </c>
      <c r="H243" s="21">
        <v>0.52214099999999997</v>
      </c>
      <c r="I243" s="21">
        <v>0.33251900000000001</v>
      </c>
      <c r="J243" s="21">
        <v>0.29052800000000001</v>
      </c>
      <c r="K243" s="21">
        <v>0.17069500000000001</v>
      </c>
      <c r="L243" s="21">
        <v>0.13936599999999999</v>
      </c>
      <c r="M243" s="21">
        <v>0.19447200000000001</v>
      </c>
      <c r="N243" s="21">
        <v>0.203544</v>
      </c>
      <c r="O243" s="21">
        <v>0.21694099999999999</v>
      </c>
      <c r="P243" s="21">
        <v>0.18909100000000001</v>
      </c>
      <c r="Q243" s="21">
        <v>0.17808299999999999</v>
      </c>
      <c r="R243" s="21">
        <v>0.28668199999999999</v>
      </c>
      <c r="S243" s="21">
        <v>0.39041700000000001</v>
      </c>
      <c r="T243" s="21">
        <v>0.39509899999999998</v>
      </c>
      <c r="U243" s="21">
        <v>0.32050499999999998</v>
      </c>
      <c r="V243" s="21">
        <v>0.25155899999999998</v>
      </c>
      <c r="W243" s="20"/>
    </row>
    <row r="244" spans="1:23" x14ac:dyDescent="0.2">
      <c r="A244" s="5" t="s">
        <v>1200</v>
      </c>
      <c r="B244" s="5"/>
      <c r="C244" s="20" t="s">
        <v>52</v>
      </c>
      <c r="D244" s="20" t="s">
        <v>52</v>
      </c>
      <c r="E244" s="20" t="s">
        <v>52</v>
      </c>
      <c r="F244" s="21">
        <v>0.55519399999999997</v>
      </c>
      <c r="G244" s="21">
        <v>0.371591</v>
      </c>
      <c r="H244" s="21">
        <v>0.32311499999999999</v>
      </c>
      <c r="I244" s="21">
        <v>0.36544100000000002</v>
      </c>
      <c r="J244" s="21">
        <v>0.322432</v>
      </c>
      <c r="K244" s="21">
        <v>0.24266699999999999</v>
      </c>
      <c r="L244" s="21">
        <v>6.1810999999999998E-2</v>
      </c>
      <c r="M244" s="21">
        <v>0.13900299999999999</v>
      </c>
      <c r="N244" s="21">
        <v>0.203987</v>
      </c>
      <c r="O244" s="21">
        <v>0.32145200000000002</v>
      </c>
      <c r="P244" s="21">
        <v>0.26693699999999998</v>
      </c>
      <c r="Q244" s="21">
        <v>0.23351</v>
      </c>
      <c r="R244" s="21">
        <v>0.29897000000000001</v>
      </c>
      <c r="S244" s="21">
        <v>0.36599300000000001</v>
      </c>
      <c r="T244" s="21">
        <v>0.35220299999999999</v>
      </c>
      <c r="U244" s="21">
        <v>0.26910800000000001</v>
      </c>
      <c r="V244" s="21">
        <v>0.22226799999999999</v>
      </c>
      <c r="W244" s="20"/>
    </row>
    <row r="245" spans="1:23" x14ac:dyDescent="0.2">
      <c r="A245" s="5" t="s">
        <v>1201</v>
      </c>
      <c r="B245" s="5"/>
      <c r="C245" s="20" t="s">
        <v>52</v>
      </c>
      <c r="D245" s="20" t="s">
        <v>52</v>
      </c>
      <c r="E245" s="20" t="s">
        <v>52</v>
      </c>
      <c r="F245" s="21">
        <v>1.388323</v>
      </c>
      <c r="G245" s="21">
        <v>0.40878700000000001</v>
      </c>
      <c r="H245" s="21">
        <v>0.21463599999999999</v>
      </c>
      <c r="I245" s="21">
        <v>0.19974600000000001</v>
      </c>
      <c r="J245" s="21">
        <v>0.42885000000000001</v>
      </c>
      <c r="K245" s="21">
        <v>0.31511299999999998</v>
      </c>
      <c r="L245" s="21">
        <v>-2.1121000000000001E-2</v>
      </c>
      <c r="M245" s="21">
        <v>-6.2102999999999998E-2</v>
      </c>
      <c r="N245" s="21">
        <v>0.16253600000000001</v>
      </c>
      <c r="O245" s="21">
        <v>0.62395299999999998</v>
      </c>
      <c r="P245" s="21">
        <v>0.72853800000000002</v>
      </c>
      <c r="Q245" s="21">
        <v>0.44365300000000002</v>
      </c>
      <c r="R245" s="21">
        <v>0.41466799999999998</v>
      </c>
      <c r="S245" s="21">
        <v>0.43686799999999998</v>
      </c>
      <c r="T245" s="21">
        <v>0.402619</v>
      </c>
      <c r="U245" s="21">
        <v>0.309278</v>
      </c>
      <c r="V245" s="21">
        <v>0.22038099999999999</v>
      </c>
      <c r="W245" s="20"/>
    </row>
    <row r="246" spans="1:23" x14ac:dyDescent="0.2">
      <c r="A246" s="5" t="s">
        <v>1202</v>
      </c>
      <c r="B246" s="5"/>
      <c r="C246" s="20" t="s">
        <v>52</v>
      </c>
      <c r="D246" s="20" t="s">
        <v>52</v>
      </c>
      <c r="E246" s="20" t="s">
        <v>52</v>
      </c>
      <c r="F246" s="21">
        <v>1.764812</v>
      </c>
      <c r="G246" s="21">
        <v>0.43125999999999998</v>
      </c>
      <c r="H246" s="21">
        <v>0.18806200000000001</v>
      </c>
      <c r="I246" s="21">
        <v>0.16733899999999999</v>
      </c>
      <c r="J246" s="21">
        <v>0.45897700000000002</v>
      </c>
      <c r="K246" s="21">
        <v>0.35220600000000002</v>
      </c>
      <c r="L246" s="21">
        <v>-2.4382999999999998E-2</v>
      </c>
      <c r="M246" s="21">
        <v>-7.4726000000000001E-2</v>
      </c>
      <c r="N246" s="21">
        <v>0.18693100000000001</v>
      </c>
      <c r="O246" s="21">
        <v>0.71015399999999995</v>
      </c>
      <c r="P246" s="21">
        <v>0.77982600000000002</v>
      </c>
      <c r="Q246" s="21">
        <v>0.44377800000000001</v>
      </c>
      <c r="R246" s="21">
        <v>0.41600500000000001</v>
      </c>
      <c r="S246" s="21">
        <v>0.44419799999999998</v>
      </c>
      <c r="T246" s="21">
        <v>0.39725300000000002</v>
      </c>
      <c r="U246" s="21">
        <v>0.29683900000000002</v>
      </c>
      <c r="V246" s="21">
        <v>0.210956</v>
      </c>
      <c r="W246" s="20"/>
    </row>
    <row r="247" spans="1:23" x14ac:dyDescent="0.2">
      <c r="A247" s="5" t="s">
        <v>1203</v>
      </c>
      <c r="B247" s="5"/>
      <c r="C247" s="20" t="s">
        <v>52</v>
      </c>
      <c r="D247" s="20" t="s">
        <v>52</v>
      </c>
      <c r="E247" s="20" t="s">
        <v>52</v>
      </c>
      <c r="F247" s="21">
        <v>1.764812</v>
      </c>
      <c r="G247" s="21">
        <v>0.43125999999999998</v>
      </c>
      <c r="H247" s="21">
        <v>0.18806200000000001</v>
      </c>
      <c r="I247" s="21">
        <v>0.15085799999999999</v>
      </c>
      <c r="J247" s="21">
        <v>0.45897700000000002</v>
      </c>
      <c r="K247" s="21">
        <v>0.35220600000000002</v>
      </c>
      <c r="L247" s="21">
        <v>-1.0411999999999999E-2</v>
      </c>
      <c r="M247" s="21">
        <v>-7.4726000000000001E-2</v>
      </c>
      <c r="N247" s="21">
        <v>0.18693100000000001</v>
      </c>
      <c r="O247" s="21">
        <v>0.71015399999999995</v>
      </c>
      <c r="P247" s="21">
        <v>0.77982600000000002</v>
      </c>
      <c r="Q247" s="21">
        <v>0.44377800000000001</v>
      </c>
      <c r="R247" s="21">
        <v>0.41600500000000001</v>
      </c>
      <c r="S247" s="21">
        <v>0.44419799999999998</v>
      </c>
      <c r="T247" s="21">
        <v>0.39725300000000002</v>
      </c>
      <c r="U247" s="21">
        <v>0.29683900000000002</v>
      </c>
      <c r="V247" s="21">
        <v>0.210956</v>
      </c>
      <c r="W247" s="20"/>
    </row>
    <row r="248" spans="1:23" x14ac:dyDescent="0.2">
      <c r="A248" s="5" t="s">
        <v>1204</v>
      </c>
      <c r="B248" s="5"/>
      <c r="C248" s="20" t="s">
        <v>52</v>
      </c>
      <c r="D248" s="20" t="s">
        <v>52</v>
      </c>
      <c r="E248" s="20" t="s">
        <v>52</v>
      </c>
      <c r="F248" s="21" t="s">
        <v>1173</v>
      </c>
      <c r="G248" s="21">
        <v>0.49480800000000003</v>
      </c>
      <c r="H248" s="21">
        <v>0.13688600000000001</v>
      </c>
      <c r="I248" s="21">
        <v>0.100725</v>
      </c>
      <c r="J248" s="21">
        <v>0.48402600000000001</v>
      </c>
      <c r="K248" s="21">
        <v>0.55343299999999995</v>
      </c>
      <c r="L248" s="21">
        <v>7.5510999999999995E-2</v>
      </c>
      <c r="M248" s="21">
        <v>-0.117964</v>
      </c>
      <c r="N248" s="21">
        <v>7.1722999999999995E-2</v>
      </c>
      <c r="O248" s="21">
        <v>0.68549599999999999</v>
      </c>
      <c r="P248" s="21">
        <v>0.85365199999999997</v>
      </c>
      <c r="Q248" s="21">
        <v>0.50610299999999997</v>
      </c>
      <c r="R248" s="21">
        <v>0.43267699999999998</v>
      </c>
      <c r="S248" s="21">
        <v>0.495002</v>
      </c>
      <c r="T248" s="21">
        <v>0.428512</v>
      </c>
      <c r="U248" s="21">
        <v>0.33351900000000001</v>
      </c>
      <c r="V248" s="21">
        <v>0.218585</v>
      </c>
      <c r="W248" s="20"/>
    </row>
    <row r="249" spans="1:23" x14ac:dyDescent="0.2">
      <c r="A249" s="5" t="s">
        <v>1205</v>
      </c>
      <c r="B249" s="5"/>
      <c r="C249" s="20" t="s">
        <v>52</v>
      </c>
      <c r="D249" s="20" t="s">
        <v>52</v>
      </c>
      <c r="E249" s="20" t="s">
        <v>52</v>
      </c>
      <c r="F249" s="21" t="s">
        <v>1173</v>
      </c>
      <c r="G249" s="21">
        <v>0.32681399999999999</v>
      </c>
      <c r="H249" s="21">
        <v>7.6000999999999999E-2</v>
      </c>
      <c r="I249" s="21">
        <v>0.31698100000000001</v>
      </c>
      <c r="J249" s="21">
        <v>0.81409100000000001</v>
      </c>
      <c r="K249" s="21">
        <v>0.856437</v>
      </c>
      <c r="L249" s="21">
        <v>7.5510999999999995E-2</v>
      </c>
      <c r="M249" s="21">
        <v>-0.117964</v>
      </c>
      <c r="N249" s="21">
        <v>7.1722999999999995E-2</v>
      </c>
      <c r="O249" s="21">
        <v>0.68549599999999999</v>
      </c>
      <c r="P249" s="21">
        <v>0.85365199999999997</v>
      </c>
      <c r="Q249" s="21">
        <v>0.50610299999999997</v>
      </c>
      <c r="R249" s="21">
        <v>0.43267699999999998</v>
      </c>
      <c r="S249" s="21">
        <v>0.495002</v>
      </c>
      <c r="T249" s="21">
        <v>0.428512</v>
      </c>
      <c r="U249" s="21">
        <v>0.33351900000000001</v>
      </c>
      <c r="V249" s="21">
        <v>0.218585</v>
      </c>
      <c r="W249" s="20"/>
    </row>
    <row r="250" spans="1:23" x14ac:dyDescent="0.2">
      <c r="A250" s="5" t="s">
        <v>1206</v>
      </c>
      <c r="B250" s="5"/>
      <c r="C250" s="20" t="s">
        <v>52</v>
      </c>
      <c r="D250" s="20" t="s">
        <v>52</v>
      </c>
      <c r="E250" s="20" t="s">
        <v>52</v>
      </c>
      <c r="F250" s="21">
        <v>1.1951719999999999</v>
      </c>
      <c r="G250" s="21">
        <v>0.25102099999999999</v>
      </c>
      <c r="H250" s="21">
        <v>6.8478999999999998E-2</v>
      </c>
      <c r="I250" s="21">
        <v>0.41585800000000001</v>
      </c>
      <c r="J250" s="21">
        <v>1.019104</v>
      </c>
      <c r="K250" s="21">
        <v>1.2124490000000001</v>
      </c>
      <c r="L250" s="21">
        <v>1.7426000000000001E-2</v>
      </c>
      <c r="M250" s="21">
        <v>-6.8963999999999998E-2</v>
      </c>
      <c r="N250" s="21">
        <v>-9.8919999999999998E-3</v>
      </c>
      <c r="O250" s="21">
        <v>0.70713999999999999</v>
      </c>
      <c r="P250" s="21">
        <v>0.77610900000000005</v>
      </c>
      <c r="Q250" s="21">
        <v>0.42349100000000001</v>
      </c>
      <c r="R250" s="21">
        <v>0.39383600000000002</v>
      </c>
      <c r="S250" s="21">
        <v>0.43346600000000002</v>
      </c>
      <c r="T250" s="21">
        <v>0.39909099999999997</v>
      </c>
      <c r="U250" s="21">
        <v>0.296541</v>
      </c>
      <c r="V250" s="21">
        <v>0.21049799999999999</v>
      </c>
      <c r="W250" s="20"/>
    </row>
    <row r="251" spans="1:23" x14ac:dyDescent="0.2">
      <c r="A251" s="5" t="s">
        <v>1207</v>
      </c>
      <c r="B251" s="5"/>
      <c r="C251" s="20" t="s">
        <v>52</v>
      </c>
      <c r="D251" s="20" t="s">
        <v>52</v>
      </c>
      <c r="E251" s="20" t="s">
        <v>52</v>
      </c>
      <c r="F251" s="20" t="s">
        <v>52</v>
      </c>
      <c r="G251" s="21">
        <v>0.32681399999999999</v>
      </c>
      <c r="H251" s="21">
        <v>2.6627999999999999E-2</v>
      </c>
      <c r="I251" s="21">
        <v>-0.73180900000000004</v>
      </c>
      <c r="J251" s="21">
        <v>-0.63057300000000005</v>
      </c>
      <c r="K251" s="21">
        <v>-0.603769</v>
      </c>
      <c r="L251" s="21">
        <v>6.4641000000000004E-2</v>
      </c>
      <c r="M251" s="21">
        <v>-0.12693599999999999</v>
      </c>
      <c r="N251" s="21">
        <v>6.0816000000000002E-2</v>
      </c>
      <c r="O251" s="21">
        <v>0.68412899999999999</v>
      </c>
      <c r="P251" s="21">
        <v>0.851684</v>
      </c>
      <c r="Q251" s="21">
        <v>0.50397000000000003</v>
      </c>
      <c r="R251" s="21">
        <v>0.43170900000000001</v>
      </c>
      <c r="S251" s="21">
        <v>0.48300300000000002</v>
      </c>
      <c r="T251" s="21">
        <v>0.40150999999999998</v>
      </c>
      <c r="U251" s="20" t="s">
        <v>52</v>
      </c>
      <c r="V251" s="20" t="s">
        <v>52</v>
      </c>
      <c r="W251" s="20"/>
    </row>
    <row r="252" spans="1:23" x14ac:dyDescent="0.2">
      <c r="A252" s="5"/>
      <c r="B252" s="5"/>
      <c r="C252" s="5"/>
      <c r="D252" s="5"/>
      <c r="E252" s="5"/>
      <c r="F252" s="5"/>
      <c r="G252" s="5"/>
      <c r="H252" s="5"/>
      <c r="I252" s="5"/>
      <c r="J252" s="5"/>
      <c r="K252" s="5"/>
      <c r="L252" s="5"/>
      <c r="M252" s="5"/>
      <c r="N252" s="5"/>
      <c r="O252" s="5"/>
      <c r="P252" s="5"/>
      <c r="Q252" s="5"/>
      <c r="R252" s="5"/>
      <c r="S252" s="5"/>
      <c r="T252" s="5"/>
      <c r="U252" s="5"/>
      <c r="V252" s="5"/>
      <c r="W252" s="5"/>
    </row>
    <row r="253" spans="1:23" x14ac:dyDescent="0.2">
      <c r="A253" s="5" t="s">
        <v>1208</v>
      </c>
      <c r="B253" s="5"/>
      <c r="C253" s="20" t="s">
        <v>52</v>
      </c>
      <c r="D253" s="20" t="s">
        <v>52</v>
      </c>
      <c r="E253" s="20" t="s">
        <v>52</v>
      </c>
      <c r="F253" s="21">
        <v>0.962449</v>
      </c>
      <c r="G253" s="21">
        <v>0.66224300000000003</v>
      </c>
      <c r="H253" s="21">
        <v>0.44017299999999998</v>
      </c>
      <c r="I253" s="21">
        <v>0.57090300000000005</v>
      </c>
      <c r="J253" s="21">
        <v>0.214473</v>
      </c>
      <c r="K253" s="21">
        <v>0.246665</v>
      </c>
      <c r="L253" s="21">
        <v>-8.0438999999999997E-2</v>
      </c>
      <c r="M253" s="21">
        <v>0.15110799999999999</v>
      </c>
      <c r="N253" s="21">
        <v>0.125004</v>
      </c>
      <c r="O253" s="21">
        <v>0.14618700000000001</v>
      </c>
      <c r="P253" s="21">
        <v>0.10077</v>
      </c>
      <c r="Q253" s="21">
        <v>0.16483900000000001</v>
      </c>
      <c r="R253" s="21">
        <v>0.34143299999999999</v>
      </c>
      <c r="S253" s="21">
        <v>0.48097899999999999</v>
      </c>
      <c r="T253" s="21">
        <v>0.39329799999999998</v>
      </c>
      <c r="U253" s="21">
        <v>0.26012099999999999</v>
      </c>
      <c r="V253" s="21">
        <v>0.20088300000000001</v>
      </c>
      <c r="W253" s="20"/>
    </row>
    <row r="254" spans="1:23" x14ac:dyDescent="0.2">
      <c r="A254" s="5" t="s">
        <v>1209</v>
      </c>
      <c r="B254" s="5"/>
      <c r="C254" s="20" t="s">
        <v>52</v>
      </c>
      <c r="D254" s="20" t="s">
        <v>52</v>
      </c>
      <c r="E254" s="20" t="s">
        <v>52</v>
      </c>
      <c r="F254" s="21">
        <v>-0.32901999999999998</v>
      </c>
      <c r="G254" s="21">
        <v>0.46338600000000002</v>
      </c>
      <c r="H254" s="21">
        <v>0.73705100000000001</v>
      </c>
      <c r="I254" s="21">
        <v>2.0084789999999999</v>
      </c>
      <c r="J254" s="21">
        <v>0.18951100000000001</v>
      </c>
      <c r="K254" s="21">
        <v>-9.8960000000000006E-2</v>
      </c>
      <c r="L254" s="21">
        <v>-0.41922799999999999</v>
      </c>
      <c r="M254" s="21">
        <v>-0.15992999999999999</v>
      </c>
      <c r="N254" s="21">
        <v>0.180565</v>
      </c>
      <c r="O254" s="21">
        <v>0.17102600000000001</v>
      </c>
      <c r="P254" s="21">
        <v>0.155247</v>
      </c>
      <c r="Q254" s="21">
        <v>0.27251300000000001</v>
      </c>
      <c r="R254" s="21">
        <v>0.37229299999999999</v>
      </c>
      <c r="S254" s="21">
        <v>0.96666399999999997</v>
      </c>
      <c r="T254" s="21">
        <v>0.72665199999999996</v>
      </c>
      <c r="U254" s="21">
        <v>0.62703100000000001</v>
      </c>
      <c r="V254" s="21">
        <v>9.7269999999999995E-2</v>
      </c>
      <c r="W254" s="20"/>
    </row>
    <row r="255" spans="1:23" x14ac:dyDescent="0.2">
      <c r="A255" s="5" t="s">
        <v>1210</v>
      </c>
      <c r="B255" s="5"/>
      <c r="C255" s="20" t="s">
        <v>52</v>
      </c>
      <c r="D255" s="20" t="s">
        <v>52</v>
      </c>
      <c r="E255" s="20" t="s">
        <v>52</v>
      </c>
      <c r="F255" s="21">
        <v>0.31259300000000001</v>
      </c>
      <c r="G255" s="21">
        <v>0.390737</v>
      </c>
      <c r="H255" s="21">
        <v>0.29975200000000002</v>
      </c>
      <c r="I255" s="21">
        <v>0.112099</v>
      </c>
      <c r="J255" s="21">
        <v>-5.4247999999999998E-2</v>
      </c>
      <c r="K255" s="21">
        <v>0.101296</v>
      </c>
      <c r="L255" s="21">
        <v>0.17648800000000001</v>
      </c>
      <c r="M255" s="21">
        <v>1.9879999999999998E-2</v>
      </c>
      <c r="N255" s="21">
        <v>-0.132157</v>
      </c>
      <c r="O255" s="21">
        <v>-2.4066000000000001E-2</v>
      </c>
      <c r="P255" s="21">
        <v>4.6037000000000002E-2</v>
      </c>
      <c r="Q255" s="21">
        <v>-6.2952999999999995E-2</v>
      </c>
      <c r="R255" s="21">
        <v>7.4209999999999998E-2</v>
      </c>
      <c r="S255" s="21">
        <v>1.18401</v>
      </c>
      <c r="T255" s="21">
        <v>1.580373</v>
      </c>
      <c r="U255" s="21">
        <v>1.1070660000000001</v>
      </c>
      <c r="V255" s="21">
        <v>0.14210300000000001</v>
      </c>
      <c r="W255" s="20"/>
    </row>
    <row r="256" spans="1:23" x14ac:dyDescent="0.2">
      <c r="A256" s="5" t="s">
        <v>1079</v>
      </c>
      <c r="B256" s="5"/>
      <c r="C256" s="20" t="s">
        <v>52</v>
      </c>
      <c r="D256" s="20" t="s">
        <v>52</v>
      </c>
      <c r="E256" s="20" t="s">
        <v>52</v>
      </c>
      <c r="F256" s="21">
        <v>0.76691799999999999</v>
      </c>
      <c r="G256" s="21">
        <v>0.612209</v>
      </c>
      <c r="H256" s="21">
        <v>0.42502099999999998</v>
      </c>
      <c r="I256" s="21">
        <v>0.57698000000000005</v>
      </c>
      <c r="J256" s="21">
        <v>0.28254000000000001</v>
      </c>
      <c r="K256" s="21">
        <v>0.27841399999999999</v>
      </c>
      <c r="L256" s="21">
        <v>-4.0821000000000003E-2</v>
      </c>
      <c r="M256" s="21">
        <v>6.6397999999999999E-2</v>
      </c>
      <c r="N256" s="21">
        <v>0.16955799999999999</v>
      </c>
      <c r="O256" s="21">
        <v>0.23264199999999999</v>
      </c>
      <c r="P256" s="21">
        <v>0.28951100000000002</v>
      </c>
      <c r="Q256" s="21">
        <v>0.19549</v>
      </c>
      <c r="R256" s="21">
        <v>0.24268100000000001</v>
      </c>
      <c r="S256" s="21">
        <v>0.37573600000000001</v>
      </c>
      <c r="T256" s="21">
        <v>0.335171</v>
      </c>
      <c r="U256" s="21">
        <v>0.35913299999999998</v>
      </c>
      <c r="V256" s="21">
        <v>0.31321599999999999</v>
      </c>
      <c r="W256" s="20"/>
    </row>
    <row r="257" spans="1:23" x14ac:dyDescent="0.2">
      <c r="A257" s="5"/>
      <c r="B257" s="5"/>
      <c r="C257" s="5"/>
      <c r="D257" s="5"/>
      <c r="E257" s="5"/>
      <c r="F257" s="5"/>
      <c r="G257" s="5"/>
      <c r="H257" s="5"/>
      <c r="I257" s="5"/>
      <c r="J257" s="5"/>
      <c r="K257" s="5"/>
      <c r="L257" s="5"/>
      <c r="M257" s="5"/>
      <c r="N257" s="5"/>
      <c r="O257" s="5"/>
      <c r="P257" s="5"/>
      <c r="Q257" s="5"/>
      <c r="R257" s="5"/>
      <c r="S257" s="5"/>
      <c r="T257" s="5"/>
      <c r="U257" s="5"/>
      <c r="V257" s="5"/>
      <c r="W257" s="5"/>
    </row>
    <row r="258" spans="1:23" x14ac:dyDescent="0.2">
      <c r="A258" s="5" t="s">
        <v>1211</v>
      </c>
      <c r="B258" s="5"/>
      <c r="C258" s="20" t="s">
        <v>52</v>
      </c>
      <c r="D258" s="20" t="s">
        <v>52</v>
      </c>
      <c r="E258" s="20" t="s">
        <v>52</v>
      </c>
      <c r="F258" s="21">
        <v>1.583035</v>
      </c>
      <c r="G258" s="21">
        <v>0.838121</v>
      </c>
      <c r="H258" s="21">
        <v>0.45400699999999999</v>
      </c>
      <c r="I258" s="21">
        <v>0.55104399999999998</v>
      </c>
      <c r="J258" s="21">
        <v>0.57926800000000001</v>
      </c>
      <c r="K258" s="21">
        <v>0.65929099999999996</v>
      </c>
      <c r="L258" s="21">
        <v>0.14279700000000001</v>
      </c>
      <c r="M258" s="21">
        <v>0.12709200000000001</v>
      </c>
      <c r="N258" s="21">
        <v>0.12640799999999999</v>
      </c>
      <c r="O258" s="21">
        <v>0.46537099999999998</v>
      </c>
      <c r="P258" s="21">
        <v>0.51429999999999998</v>
      </c>
      <c r="Q258" s="21">
        <v>0.253002</v>
      </c>
      <c r="R258" s="21">
        <v>0.36199799999999999</v>
      </c>
      <c r="S258" s="21">
        <v>0.40343800000000002</v>
      </c>
      <c r="T258" s="21">
        <v>0.53881800000000002</v>
      </c>
      <c r="U258" s="21">
        <v>0.42064499999999999</v>
      </c>
      <c r="V258" s="21">
        <v>0.32187199999999999</v>
      </c>
      <c r="W258" s="20"/>
    </row>
    <row r="259" spans="1:23" x14ac:dyDescent="0.2">
      <c r="A259" s="5" t="s">
        <v>1212</v>
      </c>
      <c r="B259" s="5"/>
      <c r="C259" s="20" t="s">
        <v>52</v>
      </c>
      <c r="D259" s="20" t="s">
        <v>52</v>
      </c>
      <c r="E259" s="20" t="s">
        <v>52</v>
      </c>
      <c r="F259" s="21">
        <v>1.451848</v>
      </c>
      <c r="G259" s="21">
        <v>0.838121</v>
      </c>
      <c r="H259" s="21">
        <v>0.45400699999999999</v>
      </c>
      <c r="I259" s="21">
        <v>0.65735900000000003</v>
      </c>
      <c r="J259" s="21">
        <v>0.57926800000000001</v>
      </c>
      <c r="K259" s="21">
        <v>0.65929099999999996</v>
      </c>
      <c r="L259" s="21">
        <v>6.9489999999999996E-2</v>
      </c>
      <c r="M259" s="21">
        <v>0.12709200000000001</v>
      </c>
      <c r="N259" s="21">
        <v>0.12640799999999999</v>
      </c>
      <c r="O259" s="21">
        <v>0.46537099999999998</v>
      </c>
      <c r="P259" s="21">
        <v>0.51429999999999998</v>
      </c>
      <c r="Q259" s="21">
        <v>0.253002</v>
      </c>
      <c r="R259" s="21">
        <v>0.36199799999999999</v>
      </c>
      <c r="S259" s="21">
        <v>0.40343800000000002</v>
      </c>
      <c r="T259" s="21">
        <v>0.54314300000000004</v>
      </c>
      <c r="U259" s="21">
        <v>0.42408699999999999</v>
      </c>
      <c r="V259" s="21">
        <v>0.32398500000000002</v>
      </c>
      <c r="W259" s="20"/>
    </row>
    <row r="260" spans="1:23" x14ac:dyDescent="0.2">
      <c r="A260" s="5" t="s">
        <v>1213</v>
      </c>
      <c r="B260" s="5"/>
      <c r="C260" s="20" t="s">
        <v>52</v>
      </c>
      <c r="D260" s="20" t="s">
        <v>52</v>
      </c>
      <c r="E260" s="20" t="s">
        <v>52</v>
      </c>
      <c r="F260" s="21" t="s">
        <v>1173</v>
      </c>
      <c r="G260" s="21" t="s">
        <v>1173</v>
      </c>
      <c r="H260" s="21">
        <v>0.51235600000000003</v>
      </c>
      <c r="I260" s="21" t="s">
        <v>1173</v>
      </c>
      <c r="J260" s="21" t="s">
        <v>1173</v>
      </c>
      <c r="K260" s="21" t="s">
        <v>1173</v>
      </c>
      <c r="L260" s="21" t="s">
        <v>1173</v>
      </c>
      <c r="M260" s="21">
        <v>-0.57266099999999998</v>
      </c>
      <c r="N260" s="21" t="s">
        <v>1173</v>
      </c>
      <c r="O260" s="21" t="s">
        <v>1173</v>
      </c>
      <c r="P260" s="21">
        <v>1.6293169999999999</v>
      </c>
      <c r="Q260" s="21">
        <v>0.33000400000000002</v>
      </c>
      <c r="R260" s="21">
        <v>-0.39311699999999999</v>
      </c>
      <c r="S260" s="21">
        <v>0.244506</v>
      </c>
      <c r="T260" s="21">
        <v>0.25462299999999999</v>
      </c>
      <c r="U260" s="21">
        <v>1.9027579999999999</v>
      </c>
      <c r="V260" s="21">
        <v>0.48095199999999999</v>
      </c>
      <c r="W260" s="20"/>
    </row>
    <row r="261" spans="1:23" x14ac:dyDescent="0.2">
      <c r="A261" s="5" t="s">
        <v>1214</v>
      </c>
      <c r="B261" s="5"/>
      <c r="C261" s="20" t="s">
        <v>52</v>
      </c>
      <c r="D261" s="20" t="s">
        <v>52</v>
      </c>
      <c r="E261" s="20" t="s">
        <v>52</v>
      </c>
      <c r="F261" s="21">
        <v>0.80527099999999996</v>
      </c>
      <c r="G261" s="21">
        <v>0.96677400000000002</v>
      </c>
      <c r="H261" s="21">
        <v>0.203685</v>
      </c>
      <c r="I261" s="21">
        <v>-2.2689000000000001E-2</v>
      </c>
      <c r="J261" s="21">
        <v>-0.165769</v>
      </c>
      <c r="K261" s="21">
        <v>0.37048399999999998</v>
      </c>
      <c r="L261" s="21">
        <v>0.48111700000000002</v>
      </c>
      <c r="M261" s="21">
        <v>-0.112888</v>
      </c>
      <c r="N261" s="21">
        <v>-0.33810099999999998</v>
      </c>
      <c r="O261" s="21">
        <v>-4.0365999999999999E-2</v>
      </c>
      <c r="P261" s="21">
        <v>0.15917899999999999</v>
      </c>
      <c r="Q261" s="21">
        <v>0.16433500000000001</v>
      </c>
      <c r="R261" s="21">
        <v>0.35852000000000001</v>
      </c>
      <c r="S261" s="21">
        <v>2.0251999999999999</v>
      </c>
      <c r="T261" s="21">
        <v>1.2734780000000001</v>
      </c>
      <c r="U261" s="21">
        <v>0.46792299999999998</v>
      </c>
      <c r="V261" s="21">
        <v>-0.2102</v>
      </c>
      <c r="W261" s="20"/>
    </row>
    <row r="262" spans="1:23" x14ac:dyDescent="0.2">
      <c r="A262" s="5" t="s">
        <v>1215</v>
      </c>
      <c r="B262" s="5"/>
      <c r="C262" s="20" t="s">
        <v>52</v>
      </c>
      <c r="D262" s="20" t="s">
        <v>52</v>
      </c>
      <c r="E262" s="20" t="s">
        <v>52</v>
      </c>
      <c r="F262" s="20" t="s">
        <v>52</v>
      </c>
      <c r="G262" s="21" t="s">
        <v>1173</v>
      </c>
      <c r="H262" s="21" t="s">
        <v>1173</v>
      </c>
      <c r="I262" s="21" t="s">
        <v>1173</v>
      </c>
      <c r="J262" s="21" t="s">
        <v>1173</v>
      </c>
      <c r="K262" s="21" t="s">
        <v>1173</v>
      </c>
      <c r="L262" s="21" t="s">
        <v>1173</v>
      </c>
      <c r="M262" s="21">
        <v>-0.85365899999999995</v>
      </c>
      <c r="N262" s="21" t="s">
        <v>1173</v>
      </c>
      <c r="O262" s="21" t="s">
        <v>1173</v>
      </c>
      <c r="P262" s="21">
        <v>5.1879840000000002</v>
      </c>
      <c r="Q262" s="21">
        <v>0.31209900000000002</v>
      </c>
      <c r="R262" s="21" t="s">
        <v>1173</v>
      </c>
      <c r="S262" s="21">
        <v>-0.206343</v>
      </c>
      <c r="T262" s="21">
        <v>0.23037099999999999</v>
      </c>
      <c r="U262" s="21" t="s">
        <v>1173</v>
      </c>
      <c r="V262" s="21">
        <v>1.5475669999999999</v>
      </c>
      <c r="W262" s="20"/>
    </row>
    <row r="263" spans="1:23" x14ac:dyDescent="0.2">
      <c r="A263" s="5" t="s">
        <v>1216</v>
      </c>
      <c r="B263" s="5"/>
      <c r="C263" s="20" t="s">
        <v>52</v>
      </c>
      <c r="D263" s="20" t="s">
        <v>52</v>
      </c>
      <c r="E263" s="20" t="s">
        <v>52</v>
      </c>
      <c r="F263" s="20" t="s">
        <v>52</v>
      </c>
      <c r="G263" s="21" t="s">
        <v>1173</v>
      </c>
      <c r="H263" s="21" t="s">
        <v>1173</v>
      </c>
      <c r="I263" s="21" t="s">
        <v>1173</v>
      </c>
      <c r="J263" s="21" t="s">
        <v>1173</v>
      </c>
      <c r="K263" s="21" t="s">
        <v>1173</v>
      </c>
      <c r="L263" s="21" t="s">
        <v>1173</v>
      </c>
      <c r="M263" s="21">
        <v>-0.81633</v>
      </c>
      <c r="N263" s="21" t="s">
        <v>1173</v>
      </c>
      <c r="O263" s="21" t="s">
        <v>1173</v>
      </c>
      <c r="P263" s="21">
        <v>3.9289589999999999</v>
      </c>
      <c r="Q263" s="21">
        <v>0.31385099999999999</v>
      </c>
      <c r="R263" s="21" t="s">
        <v>1173</v>
      </c>
      <c r="S263" s="21">
        <v>-0.206377</v>
      </c>
      <c r="T263" s="21">
        <v>0.227853</v>
      </c>
      <c r="U263" s="21" t="s">
        <v>1173</v>
      </c>
      <c r="V263" s="21">
        <v>1.5475669999999999</v>
      </c>
      <c r="W263" s="20"/>
    </row>
    <row r="264" spans="1:23" x14ac:dyDescent="0.2">
      <c r="A264" s="5" t="s">
        <v>1217</v>
      </c>
      <c r="B264" s="5"/>
      <c r="C264" s="20" t="s">
        <v>52</v>
      </c>
      <c r="D264" s="20" t="s">
        <v>52</v>
      </c>
      <c r="E264" s="20" t="s">
        <v>52</v>
      </c>
      <c r="F264" s="20" t="s">
        <v>52</v>
      </c>
      <c r="G264" s="20" t="s">
        <v>52</v>
      </c>
      <c r="H264" s="20" t="s">
        <v>52</v>
      </c>
      <c r="I264" s="20" t="s">
        <v>52</v>
      </c>
      <c r="J264" s="20" t="s">
        <v>52</v>
      </c>
      <c r="K264" s="20" t="s">
        <v>52</v>
      </c>
      <c r="L264" s="20" t="s">
        <v>52</v>
      </c>
      <c r="M264" s="20" t="s">
        <v>52</v>
      </c>
      <c r="N264" s="20" t="s">
        <v>52</v>
      </c>
      <c r="O264" s="20" t="s">
        <v>52</v>
      </c>
      <c r="P264" s="20" t="s">
        <v>52</v>
      </c>
      <c r="Q264" s="20" t="s">
        <v>52</v>
      </c>
      <c r="R264" s="20" t="s">
        <v>52</v>
      </c>
      <c r="S264" s="20" t="s">
        <v>52</v>
      </c>
      <c r="T264" s="20" t="s">
        <v>52</v>
      </c>
      <c r="U264" s="20" t="s">
        <v>52</v>
      </c>
      <c r="V264" s="20" t="s">
        <v>52</v>
      </c>
      <c r="W264" s="20"/>
    </row>
    <row r="265" spans="1:23" x14ac:dyDescent="0.2">
      <c r="A265" s="5"/>
      <c r="B265" s="5"/>
      <c r="C265" s="5"/>
      <c r="D265" s="5"/>
      <c r="E265" s="5"/>
      <c r="F265" s="5"/>
      <c r="G265" s="5"/>
      <c r="H265" s="5"/>
      <c r="I265" s="5"/>
      <c r="J265" s="5"/>
      <c r="K265" s="5"/>
      <c r="L265" s="5"/>
      <c r="M265" s="5"/>
      <c r="N265" s="5"/>
      <c r="O265" s="5"/>
      <c r="P265" s="5"/>
      <c r="Q265" s="5"/>
      <c r="R265" s="5"/>
      <c r="S265" s="5"/>
      <c r="T265" s="5"/>
      <c r="U265" s="5"/>
      <c r="V265" s="5"/>
      <c r="W265" s="5"/>
    </row>
    <row r="266" spans="1:23" ht="10.5" x14ac:dyDescent="0.2">
      <c r="A266" s="14" t="s">
        <v>1220</v>
      </c>
      <c r="B266" s="14"/>
      <c r="C266" s="5"/>
      <c r="D266" s="5"/>
      <c r="E266" s="5"/>
      <c r="F266" s="5"/>
      <c r="G266" s="5"/>
      <c r="H266" s="5"/>
      <c r="I266" s="5"/>
      <c r="J266" s="5"/>
      <c r="K266" s="5"/>
      <c r="L266" s="5"/>
      <c r="M266" s="5"/>
      <c r="N266" s="5"/>
      <c r="O266" s="5"/>
      <c r="P266" s="5"/>
      <c r="Q266" s="5"/>
      <c r="R266" s="5"/>
      <c r="S266" s="5"/>
      <c r="T266" s="5"/>
      <c r="U266" s="5"/>
      <c r="V266" s="5"/>
      <c r="W266" s="5"/>
    </row>
    <row r="267" spans="1:23" x14ac:dyDescent="0.2">
      <c r="A267" s="5" t="s">
        <v>1199</v>
      </c>
      <c r="B267" s="5"/>
      <c r="C267" s="20" t="s">
        <v>52</v>
      </c>
      <c r="D267" s="20" t="s">
        <v>52</v>
      </c>
      <c r="E267" s="20" t="s">
        <v>52</v>
      </c>
      <c r="F267" s="20" t="s">
        <v>52</v>
      </c>
      <c r="G267" s="20" t="s">
        <v>52</v>
      </c>
      <c r="H267" s="21">
        <v>0.65758000000000005</v>
      </c>
      <c r="I267" s="21">
        <v>0.51963099999999995</v>
      </c>
      <c r="J267" s="21">
        <v>0.342976</v>
      </c>
      <c r="K267" s="21">
        <v>0.256629</v>
      </c>
      <c r="L267" s="21">
        <v>0.25466100000000003</v>
      </c>
      <c r="M267" s="21">
        <v>0.16118299999999999</v>
      </c>
      <c r="N267" s="21">
        <v>0.182171</v>
      </c>
      <c r="O267" s="21">
        <v>0.211233</v>
      </c>
      <c r="P267" s="21">
        <v>0.172097</v>
      </c>
      <c r="Q267" s="21">
        <v>0.20611199999999999</v>
      </c>
      <c r="R267" s="21">
        <v>0.26649899999999999</v>
      </c>
      <c r="S267" s="21">
        <v>0.27812599999999998</v>
      </c>
      <c r="T267" s="21">
        <v>0.30914900000000001</v>
      </c>
      <c r="U267" s="21">
        <v>0.34871400000000002</v>
      </c>
      <c r="V267" s="21">
        <v>0.32537500000000003</v>
      </c>
      <c r="W267" s="20"/>
    </row>
    <row r="268" spans="1:23" x14ac:dyDescent="0.2">
      <c r="A268" s="5" t="s">
        <v>1200</v>
      </c>
      <c r="B268" s="5"/>
      <c r="C268" s="20" t="s">
        <v>52</v>
      </c>
      <c r="D268" s="20" t="s">
        <v>52</v>
      </c>
      <c r="E268" s="20" t="s">
        <v>52</v>
      </c>
      <c r="F268" s="20" t="s">
        <v>52</v>
      </c>
      <c r="G268" s="20" t="s">
        <v>52</v>
      </c>
      <c r="H268" s="21">
        <v>0.43449100000000002</v>
      </c>
      <c r="I268" s="21">
        <v>0.421705</v>
      </c>
      <c r="J268" s="21">
        <v>0.302701</v>
      </c>
      <c r="K268" s="21">
        <v>0.253834</v>
      </c>
      <c r="L268" s="21">
        <v>0.219279</v>
      </c>
      <c r="M268" s="21">
        <v>0.190696</v>
      </c>
      <c r="N268" s="21">
        <v>0.16264999999999999</v>
      </c>
      <c r="O268" s="21">
        <v>0.21873699999999999</v>
      </c>
      <c r="P268" s="21">
        <v>0.204595</v>
      </c>
      <c r="Q268" s="21">
        <v>0.27205699999999999</v>
      </c>
      <c r="R268" s="21">
        <v>0.31872600000000001</v>
      </c>
      <c r="S268" s="21">
        <v>0.29938300000000001</v>
      </c>
      <c r="T268" s="21">
        <v>0.28973599999999999</v>
      </c>
      <c r="U268" s="21">
        <v>0.320081</v>
      </c>
      <c r="V268" s="21">
        <v>0.29226400000000002</v>
      </c>
      <c r="W268" s="20"/>
    </row>
    <row r="269" spans="1:23" x14ac:dyDescent="0.2">
      <c r="A269" s="5" t="s">
        <v>1201</v>
      </c>
      <c r="B269" s="5"/>
      <c r="C269" s="20" t="s">
        <v>52</v>
      </c>
      <c r="D269" s="20" t="s">
        <v>52</v>
      </c>
      <c r="E269" s="20" t="s">
        <v>52</v>
      </c>
      <c r="F269" s="20" t="s">
        <v>52</v>
      </c>
      <c r="G269" s="20" t="s">
        <v>52</v>
      </c>
      <c r="H269" s="21">
        <v>0.73043899999999995</v>
      </c>
      <c r="I269" s="21">
        <v>0.45768199999999998</v>
      </c>
      <c r="J269" s="21">
        <v>0.27484500000000001</v>
      </c>
      <c r="K269" s="21">
        <v>0.209702</v>
      </c>
      <c r="L269" s="21">
        <v>0.17163700000000001</v>
      </c>
      <c r="M269" s="21">
        <v>9.1647999999999993E-2</v>
      </c>
      <c r="N269" s="21">
        <v>0.18704899999999999</v>
      </c>
      <c r="O269" s="21">
        <v>0.26515899999999998</v>
      </c>
      <c r="P269" s="21">
        <v>0.28621099999999999</v>
      </c>
      <c r="Q269" s="21">
        <v>0.49868000000000001</v>
      </c>
      <c r="R269" s="21">
        <v>0.61899099999999996</v>
      </c>
      <c r="S269" s="21">
        <v>0.46055699999999999</v>
      </c>
      <c r="T269" s="21">
        <v>0.37255199999999999</v>
      </c>
      <c r="U269" s="21">
        <v>0.37042799999999998</v>
      </c>
      <c r="V269" s="21">
        <v>0.32050000000000001</v>
      </c>
      <c r="W269" s="20"/>
    </row>
    <row r="270" spans="1:23" x14ac:dyDescent="0.2">
      <c r="A270" s="5" t="s">
        <v>1202</v>
      </c>
      <c r="B270" s="5"/>
      <c r="C270" s="20" t="s">
        <v>52</v>
      </c>
      <c r="D270" s="20" t="s">
        <v>52</v>
      </c>
      <c r="E270" s="20" t="s">
        <v>52</v>
      </c>
      <c r="F270" s="20" t="s">
        <v>52</v>
      </c>
      <c r="G270" s="20" t="s">
        <v>52</v>
      </c>
      <c r="H270" s="21">
        <v>0.85466399999999998</v>
      </c>
      <c r="I270" s="21">
        <v>0.466754</v>
      </c>
      <c r="J270" s="21">
        <v>0.28073300000000001</v>
      </c>
      <c r="K270" s="21">
        <v>0.207513</v>
      </c>
      <c r="L270" s="21">
        <v>0.16545000000000001</v>
      </c>
      <c r="M270" s="21">
        <v>0.102344</v>
      </c>
      <c r="N270" s="21">
        <v>0.21963199999999999</v>
      </c>
      <c r="O270" s="21">
        <v>0.28199400000000002</v>
      </c>
      <c r="P270" s="21">
        <v>0.29992400000000002</v>
      </c>
      <c r="Q270" s="21">
        <v>0.54298500000000005</v>
      </c>
      <c r="R270" s="21">
        <v>0.65486500000000003</v>
      </c>
      <c r="S270" s="21">
        <v>0.462308</v>
      </c>
      <c r="T270" s="21">
        <v>0.36680099999999999</v>
      </c>
      <c r="U270" s="21">
        <v>0.36857200000000001</v>
      </c>
      <c r="V270" s="21">
        <v>0.31587799999999999</v>
      </c>
      <c r="W270" s="20"/>
    </row>
    <row r="271" spans="1:23" x14ac:dyDescent="0.2">
      <c r="A271" s="5" t="s">
        <v>1203</v>
      </c>
      <c r="B271" s="5"/>
      <c r="C271" s="20" t="s">
        <v>52</v>
      </c>
      <c r="D271" s="20" t="s">
        <v>52</v>
      </c>
      <c r="E271" s="20" t="s">
        <v>52</v>
      </c>
      <c r="F271" s="20" t="s">
        <v>52</v>
      </c>
      <c r="G271" s="20" t="s">
        <v>52</v>
      </c>
      <c r="H271" s="21">
        <v>0.85466399999999998</v>
      </c>
      <c r="I271" s="21">
        <v>0.45429399999999998</v>
      </c>
      <c r="J271" s="21">
        <v>0.28073300000000001</v>
      </c>
      <c r="K271" s="21">
        <v>0.207513</v>
      </c>
      <c r="L271" s="21">
        <v>0.16545000000000001</v>
      </c>
      <c r="M271" s="21">
        <v>0.102344</v>
      </c>
      <c r="N271" s="21">
        <v>0.23008100000000001</v>
      </c>
      <c r="O271" s="21">
        <v>0.28199400000000002</v>
      </c>
      <c r="P271" s="21">
        <v>0.29992400000000002</v>
      </c>
      <c r="Q271" s="21">
        <v>0.54298500000000005</v>
      </c>
      <c r="R271" s="21">
        <v>0.65486500000000003</v>
      </c>
      <c r="S271" s="21">
        <v>0.462308</v>
      </c>
      <c r="T271" s="21">
        <v>0.36680099999999999</v>
      </c>
      <c r="U271" s="21">
        <v>0.36857200000000001</v>
      </c>
      <c r="V271" s="21">
        <v>0.31587799999999999</v>
      </c>
      <c r="W271" s="20"/>
    </row>
    <row r="272" spans="1:23" x14ac:dyDescent="0.2">
      <c r="A272" s="5" t="s">
        <v>1204</v>
      </c>
      <c r="B272" s="5"/>
      <c r="C272" s="20" t="s">
        <v>52</v>
      </c>
      <c r="D272" s="20" t="s">
        <v>52</v>
      </c>
      <c r="E272" s="20" t="s">
        <v>52</v>
      </c>
      <c r="F272" s="20" t="s">
        <v>52</v>
      </c>
      <c r="G272" s="20" t="s">
        <v>52</v>
      </c>
      <c r="H272" s="21" t="s">
        <v>1173</v>
      </c>
      <c r="I272" s="21">
        <v>0.43591099999999999</v>
      </c>
      <c r="J272" s="21">
        <v>0.31032100000000001</v>
      </c>
      <c r="K272" s="21">
        <v>0.277391</v>
      </c>
      <c r="L272" s="21">
        <v>0.17854300000000001</v>
      </c>
      <c r="M272" s="21">
        <v>0.125224</v>
      </c>
      <c r="N272" s="21">
        <v>0.25708999999999999</v>
      </c>
      <c r="O272" s="21">
        <v>0.272088</v>
      </c>
      <c r="P272" s="21">
        <v>0.25106699999999998</v>
      </c>
      <c r="Q272" s="21">
        <v>0.53854500000000005</v>
      </c>
      <c r="R272" s="21">
        <v>0.70182199999999995</v>
      </c>
      <c r="S272" s="21">
        <v>0.52762200000000004</v>
      </c>
      <c r="T272" s="21">
        <v>0.39316899999999999</v>
      </c>
      <c r="U272" s="21">
        <v>0.39667999999999998</v>
      </c>
      <c r="V272" s="21">
        <v>0.34529199999999999</v>
      </c>
      <c r="W272" s="20"/>
    </row>
    <row r="273" spans="1:23" x14ac:dyDescent="0.2">
      <c r="A273" s="5" t="s">
        <v>1205</v>
      </c>
      <c r="B273" s="5"/>
      <c r="C273" s="20" t="s">
        <v>52</v>
      </c>
      <c r="D273" s="20" t="s">
        <v>52</v>
      </c>
      <c r="E273" s="20" t="s">
        <v>52</v>
      </c>
      <c r="F273" s="20" t="s">
        <v>52</v>
      </c>
      <c r="G273" s="20" t="s">
        <v>52</v>
      </c>
      <c r="H273" s="21" t="s">
        <v>1173</v>
      </c>
      <c r="I273" s="21">
        <v>0.50797099999999995</v>
      </c>
      <c r="J273" s="21">
        <v>0.41080699999999998</v>
      </c>
      <c r="K273" s="21">
        <v>0.42254000000000003</v>
      </c>
      <c r="L273" s="21">
        <v>0.32946199999999998</v>
      </c>
      <c r="M273" s="21">
        <v>0.25219399999999997</v>
      </c>
      <c r="N273" s="21">
        <v>0.25708999999999999</v>
      </c>
      <c r="O273" s="21">
        <v>0.272088</v>
      </c>
      <c r="P273" s="21">
        <v>0.25106699999999998</v>
      </c>
      <c r="Q273" s="21">
        <v>0.53854500000000005</v>
      </c>
      <c r="R273" s="21">
        <v>0.70182199999999995</v>
      </c>
      <c r="S273" s="21">
        <v>0.52762200000000004</v>
      </c>
      <c r="T273" s="21">
        <v>0.39316899999999999</v>
      </c>
      <c r="U273" s="21">
        <v>0.39667999999999998</v>
      </c>
      <c r="V273" s="21">
        <v>0.34529199999999999</v>
      </c>
      <c r="W273" s="20"/>
    </row>
    <row r="274" spans="1:23" x14ac:dyDescent="0.2">
      <c r="A274" s="5" t="s">
        <v>1206</v>
      </c>
      <c r="B274" s="5"/>
      <c r="C274" s="20" t="s">
        <v>52</v>
      </c>
      <c r="D274" s="20" t="s">
        <v>52</v>
      </c>
      <c r="E274" s="20" t="s">
        <v>52</v>
      </c>
      <c r="F274" s="20" t="s">
        <v>52</v>
      </c>
      <c r="G274" s="20" t="s">
        <v>52</v>
      </c>
      <c r="H274" s="21">
        <v>0.53831300000000004</v>
      </c>
      <c r="I274" s="21">
        <v>0.61622299999999997</v>
      </c>
      <c r="J274" s="21">
        <v>0.44098900000000002</v>
      </c>
      <c r="K274" s="21">
        <v>0.545566</v>
      </c>
      <c r="L274" s="21">
        <v>0.42772399999999999</v>
      </c>
      <c r="M274" s="21">
        <v>0.32672400000000001</v>
      </c>
      <c r="N274" s="21">
        <v>0.247054</v>
      </c>
      <c r="O274" s="21">
        <v>0.29095300000000002</v>
      </c>
      <c r="P274" s="21">
        <v>0.16289000000000001</v>
      </c>
      <c r="Q274" s="21">
        <v>0.52544500000000005</v>
      </c>
      <c r="R274" s="21">
        <v>0.64459</v>
      </c>
      <c r="S274" s="21">
        <v>0.45198199999999999</v>
      </c>
      <c r="T274" s="21">
        <v>0.35376299999999999</v>
      </c>
      <c r="U274" s="21">
        <v>0.36159400000000003</v>
      </c>
      <c r="V274" s="21">
        <v>0.31742799999999999</v>
      </c>
      <c r="W274" s="20"/>
    </row>
    <row r="275" spans="1:23" x14ac:dyDescent="0.2">
      <c r="A275" s="5" t="s">
        <v>1207</v>
      </c>
      <c r="B275" s="5"/>
      <c r="C275" s="20" t="s">
        <v>52</v>
      </c>
      <c r="D275" s="20" t="s">
        <v>52</v>
      </c>
      <c r="E275" s="20" t="s">
        <v>52</v>
      </c>
      <c r="F275" s="20" t="s">
        <v>52</v>
      </c>
      <c r="G275" s="20" t="s">
        <v>52</v>
      </c>
      <c r="H275" s="20" t="s">
        <v>52</v>
      </c>
      <c r="I275" s="21">
        <v>-0.41961599999999999</v>
      </c>
      <c r="J275" s="21">
        <v>-0.45701399999999998</v>
      </c>
      <c r="K275" s="21">
        <v>-0.45249800000000001</v>
      </c>
      <c r="L275" s="21">
        <v>-0.49143199999999998</v>
      </c>
      <c r="M275" s="21">
        <v>-0.50731499999999996</v>
      </c>
      <c r="N275" s="21">
        <v>0.24939800000000001</v>
      </c>
      <c r="O275" s="21">
        <v>0.26374199999999998</v>
      </c>
      <c r="P275" s="21">
        <v>0.24262400000000001</v>
      </c>
      <c r="Q275" s="21">
        <v>0.53717199999999998</v>
      </c>
      <c r="R275" s="21">
        <v>0.70037099999999997</v>
      </c>
      <c r="S275" s="21">
        <v>0.51929000000000003</v>
      </c>
      <c r="T275" s="21">
        <v>0.37674999999999997</v>
      </c>
      <c r="U275" s="20" t="s">
        <v>52</v>
      </c>
      <c r="V275" s="20" t="s">
        <v>52</v>
      </c>
      <c r="W275" s="20"/>
    </row>
    <row r="276" spans="1:23" x14ac:dyDescent="0.2">
      <c r="A276" s="5"/>
      <c r="B276" s="5"/>
      <c r="C276" s="5"/>
      <c r="D276" s="5"/>
      <c r="E276" s="5"/>
      <c r="F276" s="5"/>
      <c r="G276" s="5"/>
      <c r="H276" s="5"/>
      <c r="I276" s="5"/>
      <c r="J276" s="5"/>
      <c r="K276" s="5"/>
      <c r="L276" s="5"/>
      <c r="M276" s="5"/>
      <c r="N276" s="5"/>
      <c r="O276" s="5"/>
      <c r="P276" s="5"/>
      <c r="Q276" s="5"/>
      <c r="R276" s="5"/>
      <c r="S276" s="5"/>
      <c r="T276" s="5"/>
      <c r="U276" s="5"/>
      <c r="V276" s="5"/>
      <c r="W276" s="5"/>
    </row>
    <row r="277" spans="1:23" x14ac:dyDescent="0.2">
      <c r="A277" s="5" t="s">
        <v>1208</v>
      </c>
      <c r="B277" s="5"/>
      <c r="C277" s="20" t="s">
        <v>52</v>
      </c>
      <c r="D277" s="20" t="s">
        <v>52</v>
      </c>
      <c r="E277" s="20" t="s">
        <v>52</v>
      </c>
      <c r="F277" s="20" t="s">
        <v>52</v>
      </c>
      <c r="G277" s="20" t="s">
        <v>52</v>
      </c>
      <c r="H277" s="21">
        <v>0.64430399999999999</v>
      </c>
      <c r="I277" s="21">
        <v>0.68736299999999995</v>
      </c>
      <c r="J277" s="21">
        <v>0.34361900000000001</v>
      </c>
      <c r="K277" s="21">
        <v>0.25242900000000001</v>
      </c>
      <c r="L277" s="21">
        <v>0.18287800000000001</v>
      </c>
      <c r="M277" s="21">
        <v>0.174619</v>
      </c>
      <c r="N277" s="21">
        <v>2.5076000000000001E-2</v>
      </c>
      <c r="O277" s="21">
        <v>0.142512</v>
      </c>
      <c r="P277" s="21">
        <v>9.0095999999999996E-2</v>
      </c>
      <c r="Q277" s="21">
        <v>0.18131900000000001</v>
      </c>
      <c r="R277" s="21">
        <v>0.25236999999999998</v>
      </c>
      <c r="S277" s="21">
        <v>0.28558800000000001</v>
      </c>
      <c r="T277" s="21">
        <v>0.328129</v>
      </c>
      <c r="U277" s="21">
        <v>0.35819499999999999</v>
      </c>
      <c r="V277" s="21">
        <v>0.30930999999999997</v>
      </c>
      <c r="W277" s="20"/>
    </row>
    <row r="278" spans="1:23" x14ac:dyDescent="0.2">
      <c r="A278" s="5" t="s">
        <v>1209</v>
      </c>
      <c r="B278" s="5"/>
      <c r="C278" s="20" t="s">
        <v>52</v>
      </c>
      <c r="D278" s="20" t="s">
        <v>52</v>
      </c>
      <c r="E278" s="20" t="s">
        <v>52</v>
      </c>
      <c r="F278" s="20" t="s">
        <v>52</v>
      </c>
      <c r="G278" s="20" t="s">
        <v>52</v>
      </c>
      <c r="H278" s="21">
        <v>0.165877</v>
      </c>
      <c r="I278" s="21">
        <v>0.87831400000000004</v>
      </c>
      <c r="J278" s="21">
        <v>0.35187600000000002</v>
      </c>
      <c r="K278" s="21">
        <v>0.39146900000000001</v>
      </c>
      <c r="L278" s="21">
        <v>7.8838000000000005E-2</v>
      </c>
      <c r="M278" s="21">
        <v>-0.12574399999999999</v>
      </c>
      <c r="N278" s="21">
        <v>-0.20618500000000001</v>
      </c>
      <c r="O278" s="21">
        <v>6.8748000000000004E-2</v>
      </c>
      <c r="P278" s="21">
        <v>1.4839E-2</v>
      </c>
      <c r="Q278" s="21">
        <v>0.27090500000000001</v>
      </c>
      <c r="R278" s="21">
        <v>0.43467600000000001</v>
      </c>
      <c r="S278" s="21">
        <v>0.37841900000000001</v>
      </c>
      <c r="T278" s="21">
        <v>0.60433899999999996</v>
      </c>
      <c r="U278" s="21">
        <v>0.76192099999999996</v>
      </c>
      <c r="V278" s="21">
        <v>0.26116499999999998</v>
      </c>
      <c r="W278" s="20"/>
    </row>
    <row r="279" spans="1:23" x14ac:dyDescent="0.2">
      <c r="A279" s="5" t="s">
        <v>1210</v>
      </c>
      <c r="B279" s="5"/>
      <c r="C279" s="20" t="s">
        <v>52</v>
      </c>
      <c r="D279" s="20" t="s">
        <v>52</v>
      </c>
      <c r="E279" s="20" t="s">
        <v>52</v>
      </c>
      <c r="F279" s="20" t="s">
        <v>52</v>
      </c>
      <c r="G279" s="20" t="s">
        <v>52</v>
      </c>
      <c r="H279" s="21">
        <v>0.335731</v>
      </c>
      <c r="I279" s="21">
        <v>0.181954</v>
      </c>
      <c r="J279" s="21">
        <v>9.6414E-2</v>
      </c>
      <c r="K279" s="21">
        <v>0.20221800000000001</v>
      </c>
      <c r="L279" s="21">
        <v>6.9070000000000006E-2</v>
      </c>
      <c r="M279" s="21">
        <v>-5.2045000000000001E-2</v>
      </c>
      <c r="N279" s="21">
        <v>3.6005000000000002E-2</v>
      </c>
      <c r="O279" s="21">
        <v>8.9412000000000005E-2</v>
      </c>
      <c r="P279" s="21">
        <v>-8.0877000000000004E-2</v>
      </c>
      <c r="Q279" s="21">
        <v>-9.6212000000000006E-2</v>
      </c>
      <c r="R279" s="21">
        <v>0.12386999999999999</v>
      </c>
      <c r="S279" s="21">
        <v>0.59904800000000002</v>
      </c>
      <c r="T279" s="21">
        <v>0.61965899999999996</v>
      </c>
      <c r="U279" s="21">
        <v>0.710781</v>
      </c>
      <c r="V279" s="21">
        <v>0.80064400000000002</v>
      </c>
      <c r="W279" s="20"/>
    </row>
    <row r="280" spans="1:23" x14ac:dyDescent="0.2">
      <c r="A280" s="5" t="s">
        <v>1079</v>
      </c>
      <c r="B280" s="5"/>
      <c r="C280" s="20" t="s">
        <v>52</v>
      </c>
      <c r="D280" s="20" t="s">
        <v>52</v>
      </c>
      <c r="E280" s="20" t="s">
        <v>52</v>
      </c>
      <c r="F280" s="20" t="s">
        <v>52</v>
      </c>
      <c r="G280" s="20" t="s">
        <v>52</v>
      </c>
      <c r="H280" s="21">
        <v>0.55371999999999999</v>
      </c>
      <c r="I280" s="21">
        <v>0.65238300000000005</v>
      </c>
      <c r="J280" s="21">
        <v>0.37762299999999999</v>
      </c>
      <c r="K280" s="21">
        <v>0.27951700000000002</v>
      </c>
      <c r="L280" s="21">
        <v>0.210034</v>
      </c>
      <c r="M280" s="21">
        <v>0.15768199999999999</v>
      </c>
      <c r="N280" s="21">
        <v>6.9457000000000005E-2</v>
      </c>
      <c r="O280" s="21">
        <v>0.181564</v>
      </c>
      <c r="P280" s="21">
        <v>0.16370199999999999</v>
      </c>
      <c r="Q280" s="21">
        <v>0.22053700000000001</v>
      </c>
      <c r="R280" s="21">
        <v>0.29515400000000003</v>
      </c>
      <c r="S280" s="21">
        <v>0.28277200000000002</v>
      </c>
      <c r="T280" s="21">
        <v>0.28047499999999997</v>
      </c>
      <c r="U280" s="21">
        <v>0.33666699999999999</v>
      </c>
      <c r="V280" s="21">
        <v>0.35713600000000001</v>
      </c>
      <c r="W280" s="20"/>
    </row>
    <row r="281" spans="1:23" x14ac:dyDescent="0.2">
      <c r="A281" s="5"/>
      <c r="B281" s="5"/>
      <c r="C281" s="5"/>
      <c r="D281" s="5"/>
      <c r="E281" s="5"/>
      <c r="F281" s="5"/>
      <c r="G281" s="5"/>
      <c r="H281" s="5"/>
      <c r="I281" s="5"/>
      <c r="J281" s="5"/>
      <c r="K281" s="5"/>
      <c r="L281" s="5"/>
      <c r="M281" s="5"/>
      <c r="N281" s="5"/>
      <c r="O281" s="5"/>
      <c r="P281" s="5"/>
      <c r="Q281" s="5"/>
      <c r="R281" s="5"/>
      <c r="S281" s="5"/>
      <c r="T281" s="5"/>
      <c r="U281" s="5"/>
      <c r="V281" s="5"/>
      <c r="W281" s="5"/>
    </row>
    <row r="282" spans="1:23" x14ac:dyDescent="0.2">
      <c r="A282" s="5" t="s">
        <v>1211</v>
      </c>
      <c r="B282" s="5"/>
      <c r="C282" s="20" t="s">
        <v>52</v>
      </c>
      <c r="D282" s="20" t="s">
        <v>52</v>
      </c>
      <c r="E282" s="20" t="s">
        <v>52</v>
      </c>
      <c r="F282" s="20" t="s">
        <v>52</v>
      </c>
      <c r="G282" s="20" t="s">
        <v>52</v>
      </c>
      <c r="H282" s="21">
        <v>0.990483</v>
      </c>
      <c r="I282" s="21">
        <v>0.76606799999999997</v>
      </c>
      <c r="J282" s="21">
        <v>0.55211699999999997</v>
      </c>
      <c r="K282" s="21">
        <v>0.52627800000000002</v>
      </c>
      <c r="L282" s="21">
        <v>0.32789800000000002</v>
      </c>
      <c r="M282" s="21">
        <v>0.33217200000000002</v>
      </c>
      <c r="N282" s="21">
        <v>0.25972800000000001</v>
      </c>
      <c r="O282" s="21">
        <v>0.26957900000000001</v>
      </c>
      <c r="P282" s="21">
        <v>0.26105499999999998</v>
      </c>
      <c r="Q282" s="21">
        <v>0.33127000000000001</v>
      </c>
      <c r="R282" s="21">
        <v>0.422296</v>
      </c>
      <c r="S282" s="21">
        <v>0.43890600000000002</v>
      </c>
      <c r="T282" s="21">
        <v>0.37091299999999999</v>
      </c>
      <c r="U282" s="21">
        <v>0.36884400000000001</v>
      </c>
      <c r="V282" s="21">
        <v>0.48585099999999998</v>
      </c>
      <c r="W282" s="20"/>
    </row>
    <row r="283" spans="1:23" x14ac:dyDescent="0.2">
      <c r="A283" s="5" t="s">
        <v>1212</v>
      </c>
      <c r="B283" s="5"/>
      <c r="C283" s="20" t="s">
        <v>52</v>
      </c>
      <c r="D283" s="20" t="s">
        <v>52</v>
      </c>
      <c r="E283" s="20" t="s">
        <v>52</v>
      </c>
      <c r="F283" s="20" t="s">
        <v>52</v>
      </c>
      <c r="G283" s="20" t="s">
        <v>52</v>
      </c>
      <c r="H283" s="21">
        <v>0.92919600000000002</v>
      </c>
      <c r="I283" s="21">
        <v>0.83773600000000004</v>
      </c>
      <c r="J283" s="21">
        <v>0.55211699999999997</v>
      </c>
      <c r="K283" s="21">
        <v>0.52627800000000002</v>
      </c>
      <c r="L283" s="21">
        <v>0.32789800000000002</v>
      </c>
      <c r="M283" s="21">
        <v>0.33217200000000002</v>
      </c>
      <c r="N283" s="21">
        <v>0.21060100000000001</v>
      </c>
      <c r="O283" s="21">
        <v>0.26957900000000001</v>
      </c>
      <c r="P283" s="21">
        <v>0.26105499999999998</v>
      </c>
      <c r="Q283" s="21">
        <v>0.33127000000000001</v>
      </c>
      <c r="R283" s="21">
        <v>0.422296</v>
      </c>
      <c r="S283" s="21">
        <v>0.43890600000000002</v>
      </c>
      <c r="T283" s="21">
        <v>0.373224</v>
      </c>
      <c r="U283" s="21">
        <v>0.37083300000000002</v>
      </c>
      <c r="V283" s="21">
        <v>0.48727500000000001</v>
      </c>
      <c r="W283" s="20"/>
    </row>
    <row r="284" spans="1:23" x14ac:dyDescent="0.2">
      <c r="A284" s="5" t="s">
        <v>1213</v>
      </c>
      <c r="B284" s="5"/>
      <c r="C284" s="20" t="s">
        <v>52</v>
      </c>
      <c r="D284" s="20" t="s">
        <v>52</v>
      </c>
      <c r="E284" s="20" t="s">
        <v>52</v>
      </c>
      <c r="F284" s="20" t="s">
        <v>52</v>
      </c>
      <c r="G284" s="20" t="s">
        <v>52</v>
      </c>
      <c r="H284" s="21">
        <v>0.85257799999999995</v>
      </c>
      <c r="I284" s="21" t="s">
        <v>1173</v>
      </c>
      <c r="J284" s="21">
        <v>0.94547000000000003</v>
      </c>
      <c r="K284" s="21" t="s">
        <v>1173</v>
      </c>
      <c r="L284" s="21" t="s">
        <v>1173</v>
      </c>
      <c r="M284" s="21">
        <v>-8.8626999999999997E-2</v>
      </c>
      <c r="N284" s="21" t="s">
        <v>1173</v>
      </c>
      <c r="O284" s="21">
        <v>4.0961999999999998E-2</v>
      </c>
      <c r="P284" s="21" t="s">
        <v>1173</v>
      </c>
      <c r="Q284" s="21" t="s">
        <v>1173</v>
      </c>
      <c r="R284" s="21">
        <v>0.28479599999999999</v>
      </c>
      <c r="S284" s="21">
        <v>0.30884699999999998</v>
      </c>
      <c r="T284" s="21">
        <v>0.22029199999999999</v>
      </c>
      <c r="U284" s="21">
        <v>0.36337399999999997</v>
      </c>
      <c r="V284" s="21">
        <v>0.39605200000000002</v>
      </c>
      <c r="W284" s="20"/>
    </row>
    <row r="285" spans="1:23" x14ac:dyDescent="0.2">
      <c r="A285" s="5" t="s">
        <v>1214</v>
      </c>
      <c r="B285" s="5"/>
      <c r="C285" s="20" t="s">
        <v>52</v>
      </c>
      <c r="D285" s="20" t="s">
        <v>52</v>
      </c>
      <c r="E285" s="20" t="s">
        <v>52</v>
      </c>
      <c r="F285" s="20" t="s">
        <v>52</v>
      </c>
      <c r="G285" s="20" t="s">
        <v>52</v>
      </c>
      <c r="H285" s="21">
        <v>0.68283400000000005</v>
      </c>
      <c r="I285" s="21">
        <v>0.18779699999999999</v>
      </c>
      <c r="J285" s="21">
        <v>5.8019000000000001E-2</v>
      </c>
      <c r="K285" s="21">
        <v>0.42639700000000003</v>
      </c>
      <c r="L285" s="21">
        <v>1.944E-3</v>
      </c>
      <c r="M285" s="21">
        <v>-0.119006</v>
      </c>
      <c r="N285" s="21">
        <v>0.12900500000000001</v>
      </c>
      <c r="O285" s="21">
        <v>8.9770000000000003E-2</v>
      </c>
      <c r="P285" s="21">
        <v>-0.20322000000000001</v>
      </c>
      <c r="Q285" s="21">
        <v>-2.2787999999999999E-2</v>
      </c>
      <c r="R285" s="21">
        <v>0.40730300000000003</v>
      </c>
      <c r="S285" s="21">
        <v>0.98296899999999998</v>
      </c>
      <c r="T285" s="21">
        <v>0.63960799999999995</v>
      </c>
      <c r="U285" s="21">
        <v>0.62150799999999995</v>
      </c>
      <c r="V285" s="21">
        <v>0.57101199999999996</v>
      </c>
      <c r="W285" s="20"/>
    </row>
    <row r="286" spans="1:23" x14ac:dyDescent="0.2">
      <c r="A286" s="5" t="s">
        <v>1215</v>
      </c>
      <c r="B286" s="5"/>
      <c r="C286" s="20" t="s">
        <v>52</v>
      </c>
      <c r="D286" s="20" t="s">
        <v>52</v>
      </c>
      <c r="E286" s="20" t="s">
        <v>52</v>
      </c>
      <c r="F286" s="20" t="s">
        <v>52</v>
      </c>
      <c r="G286" s="20" t="s">
        <v>52</v>
      </c>
      <c r="H286" s="20" t="s">
        <v>52</v>
      </c>
      <c r="I286" s="21" t="s">
        <v>1173</v>
      </c>
      <c r="J286" s="21" t="s">
        <v>1173</v>
      </c>
      <c r="K286" s="21" t="s">
        <v>1173</v>
      </c>
      <c r="L286" s="21" t="s">
        <v>1173</v>
      </c>
      <c r="M286" s="21" t="s">
        <v>1173</v>
      </c>
      <c r="N286" s="21" t="s">
        <v>1173</v>
      </c>
      <c r="O286" s="21">
        <v>-4.1356999999999998E-2</v>
      </c>
      <c r="P286" s="21" t="s">
        <v>1173</v>
      </c>
      <c r="Q286" s="21" t="s">
        <v>1173</v>
      </c>
      <c r="R286" s="21" t="s">
        <v>1173</v>
      </c>
      <c r="S286" s="21">
        <v>-1.5768000000000001E-2</v>
      </c>
      <c r="T286" s="21">
        <v>0.158744</v>
      </c>
      <c r="U286" s="21">
        <v>0.424875</v>
      </c>
      <c r="V286" s="21">
        <v>0.46552399999999999</v>
      </c>
      <c r="W286" s="20"/>
    </row>
    <row r="287" spans="1:23" x14ac:dyDescent="0.2">
      <c r="A287" s="5" t="s">
        <v>1216</v>
      </c>
      <c r="B287" s="5"/>
      <c r="C287" s="20" t="s">
        <v>52</v>
      </c>
      <c r="D287" s="20" t="s">
        <v>52</v>
      </c>
      <c r="E287" s="20" t="s">
        <v>52</v>
      </c>
      <c r="F287" s="20" t="s">
        <v>52</v>
      </c>
      <c r="G287" s="20" t="s">
        <v>52</v>
      </c>
      <c r="H287" s="20" t="s">
        <v>52</v>
      </c>
      <c r="I287" s="21" t="s">
        <v>1173</v>
      </c>
      <c r="J287" s="21" t="s">
        <v>1173</v>
      </c>
      <c r="K287" s="21" t="s">
        <v>1173</v>
      </c>
      <c r="L287" s="21" t="s">
        <v>1173</v>
      </c>
      <c r="M287" s="21">
        <v>-7.2301000000000004E-2</v>
      </c>
      <c r="N287" s="21" t="s">
        <v>1173</v>
      </c>
      <c r="O287" s="21">
        <v>-4.1514000000000002E-2</v>
      </c>
      <c r="P287" s="21" t="s">
        <v>1173</v>
      </c>
      <c r="Q287" s="21" t="s">
        <v>1173</v>
      </c>
      <c r="R287" s="21" t="s">
        <v>1173</v>
      </c>
      <c r="S287" s="21">
        <v>-1.619E-2</v>
      </c>
      <c r="T287" s="21">
        <v>0.15870799999999999</v>
      </c>
      <c r="U287" s="21">
        <v>0.42483900000000002</v>
      </c>
      <c r="V287" s="21">
        <v>0.463723</v>
      </c>
      <c r="W287" s="20"/>
    </row>
    <row r="288" spans="1:23" x14ac:dyDescent="0.2">
      <c r="A288" s="5" t="s">
        <v>1217</v>
      </c>
      <c r="B288" s="5"/>
      <c r="C288" s="20" t="s">
        <v>52</v>
      </c>
      <c r="D288" s="20" t="s">
        <v>52</v>
      </c>
      <c r="E288" s="20" t="s">
        <v>52</v>
      </c>
      <c r="F288" s="20" t="s">
        <v>52</v>
      </c>
      <c r="G288" s="20" t="s">
        <v>52</v>
      </c>
      <c r="H288" s="20" t="s">
        <v>52</v>
      </c>
      <c r="I288" s="20" t="s">
        <v>52</v>
      </c>
      <c r="J288" s="20" t="s">
        <v>52</v>
      </c>
      <c r="K288" s="20" t="s">
        <v>52</v>
      </c>
      <c r="L288" s="20" t="s">
        <v>52</v>
      </c>
      <c r="M288" s="20" t="s">
        <v>52</v>
      </c>
      <c r="N288" s="20" t="s">
        <v>52</v>
      </c>
      <c r="O288" s="20" t="s">
        <v>52</v>
      </c>
      <c r="P288" s="20" t="s">
        <v>52</v>
      </c>
      <c r="Q288" s="20" t="s">
        <v>52</v>
      </c>
      <c r="R288" s="20" t="s">
        <v>52</v>
      </c>
      <c r="S288" s="20" t="s">
        <v>52</v>
      </c>
      <c r="T288" s="20" t="s">
        <v>52</v>
      </c>
      <c r="U288" s="20" t="s">
        <v>52</v>
      </c>
      <c r="V288" s="20" t="s">
        <v>52</v>
      </c>
      <c r="W288" s="20"/>
    </row>
    <row r="289" spans="1:23" x14ac:dyDescent="0.2">
      <c r="A289" s="5"/>
      <c r="B289" s="5"/>
      <c r="C289" s="5"/>
      <c r="D289" s="5"/>
      <c r="E289" s="5"/>
      <c r="F289" s="5"/>
      <c r="G289" s="5"/>
      <c r="H289" s="5"/>
      <c r="I289" s="5"/>
      <c r="J289" s="5"/>
      <c r="K289" s="5"/>
      <c r="L289" s="5"/>
      <c r="M289" s="5"/>
      <c r="N289" s="5"/>
      <c r="O289" s="5"/>
      <c r="P289" s="5"/>
      <c r="Q289" s="5"/>
      <c r="R289" s="5"/>
      <c r="S289" s="5"/>
      <c r="T289" s="5"/>
      <c r="U289" s="5"/>
      <c r="V289" s="5"/>
      <c r="W289" s="5"/>
    </row>
    <row r="290" spans="1:23" ht="60" x14ac:dyDescent="0.2">
      <c r="A290" s="28" t="s">
        <v>1151</v>
      </c>
      <c r="B290" s="28"/>
      <c r="C290" s="29"/>
      <c r="D290" s="29"/>
      <c r="E290" s="29"/>
      <c r="F290" s="29"/>
      <c r="G290" s="29"/>
      <c r="H290" s="29"/>
      <c r="I290" s="29"/>
      <c r="J290" s="29"/>
      <c r="K290" s="29"/>
      <c r="L290" s="29"/>
      <c r="M290" s="29"/>
      <c r="N290" s="29"/>
      <c r="O290" s="29"/>
      <c r="P290" s="29"/>
      <c r="Q290" s="29"/>
      <c r="R290" s="29"/>
      <c r="S290" s="29"/>
      <c r="T290" s="29"/>
      <c r="U290" s="29"/>
      <c r="V290" s="29"/>
      <c r="W290" s="29"/>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U409"/>
  <sheetViews>
    <sheetView zoomScale="75" zoomScaleNormal="75" workbookViewId="0">
      <pane xSplit="1" ySplit="7" topLeftCell="B8" activePane="bottomRight" state="frozen"/>
      <selection pane="topRight" activeCell="B1" sqref="B1"/>
      <selection pane="bottomLeft" activeCell="A17" sqref="A17"/>
      <selection pane="bottomRight" activeCell="B8" sqref="B8"/>
    </sheetView>
  </sheetViews>
  <sheetFormatPr defaultRowHeight="10" x14ac:dyDescent="0.2"/>
  <cols>
    <col min="1" max="1" width="45.81640625" style="2" customWidth="1"/>
    <col min="2" max="22" width="14.81640625" style="2" customWidth="1"/>
    <col min="23" max="23" width="9.1796875" style="2"/>
    <col min="24" max="24" width="45.81640625" style="2" customWidth="1"/>
    <col min="25" max="27" width="14.81640625" style="2" customWidth="1"/>
    <col min="28" max="256" width="9.1796875" style="2"/>
    <col min="257" max="257" width="45.81640625" style="2" customWidth="1"/>
    <col min="258" max="278" width="14.81640625" style="2" customWidth="1"/>
    <col min="279" max="279" width="9.1796875" style="2"/>
    <col min="280" max="280" width="45.81640625" style="2" customWidth="1"/>
    <col min="281" max="283" width="14.81640625" style="2" customWidth="1"/>
    <col min="284" max="512" width="9.1796875" style="2"/>
    <col min="513" max="513" width="45.81640625" style="2" customWidth="1"/>
    <col min="514" max="534" width="14.81640625" style="2" customWidth="1"/>
    <col min="535" max="535" width="9.1796875" style="2"/>
    <col min="536" max="536" width="45.81640625" style="2" customWidth="1"/>
    <col min="537" max="539" width="14.81640625" style="2" customWidth="1"/>
    <col min="540" max="768" width="9.1796875" style="2"/>
    <col min="769" max="769" width="45.81640625" style="2" customWidth="1"/>
    <col min="770" max="790" width="14.81640625" style="2" customWidth="1"/>
    <col min="791" max="791" width="9.1796875" style="2"/>
    <col min="792" max="792" width="45.81640625" style="2" customWidth="1"/>
    <col min="793" max="795" width="14.81640625" style="2" customWidth="1"/>
    <col min="796" max="1024" width="9.1796875" style="2"/>
    <col min="1025" max="1025" width="45.81640625" style="2" customWidth="1"/>
    <col min="1026" max="1046" width="14.81640625" style="2" customWidth="1"/>
    <col min="1047" max="1047" width="9.1796875" style="2"/>
    <col min="1048" max="1048" width="45.81640625" style="2" customWidth="1"/>
    <col min="1049" max="1051" width="14.81640625" style="2" customWidth="1"/>
    <col min="1052" max="1280" width="9.1796875" style="2"/>
    <col min="1281" max="1281" width="45.81640625" style="2" customWidth="1"/>
    <col min="1282" max="1302" width="14.81640625" style="2" customWidth="1"/>
    <col min="1303" max="1303" width="9.1796875" style="2"/>
    <col min="1304" max="1304" width="45.81640625" style="2" customWidth="1"/>
    <col min="1305" max="1307" width="14.81640625" style="2" customWidth="1"/>
    <col min="1308" max="1536" width="9.1796875" style="2"/>
    <col min="1537" max="1537" width="45.81640625" style="2" customWidth="1"/>
    <col min="1538" max="1558" width="14.81640625" style="2" customWidth="1"/>
    <col min="1559" max="1559" width="9.1796875" style="2"/>
    <col min="1560" max="1560" width="45.81640625" style="2" customWidth="1"/>
    <col min="1561" max="1563" width="14.81640625" style="2" customWidth="1"/>
    <col min="1564" max="1792" width="9.1796875" style="2"/>
    <col min="1793" max="1793" width="45.81640625" style="2" customWidth="1"/>
    <col min="1794" max="1814" width="14.81640625" style="2" customWidth="1"/>
    <col min="1815" max="1815" width="9.1796875" style="2"/>
    <col min="1816" max="1816" width="45.81640625" style="2" customWidth="1"/>
    <col min="1817" max="1819" width="14.81640625" style="2" customWidth="1"/>
    <col min="1820" max="2048" width="9.1796875" style="2"/>
    <col min="2049" max="2049" width="45.81640625" style="2" customWidth="1"/>
    <col min="2050" max="2070" width="14.81640625" style="2" customWidth="1"/>
    <col min="2071" max="2071" width="9.1796875" style="2"/>
    <col min="2072" max="2072" width="45.81640625" style="2" customWidth="1"/>
    <col min="2073" max="2075" width="14.81640625" style="2" customWidth="1"/>
    <col min="2076" max="2304" width="9.1796875" style="2"/>
    <col min="2305" max="2305" width="45.81640625" style="2" customWidth="1"/>
    <col min="2306" max="2326" width="14.81640625" style="2" customWidth="1"/>
    <col min="2327" max="2327" width="9.1796875" style="2"/>
    <col min="2328" max="2328" width="45.81640625" style="2" customWidth="1"/>
    <col min="2329" max="2331" width="14.81640625" style="2" customWidth="1"/>
    <col min="2332" max="2560" width="9.1796875" style="2"/>
    <col min="2561" max="2561" width="45.81640625" style="2" customWidth="1"/>
    <col min="2562" max="2582" width="14.81640625" style="2" customWidth="1"/>
    <col min="2583" max="2583" width="9.1796875" style="2"/>
    <col min="2584" max="2584" width="45.81640625" style="2" customWidth="1"/>
    <col min="2585" max="2587" width="14.81640625" style="2" customWidth="1"/>
    <col min="2588" max="2816" width="9.1796875" style="2"/>
    <col min="2817" max="2817" width="45.81640625" style="2" customWidth="1"/>
    <col min="2818" max="2838" width="14.81640625" style="2" customWidth="1"/>
    <col min="2839" max="2839" width="9.1796875" style="2"/>
    <col min="2840" max="2840" width="45.81640625" style="2" customWidth="1"/>
    <col min="2841" max="2843" width="14.81640625" style="2" customWidth="1"/>
    <col min="2844" max="3072" width="9.1796875" style="2"/>
    <col min="3073" max="3073" width="45.81640625" style="2" customWidth="1"/>
    <col min="3074" max="3094" width="14.81640625" style="2" customWidth="1"/>
    <col min="3095" max="3095" width="9.1796875" style="2"/>
    <col min="3096" max="3096" width="45.81640625" style="2" customWidth="1"/>
    <col min="3097" max="3099" width="14.81640625" style="2" customWidth="1"/>
    <col min="3100" max="3328" width="9.1796875" style="2"/>
    <col min="3329" max="3329" width="45.81640625" style="2" customWidth="1"/>
    <col min="3330" max="3350" width="14.81640625" style="2" customWidth="1"/>
    <col min="3351" max="3351" width="9.1796875" style="2"/>
    <col min="3352" max="3352" width="45.81640625" style="2" customWidth="1"/>
    <col min="3353" max="3355" width="14.81640625" style="2" customWidth="1"/>
    <col min="3356" max="3584" width="9.1796875" style="2"/>
    <col min="3585" max="3585" width="45.81640625" style="2" customWidth="1"/>
    <col min="3586" max="3606" width="14.81640625" style="2" customWidth="1"/>
    <col min="3607" max="3607" width="9.1796875" style="2"/>
    <col min="3608" max="3608" width="45.81640625" style="2" customWidth="1"/>
    <col min="3609" max="3611" width="14.81640625" style="2" customWidth="1"/>
    <col min="3612" max="3840" width="9.1796875" style="2"/>
    <col min="3841" max="3841" width="45.81640625" style="2" customWidth="1"/>
    <col min="3842" max="3862" width="14.81640625" style="2" customWidth="1"/>
    <col min="3863" max="3863" width="9.1796875" style="2"/>
    <col min="3864" max="3864" width="45.81640625" style="2" customWidth="1"/>
    <col min="3865" max="3867" width="14.81640625" style="2" customWidth="1"/>
    <col min="3868" max="4096" width="9.1796875" style="2"/>
    <col min="4097" max="4097" width="45.81640625" style="2" customWidth="1"/>
    <col min="4098" max="4118" width="14.81640625" style="2" customWidth="1"/>
    <col min="4119" max="4119" width="9.1796875" style="2"/>
    <col min="4120" max="4120" width="45.81640625" style="2" customWidth="1"/>
    <col min="4121" max="4123" width="14.81640625" style="2" customWidth="1"/>
    <col min="4124" max="4352" width="9.1796875" style="2"/>
    <col min="4353" max="4353" width="45.81640625" style="2" customWidth="1"/>
    <col min="4354" max="4374" width="14.81640625" style="2" customWidth="1"/>
    <col min="4375" max="4375" width="9.1796875" style="2"/>
    <col min="4376" max="4376" width="45.81640625" style="2" customWidth="1"/>
    <col min="4377" max="4379" width="14.81640625" style="2" customWidth="1"/>
    <col min="4380" max="4608" width="9.1796875" style="2"/>
    <col min="4609" max="4609" width="45.81640625" style="2" customWidth="1"/>
    <col min="4610" max="4630" width="14.81640625" style="2" customWidth="1"/>
    <col min="4631" max="4631" width="9.1796875" style="2"/>
    <col min="4632" max="4632" width="45.81640625" style="2" customWidth="1"/>
    <col min="4633" max="4635" width="14.81640625" style="2" customWidth="1"/>
    <col min="4636" max="4864" width="9.1796875" style="2"/>
    <col min="4865" max="4865" width="45.81640625" style="2" customWidth="1"/>
    <col min="4866" max="4886" width="14.81640625" style="2" customWidth="1"/>
    <col min="4887" max="4887" width="9.1796875" style="2"/>
    <col min="4888" max="4888" width="45.81640625" style="2" customWidth="1"/>
    <col min="4889" max="4891" width="14.81640625" style="2" customWidth="1"/>
    <col min="4892" max="5120" width="9.1796875" style="2"/>
    <col min="5121" max="5121" width="45.81640625" style="2" customWidth="1"/>
    <col min="5122" max="5142" width="14.81640625" style="2" customWidth="1"/>
    <col min="5143" max="5143" width="9.1796875" style="2"/>
    <col min="5144" max="5144" width="45.81640625" style="2" customWidth="1"/>
    <col min="5145" max="5147" width="14.81640625" style="2" customWidth="1"/>
    <col min="5148" max="5376" width="9.1796875" style="2"/>
    <col min="5377" max="5377" width="45.81640625" style="2" customWidth="1"/>
    <col min="5378" max="5398" width="14.81640625" style="2" customWidth="1"/>
    <col min="5399" max="5399" width="9.1796875" style="2"/>
    <col min="5400" max="5400" width="45.81640625" style="2" customWidth="1"/>
    <col min="5401" max="5403" width="14.81640625" style="2" customWidth="1"/>
    <col min="5404" max="5632" width="9.1796875" style="2"/>
    <col min="5633" max="5633" width="45.81640625" style="2" customWidth="1"/>
    <col min="5634" max="5654" width="14.81640625" style="2" customWidth="1"/>
    <col min="5655" max="5655" width="9.1796875" style="2"/>
    <col min="5656" max="5656" width="45.81640625" style="2" customWidth="1"/>
    <col min="5657" max="5659" width="14.81640625" style="2" customWidth="1"/>
    <col min="5660" max="5888" width="9.1796875" style="2"/>
    <col min="5889" max="5889" width="45.81640625" style="2" customWidth="1"/>
    <col min="5890" max="5910" width="14.81640625" style="2" customWidth="1"/>
    <col min="5911" max="5911" width="9.1796875" style="2"/>
    <col min="5912" max="5912" width="45.81640625" style="2" customWidth="1"/>
    <col min="5913" max="5915" width="14.81640625" style="2" customWidth="1"/>
    <col min="5916" max="6144" width="9.1796875" style="2"/>
    <col min="6145" max="6145" width="45.81640625" style="2" customWidth="1"/>
    <col min="6146" max="6166" width="14.81640625" style="2" customWidth="1"/>
    <col min="6167" max="6167" width="9.1796875" style="2"/>
    <col min="6168" max="6168" width="45.81640625" style="2" customWidth="1"/>
    <col min="6169" max="6171" width="14.81640625" style="2" customWidth="1"/>
    <col min="6172" max="6400" width="9.1796875" style="2"/>
    <col min="6401" max="6401" width="45.81640625" style="2" customWidth="1"/>
    <col min="6402" max="6422" width="14.81640625" style="2" customWidth="1"/>
    <col min="6423" max="6423" width="9.1796875" style="2"/>
    <col min="6424" max="6424" width="45.81640625" style="2" customWidth="1"/>
    <col min="6425" max="6427" width="14.81640625" style="2" customWidth="1"/>
    <col min="6428" max="6656" width="9.1796875" style="2"/>
    <col min="6657" max="6657" width="45.81640625" style="2" customWidth="1"/>
    <col min="6658" max="6678" width="14.81640625" style="2" customWidth="1"/>
    <col min="6679" max="6679" width="9.1796875" style="2"/>
    <col min="6680" max="6680" width="45.81640625" style="2" customWidth="1"/>
    <col min="6681" max="6683" width="14.81640625" style="2" customWidth="1"/>
    <col min="6684" max="6912" width="9.1796875" style="2"/>
    <col min="6913" max="6913" width="45.81640625" style="2" customWidth="1"/>
    <col min="6914" max="6934" width="14.81640625" style="2" customWidth="1"/>
    <col min="6935" max="6935" width="9.1796875" style="2"/>
    <col min="6936" max="6936" width="45.81640625" style="2" customWidth="1"/>
    <col min="6937" max="6939" width="14.81640625" style="2" customWidth="1"/>
    <col min="6940" max="7168" width="9.1796875" style="2"/>
    <col min="7169" max="7169" width="45.81640625" style="2" customWidth="1"/>
    <col min="7170" max="7190" width="14.81640625" style="2" customWidth="1"/>
    <col min="7191" max="7191" width="9.1796875" style="2"/>
    <col min="7192" max="7192" width="45.81640625" style="2" customWidth="1"/>
    <col min="7193" max="7195" width="14.81640625" style="2" customWidth="1"/>
    <col min="7196" max="7424" width="9.1796875" style="2"/>
    <col min="7425" max="7425" width="45.81640625" style="2" customWidth="1"/>
    <col min="7426" max="7446" width="14.81640625" style="2" customWidth="1"/>
    <col min="7447" max="7447" width="9.1796875" style="2"/>
    <col min="7448" max="7448" width="45.81640625" style="2" customWidth="1"/>
    <col min="7449" max="7451" width="14.81640625" style="2" customWidth="1"/>
    <col min="7452" max="7680" width="9.1796875" style="2"/>
    <col min="7681" max="7681" width="45.81640625" style="2" customWidth="1"/>
    <col min="7682" max="7702" width="14.81640625" style="2" customWidth="1"/>
    <col min="7703" max="7703" width="9.1796875" style="2"/>
    <col min="7704" max="7704" width="45.81640625" style="2" customWidth="1"/>
    <col min="7705" max="7707" width="14.81640625" style="2" customWidth="1"/>
    <col min="7708" max="7936" width="9.1796875" style="2"/>
    <col min="7937" max="7937" width="45.81640625" style="2" customWidth="1"/>
    <col min="7938" max="7958" width="14.81640625" style="2" customWidth="1"/>
    <col min="7959" max="7959" width="9.1796875" style="2"/>
    <col min="7960" max="7960" width="45.81640625" style="2" customWidth="1"/>
    <col min="7961" max="7963" width="14.81640625" style="2" customWidth="1"/>
    <col min="7964" max="8192" width="9.1796875" style="2"/>
    <col min="8193" max="8193" width="45.81640625" style="2" customWidth="1"/>
    <col min="8194" max="8214" width="14.81640625" style="2" customWidth="1"/>
    <col min="8215" max="8215" width="9.1796875" style="2"/>
    <col min="8216" max="8216" width="45.81640625" style="2" customWidth="1"/>
    <col min="8217" max="8219" width="14.81640625" style="2" customWidth="1"/>
    <col min="8220" max="8448" width="9.1796875" style="2"/>
    <col min="8449" max="8449" width="45.81640625" style="2" customWidth="1"/>
    <col min="8450" max="8470" width="14.81640625" style="2" customWidth="1"/>
    <col min="8471" max="8471" width="9.1796875" style="2"/>
    <col min="8472" max="8472" width="45.81640625" style="2" customWidth="1"/>
    <col min="8473" max="8475" width="14.81640625" style="2" customWidth="1"/>
    <col min="8476" max="8704" width="9.1796875" style="2"/>
    <col min="8705" max="8705" width="45.81640625" style="2" customWidth="1"/>
    <col min="8706" max="8726" width="14.81640625" style="2" customWidth="1"/>
    <col min="8727" max="8727" width="9.1796875" style="2"/>
    <col min="8728" max="8728" width="45.81640625" style="2" customWidth="1"/>
    <col min="8729" max="8731" width="14.81640625" style="2" customWidth="1"/>
    <col min="8732" max="8960" width="9.1796875" style="2"/>
    <col min="8961" max="8961" width="45.81640625" style="2" customWidth="1"/>
    <col min="8962" max="8982" width="14.81640625" style="2" customWidth="1"/>
    <col min="8983" max="8983" width="9.1796875" style="2"/>
    <col min="8984" max="8984" width="45.81640625" style="2" customWidth="1"/>
    <col min="8985" max="8987" width="14.81640625" style="2" customWidth="1"/>
    <col min="8988" max="9216" width="9.1796875" style="2"/>
    <col min="9217" max="9217" width="45.81640625" style="2" customWidth="1"/>
    <col min="9218" max="9238" width="14.81640625" style="2" customWidth="1"/>
    <col min="9239" max="9239" width="9.1796875" style="2"/>
    <col min="9240" max="9240" width="45.81640625" style="2" customWidth="1"/>
    <col min="9241" max="9243" width="14.81640625" style="2" customWidth="1"/>
    <col min="9244" max="9472" width="9.1796875" style="2"/>
    <col min="9473" max="9473" width="45.81640625" style="2" customWidth="1"/>
    <col min="9474" max="9494" width="14.81640625" style="2" customWidth="1"/>
    <col min="9495" max="9495" width="9.1796875" style="2"/>
    <col min="9496" max="9496" width="45.81640625" style="2" customWidth="1"/>
    <col min="9497" max="9499" width="14.81640625" style="2" customWidth="1"/>
    <col min="9500" max="9728" width="9.1796875" style="2"/>
    <col min="9729" max="9729" width="45.81640625" style="2" customWidth="1"/>
    <col min="9730" max="9750" width="14.81640625" style="2" customWidth="1"/>
    <col min="9751" max="9751" width="9.1796875" style="2"/>
    <col min="9752" max="9752" width="45.81640625" style="2" customWidth="1"/>
    <col min="9753" max="9755" width="14.81640625" style="2" customWidth="1"/>
    <col min="9756" max="9984" width="9.1796875" style="2"/>
    <col min="9985" max="9985" width="45.81640625" style="2" customWidth="1"/>
    <col min="9986" max="10006" width="14.81640625" style="2" customWidth="1"/>
    <col min="10007" max="10007" width="9.1796875" style="2"/>
    <col min="10008" max="10008" width="45.81640625" style="2" customWidth="1"/>
    <col min="10009" max="10011" width="14.81640625" style="2" customWidth="1"/>
    <col min="10012" max="10240" width="9.1796875" style="2"/>
    <col min="10241" max="10241" width="45.81640625" style="2" customWidth="1"/>
    <col min="10242" max="10262" width="14.81640625" style="2" customWidth="1"/>
    <col min="10263" max="10263" width="9.1796875" style="2"/>
    <col min="10264" max="10264" width="45.81640625" style="2" customWidth="1"/>
    <col min="10265" max="10267" width="14.81640625" style="2" customWidth="1"/>
    <col min="10268" max="10496" width="9.1796875" style="2"/>
    <col min="10497" max="10497" width="45.81640625" style="2" customWidth="1"/>
    <col min="10498" max="10518" width="14.81640625" style="2" customWidth="1"/>
    <col min="10519" max="10519" width="9.1796875" style="2"/>
    <col min="10520" max="10520" width="45.81640625" style="2" customWidth="1"/>
    <col min="10521" max="10523" width="14.81640625" style="2" customWidth="1"/>
    <col min="10524" max="10752" width="9.1796875" style="2"/>
    <col min="10753" max="10753" width="45.81640625" style="2" customWidth="1"/>
    <col min="10754" max="10774" width="14.81640625" style="2" customWidth="1"/>
    <col min="10775" max="10775" width="9.1796875" style="2"/>
    <col min="10776" max="10776" width="45.81640625" style="2" customWidth="1"/>
    <col min="10777" max="10779" width="14.81640625" style="2" customWidth="1"/>
    <col min="10780" max="11008" width="9.1796875" style="2"/>
    <col min="11009" max="11009" width="45.81640625" style="2" customWidth="1"/>
    <col min="11010" max="11030" width="14.81640625" style="2" customWidth="1"/>
    <col min="11031" max="11031" width="9.1796875" style="2"/>
    <col min="11032" max="11032" width="45.81640625" style="2" customWidth="1"/>
    <col min="11033" max="11035" width="14.81640625" style="2" customWidth="1"/>
    <col min="11036" max="11264" width="9.1796875" style="2"/>
    <col min="11265" max="11265" width="45.81640625" style="2" customWidth="1"/>
    <col min="11266" max="11286" width="14.81640625" style="2" customWidth="1"/>
    <col min="11287" max="11287" width="9.1796875" style="2"/>
    <col min="11288" max="11288" width="45.81640625" style="2" customWidth="1"/>
    <col min="11289" max="11291" width="14.81640625" style="2" customWidth="1"/>
    <col min="11292" max="11520" width="9.1796875" style="2"/>
    <col min="11521" max="11521" width="45.81640625" style="2" customWidth="1"/>
    <col min="11522" max="11542" width="14.81640625" style="2" customWidth="1"/>
    <col min="11543" max="11543" width="9.1796875" style="2"/>
    <col min="11544" max="11544" width="45.81640625" style="2" customWidth="1"/>
    <col min="11545" max="11547" width="14.81640625" style="2" customWidth="1"/>
    <col min="11548" max="11776" width="9.1796875" style="2"/>
    <col min="11777" max="11777" width="45.81640625" style="2" customWidth="1"/>
    <col min="11778" max="11798" width="14.81640625" style="2" customWidth="1"/>
    <col min="11799" max="11799" width="9.1796875" style="2"/>
    <col min="11800" max="11800" width="45.81640625" style="2" customWidth="1"/>
    <col min="11801" max="11803" width="14.81640625" style="2" customWidth="1"/>
    <col min="11804" max="12032" width="9.1796875" style="2"/>
    <col min="12033" max="12033" width="45.81640625" style="2" customWidth="1"/>
    <col min="12034" max="12054" width="14.81640625" style="2" customWidth="1"/>
    <col min="12055" max="12055" width="9.1796875" style="2"/>
    <col min="12056" max="12056" width="45.81640625" style="2" customWidth="1"/>
    <col min="12057" max="12059" width="14.81640625" style="2" customWidth="1"/>
    <col min="12060" max="12288" width="9.1796875" style="2"/>
    <col min="12289" max="12289" width="45.81640625" style="2" customWidth="1"/>
    <col min="12290" max="12310" width="14.81640625" style="2" customWidth="1"/>
    <col min="12311" max="12311" width="9.1796875" style="2"/>
    <col min="12312" max="12312" width="45.81640625" style="2" customWidth="1"/>
    <col min="12313" max="12315" width="14.81640625" style="2" customWidth="1"/>
    <col min="12316" max="12544" width="9.1796875" style="2"/>
    <col min="12545" max="12545" width="45.81640625" style="2" customWidth="1"/>
    <col min="12546" max="12566" width="14.81640625" style="2" customWidth="1"/>
    <col min="12567" max="12567" width="9.1796875" style="2"/>
    <col min="12568" max="12568" width="45.81640625" style="2" customWidth="1"/>
    <col min="12569" max="12571" width="14.81640625" style="2" customWidth="1"/>
    <col min="12572" max="12800" width="9.1796875" style="2"/>
    <col min="12801" max="12801" width="45.81640625" style="2" customWidth="1"/>
    <col min="12802" max="12822" width="14.81640625" style="2" customWidth="1"/>
    <col min="12823" max="12823" width="9.1796875" style="2"/>
    <col min="12824" max="12824" width="45.81640625" style="2" customWidth="1"/>
    <col min="12825" max="12827" width="14.81640625" style="2" customWidth="1"/>
    <col min="12828" max="13056" width="9.1796875" style="2"/>
    <col min="13057" max="13057" width="45.81640625" style="2" customWidth="1"/>
    <col min="13058" max="13078" width="14.81640625" style="2" customWidth="1"/>
    <col min="13079" max="13079" width="9.1796875" style="2"/>
    <col min="13080" max="13080" width="45.81640625" style="2" customWidth="1"/>
    <col min="13081" max="13083" width="14.81640625" style="2" customWidth="1"/>
    <col min="13084" max="13312" width="9.1796875" style="2"/>
    <col min="13313" max="13313" width="45.81640625" style="2" customWidth="1"/>
    <col min="13314" max="13334" width="14.81640625" style="2" customWidth="1"/>
    <col min="13335" max="13335" width="9.1796875" style="2"/>
    <col min="13336" max="13336" width="45.81640625" style="2" customWidth="1"/>
    <col min="13337" max="13339" width="14.81640625" style="2" customWidth="1"/>
    <col min="13340" max="13568" width="9.1796875" style="2"/>
    <col min="13569" max="13569" width="45.81640625" style="2" customWidth="1"/>
    <col min="13570" max="13590" width="14.81640625" style="2" customWidth="1"/>
    <col min="13591" max="13591" width="9.1796875" style="2"/>
    <col min="13592" max="13592" width="45.81640625" style="2" customWidth="1"/>
    <col min="13593" max="13595" width="14.81640625" style="2" customWidth="1"/>
    <col min="13596" max="13824" width="9.1796875" style="2"/>
    <col min="13825" max="13825" width="45.81640625" style="2" customWidth="1"/>
    <col min="13826" max="13846" width="14.81640625" style="2" customWidth="1"/>
    <col min="13847" max="13847" width="9.1796875" style="2"/>
    <col min="13848" max="13848" width="45.81640625" style="2" customWidth="1"/>
    <col min="13849" max="13851" width="14.81640625" style="2" customWidth="1"/>
    <col min="13852" max="14080" width="9.1796875" style="2"/>
    <col min="14081" max="14081" width="45.81640625" style="2" customWidth="1"/>
    <col min="14082" max="14102" width="14.81640625" style="2" customWidth="1"/>
    <col min="14103" max="14103" width="9.1796875" style="2"/>
    <col min="14104" max="14104" width="45.81640625" style="2" customWidth="1"/>
    <col min="14105" max="14107" width="14.81640625" style="2" customWidth="1"/>
    <col min="14108" max="14336" width="9.1796875" style="2"/>
    <col min="14337" max="14337" width="45.81640625" style="2" customWidth="1"/>
    <col min="14338" max="14358" width="14.81640625" style="2" customWidth="1"/>
    <col min="14359" max="14359" width="9.1796875" style="2"/>
    <col min="14360" max="14360" width="45.81640625" style="2" customWidth="1"/>
    <col min="14361" max="14363" width="14.81640625" style="2" customWidth="1"/>
    <col min="14364" max="14592" width="9.1796875" style="2"/>
    <col min="14593" max="14593" width="45.81640625" style="2" customWidth="1"/>
    <col min="14594" max="14614" width="14.81640625" style="2" customWidth="1"/>
    <col min="14615" max="14615" width="9.1796875" style="2"/>
    <col min="14616" max="14616" width="45.81640625" style="2" customWidth="1"/>
    <col min="14617" max="14619" width="14.81640625" style="2" customWidth="1"/>
    <col min="14620" max="14848" width="9.1796875" style="2"/>
    <col min="14849" max="14849" width="45.81640625" style="2" customWidth="1"/>
    <col min="14850" max="14870" width="14.81640625" style="2" customWidth="1"/>
    <col min="14871" max="14871" width="9.1796875" style="2"/>
    <col min="14872" max="14872" width="45.81640625" style="2" customWidth="1"/>
    <col min="14873" max="14875" width="14.81640625" style="2" customWidth="1"/>
    <col min="14876" max="15104" width="9.1796875" style="2"/>
    <col min="15105" max="15105" width="45.81640625" style="2" customWidth="1"/>
    <col min="15106" max="15126" width="14.81640625" style="2" customWidth="1"/>
    <col min="15127" max="15127" width="9.1796875" style="2"/>
    <col min="15128" max="15128" width="45.81640625" style="2" customWidth="1"/>
    <col min="15129" max="15131" width="14.81640625" style="2" customWidth="1"/>
    <col min="15132" max="15360" width="9.1796875" style="2"/>
    <col min="15361" max="15361" width="45.81640625" style="2" customWidth="1"/>
    <col min="15362" max="15382" width="14.81640625" style="2" customWidth="1"/>
    <col min="15383" max="15383" width="9.1796875" style="2"/>
    <col min="15384" max="15384" width="45.81640625" style="2" customWidth="1"/>
    <col min="15385" max="15387" width="14.81640625" style="2" customWidth="1"/>
    <col min="15388" max="15616" width="9.1796875" style="2"/>
    <col min="15617" max="15617" width="45.81640625" style="2" customWidth="1"/>
    <col min="15618" max="15638" width="14.81640625" style="2" customWidth="1"/>
    <col min="15639" max="15639" width="9.1796875" style="2"/>
    <col min="15640" max="15640" width="45.81640625" style="2" customWidth="1"/>
    <col min="15641" max="15643" width="14.81640625" style="2" customWidth="1"/>
    <col min="15644" max="15872" width="9.1796875" style="2"/>
    <col min="15873" max="15873" width="45.81640625" style="2" customWidth="1"/>
    <col min="15874" max="15894" width="14.81640625" style="2" customWidth="1"/>
    <col min="15895" max="15895" width="9.1796875" style="2"/>
    <col min="15896" max="15896" width="45.81640625" style="2" customWidth="1"/>
    <col min="15897" max="15899" width="14.81640625" style="2" customWidth="1"/>
    <col min="15900" max="16128" width="9.1796875" style="2"/>
    <col min="16129" max="16129" width="45.81640625" style="2" customWidth="1"/>
    <col min="16130" max="16150" width="14.81640625" style="2" customWidth="1"/>
    <col min="16151" max="16151" width="9.1796875" style="2"/>
    <col min="16152" max="16152" width="45.81640625" style="2" customWidth="1"/>
    <col min="16153" max="16155" width="14.81640625" style="2" customWidth="1"/>
    <col min="16156" max="16384" width="9.1796875" style="2"/>
  </cols>
  <sheetData>
    <row r="1" spans="1:255" s="139" customFormat="1" ht="12" x14ac:dyDescent="0.3">
      <c r="A1" s="138" t="s">
        <v>0</v>
      </c>
      <c r="U1" s="140">
        <f ca="1">TODAY()</f>
        <v>45797</v>
      </c>
      <c r="V1" s="140"/>
      <c r="W1" s="140"/>
      <c r="X1" s="140"/>
      <c r="Y1" s="140"/>
      <c r="Z1" s="140"/>
      <c r="AA1" s="140"/>
    </row>
    <row r="2" spans="1:255" s="139" customFormat="1" ht="12" x14ac:dyDescent="0.3">
      <c r="A2" s="141" t="s">
        <v>1221</v>
      </c>
      <c r="C2" s="142"/>
      <c r="D2" s="142"/>
      <c r="E2" s="142"/>
      <c r="F2" s="142"/>
      <c r="G2" s="142"/>
      <c r="H2" s="142"/>
      <c r="I2" s="142"/>
      <c r="R2" s="143"/>
      <c r="S2" s="143"/>
      <c r="T2" s="143"/>
      <c r="U2" s="143"/>
      <c r="V2" s="143"/>
      <c r="W2" s="143"/>
      <c r="X2" s="143"/>
      <c r="Y2" s="143"/>
      <c r="Z2" s="143"/>
      <c r="AA2" s="143"/>
    </row>
    <row r="3" spans="1:255" s="139" customFormat="1" ht="12" x14ac:dyDescent="0.3">
      <c r="A3" s="144" t="s">
        <v>3</v>
      </c>
      <c r="B3" s="145"/>
      <c r="J3" s="145"/>
      <c r="K3" s="145"/>
      <c r="L3" s="145"/>
      <c r="M3" s="145"/>
      <c r="N3" s="145"/>
      <c r="O3" s="145"/>
      <c r="P3" s="145"/>
      <c r="Q3" s="145"/>
      <c r="R3" s="146"/>
      <c r="S3" s="146"/>
      <c r="T3" s="146"/>
      <c r="U3" s="146"/>
      <c r="V3" s="146"/>
      <c r="W3" s="146"/>
      <c r="X3" s="146"/>
      <c r="Y3" s="146"/>
      <c r="Z3" s="146"/>
      <c r="AA3" s="146"/>
    </row>
    <row r="5" spans="1:255" x14ac:dyDescent="0.2">
      <c r="A5" s="8" t="s">
        <v>1010</v>
      </c>
      <c r="B5" s="8"/>
      <c r="C5" s="8"/>
      <c r="D5" s="8"/>
      <c r="E5" s="8"/>
      <c r="F5" s="8"/>
      <c r="G5" s="8"/>
      <c r="H5" s="8"/>
      <c r="I5" s="8"/>
      <c r="J5" s="8"/>
      <c r="K5" s="8"/>
      <c r="L5" s="8"/>
      <c r="M5" s="8"/>
      <c r="N5" s="8"/>
      <c r="O5" s="8"/>
      <c r="P5" s="8"/>
      <c r="Q5" s="8"/>
      <c r="R5" s="8"/>
      <c r="S5" s="8"/>
      <c r="T5" s="8"/>
      <c r="U5" s="8"/>
      <c r="W5" s="9"/>
      <c r="X5" s="8" t="s">
        <v>1010</v>
      </c>
      <c r="Y5" s="8"/>
      <c r="Z5" s="8"/>
      <c r="AA5" s="8"/>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c r="FC5" s="9"/>
      <c r="FD5" s="9"/>
      <c r="FE5" s="9"/>
      <c r="FF5" s="9"/>
      <c r="FG5" s="9"/>
      <c r="FH5" s="9"/>
      <c r="FI5" s="9"/>
      <c r="FJ5" s="9"/>
      <c r="FK5" s="9"/>
      <c r="FL5" s="9"/>
      <c r="FM5" s="9"/>
      <c r="FN5" s="9"/>
      <c r="FO5" s="9"/>
      <c r="FP5" s="9"/>
      <c r="FQ5" s="9"/>
      <c r="FR5" s="9"/>
      <c r="FS5" s="9"/>
      <c r="FT5" s="9"/>
      <c r="FU5" s="9"/>
      <c r="FV5" s="9"/>
      <c r="FW5" s="9"/>
      <c r="FX5" s="9"/>
      <c r="FY5" s="9"/>
      <c r="FZ5" s="9"/>
      <c r="GA5" s="9"/>
      <c r="GB5" s="9"/>
      <c r="GC5" s="9"/>
      <c r="GD5" s="9"/>
      <c r="GE5" s="9"/>
      <c r="GF5" s="9"/>
      <c r="GG5" s="9"/>
      <c r="GH5" s="9"/>
      <c r="GI5" s="9"/>
      <c r="GJ5" s="9"/>
      <c r="GK5" s="9"/>
      <c r="GL5" s="9"/>
      <c r="GM5" s="9"/>
      <c r="GN5" s="9"/>
      <c r="GO5" s="9"/>
      <c r="GP5" s="9"/>
      <c r="GQ5" s="9"/>
      <c r="GR5" s="9"/>
      <c r="GS5" s="9"/>
      <c r="GT5" s="9"/>
      <c r="GU5" s="9"/>
      <c r="GV5" s="9"/>
      <c r="GW5" s="9"/>
      <c r="GX5" s="9"/>
      <c r="GY5" s="9"/>
      <c r="GZ5" s="9"/>
      <c r="HA5" s="9"/>
      <c r="HB5" s="9"/>
      <c r="HC5" s="9"/>
      <c r="HD5" s="9"/>
      <c r="HE5" s="9"/>
      <c r="HF5" s="9"/>
      <c r="HG5" s="9"/>
      <c r="HH5" s="9"/>
      <c r="HI5" s="9"/>
      <c r="HJ5" s="9"/>
      <c r="HK5" s="9"/>
      <c r="HL5" s="9"/>
      <c r="HM5" s="9"/>
      <c r="HN5" s="9"/>
      <c r="HO5" s="9"/>
      <c r="HP5" s="9"/>
      <c r="HQ5" s="9"/>
      <c r="HR5" s="9"/>
      <c r="HS5" s="9"/>
      <c r="HT5" s="9"/>
      <c r="HU5" s="9"/>
      <c r="HV5" s="9"/>
      <c r="HW5" s="9"/>
      <c r="HX5" s="9"/>
      <c r="HY5" s="9"/>
      <c r="HZ5" s="9"/>
      <c r="IA5" s="9"/>
      <c r="IB5" s="9"/>
      <c r="IC5" s="9"/>
      <c r="ID5" s="9"/>
      <c r="IE5" s="9"/>
      <c r="IF5" s="9"/>
      <c r="IG5" s="9"/>
      <c r="IH5" s="9"/>
      <c r="II5" s="9"/>
      <c r="IJ5" s="9"/>
      <c r="IK5" s="9"/>
      <c r="IL5" s="9"/>
      <c r="IM5" s="9"/>
      <c r="IN5" s="9"/>
      <c r="IO5" s="9"/>
      <c r="IP5" s="9"/>
      <c r="IQ5" s="9"/>
      <c r="IR5" s="9"/>
      <c r="IS5" s="9"/>
      <c r="IT5" s="9"/>
      <c r="IU5" s="9"/>
    </row>
    <row r="6" spans="1:255" ht="31.5" x14ac:dyDescent="0.25">
      <c r="A6" s="10" t="s">
        <v>1011</v>
      </c>
      <c r="B6" s="11" t="s">
        <v>1153</v>
      </c>
      <c r="C6" s="11" t="s">
        <v>1013</v>
      </c>
      <c r="D6" s="11" t="s">
        <v>1014</v>
      </c>
      <c r="E6" s="11" t="s">
        <v>1015</v>
      </c>
      <c r="F6" s="11" t="s">
        <v>1016</v>
      </c>
      <c r="G6" s="11" t="s">
        <v>1017</v>
      </c>
      <c r="H6" s="11" t="s">
        <v>1018</v>
      </c>
      <c r="I6" s="11" t="s">
        <v>1019</v>
      </c>
      <c r="J6" s="11" t="s">
        <v>1222</v>
      </c>
      <c r="K6" s="11" t="s">
        <v>1021</v>
      </c>
      <c r="L6" s="11" t="s">
        <v>1223</v>
      </c>
      <c r="M6" s="11" t="s">
        <v>1023</v>
      </c>
      <c r="N6" s="11" t="s">
        <v>1024</v>
      </c>
      <c r="O6" s="11" t="s">
        <v>1025</v>
      </c>
      <c r="P6" s="11" t="s">
        <v>1026</v>
      </c>
      <c r="Q6" s="11" t="s">
        <v>1027</v>
      </c>
      <c r="R6" s="11" t="s">
        <v>1224</v>
      </c>
      <c r="S6" s="11" t="s">
        <v>1225</v>
      </c>
      <c r="T6" s="11" t="s">
        <v>1226</v>
      </c>
      <c r="U6" s="11" t="s">
        <v>1031</v>
      </c>
      <c r="X6" s="10" t="s">
        <v>1011</v>
      </c>
      <c r="Y6" s="11" t="s">
        <v>1227</v>
      </c>
      <c r="Z6" s="11" t="s">
        <v>1228</v>
      </c>
      <c r="AA6" s="11" t="s">
        <v>1229</v>
      </c>
    </row>
    <row r="7" spans="1:255" x14ac:dyDescent="0.2">
      <c r="A7" s="12" t="s">
        <v>1035</v>
      </c>
      <c r="B7" s="13" t="s">
        <v>88</v>
      </c>
      <c r="C7" s="13" t="s">
        <v>88</v>
      </c>
      <c r="D7" s="13" t="s">
        <v>88</v>
      </c>
      <c r="E7" s="13" t="s">
        <v>88</v>
      </c>
      <c r="F7" s="13" t="s">
        <v>88</v>
      </c>
      <c r="G7" s="13" t="s">
        <v>88</v>
      </c>
      <c r="H7" s="13" t="s">
        <v>88</v>
      </c>
      <c r="I7" s="13" t="s">
        <v>88</v>
      </c>
      <c r="J7" s="13" t="s">
        <v>88</v>
      </c>
      <c r="K7" s="13" t="s">
        <v>88</v>
      </c>
      <c r="L7" s="13" t="s">
        <v>88</v>
      </c>
      <c r="M7" s="13" t="s">
        <v>88</v>
      </c>
      <c r="N7" s="13" t="s">
        <v>88</v>
      </c>
      <c r="O7" s="13" t="s">
        <v>88</v>
      </c>
      <c r="P7" s="13" t="s">
        <v>88</v>
      </c>
      <c r="Q7" s="13" t="s">
        <v>88</v>
      </c>
      <c r="R7" s="13" t="s">
        <v>88</v>
      </c>
      <c r="S7" s="13" t="s">
        <v>88</v>
      </c>
      <c r="T7" s="13" t="s">
        <v>88</v>
      </c>
      <c r="U7" s="13" t="s">
        <v>88</v>
      </c>
      <c r="X7" s="12" t="s">
        <v>1035</v>
      </c>
      <c r="Y7" s="13" t="s">
        <v>88</v>
      </c>
      <c r="Z7" s="13" t="s">
        <v>88</v>
      </c>
      <c r="AA7" s="13" t="s">
        <v>88</v>
      </c>
    </row>
    <row r="8" spans="1:255" ht="10.5" x14ac:dyDescent="0.2">
      <c r="A8" s="14" t="s">
        <v>1230</v>
      </c>
      <c r="B8" s="5"/>
      <c r="C8" s="5"/>
      <c r="D8" s="5"/>
      <c r="E8" s="5"/>
      <c r="F8" s="5"/>
      <c r="G8" s="5"/>
      <c r="H8" s="5"/>
      <c r="I8" s="5"/>
      <c r="J8" s="5"/>
      <c r="K8" s="5"/>
      <c r="L8" s="5"/>
      <c r="M8" s="5"/>
      <c r="N8" s="5"/>
      <c r="O8" s="5"/>
      <c r="P8" s="5"/>
      <c r="Q8" s="5"/>
      <c r="R8" s="5"/>
      <c r="S8" s="5"/>
      <c r="T8" s="5"/>
      <c r="U8" s="5"/>
      <c r="X8" s="14" t="s">
        <v>1230</v>
      </c>
      <c r="Y8" s="5"/>
      <c r="Z8" s="5"/>
      <c r="AA8" s="5"/>
    </row>
    <row r="9" spans="1:255" x14ac:dyDescent="0.2">
      <c r="A9" s="5" t="s">
        <v>737</v>
      </c>
      <c r="B9" s="15">
        <v>2.546802</v>
      </c>
      <c r="C9" s="15">
        <v>4.7642249999999997</v>
      </c>
      <c r="D9" s="15">
        <v>9.0365660000000005</v>
      </c>
      <c r="E9" s="15">
        <v>16.317861000000001</v>
      </c>
      <c r="F9" s="15">
        <v>18.367162</v>
      </c>
      <c r="G9" s="15">
        <v>31.868970000000001</v>
      </c>
      <c r="H9" s="15">
        <v>38.608544999999999</v>
      </c>
      <c r="I9" s="15">
        <v>39.477041</v>
      </c>
      <c r="J9" s="15">
        <v>51.132738000000003</v>
      </c>
      <c r="K9" s="15">
        <v>57.104958000000003</v>
      </c>
      <c r="L9" s="15">
        <v>67.277880999999994</v>
      </c>
      <c r="M9" s="15">
        <v>89.142482000000001</v>
      </c>
      <c r="N9" s="15">
        <v>102.915905</v>
      </c>
      <c r="O9" s="15">
        <v>113.11424700000001</v>
      </c>
      <c r="P9" s="15">
        <v>145.75140099999999</v>
      </c>
      <c r="Q9" s="15">
        <v>219.22811799999999</v>
      </c>
      <c r="R9" s="15">
        <v>304.055497</v>
      </c>
      <c r="S9" s="15">
        <v>395.75586800000002</v>
      </c>
      <c r="T9" s="15">
        <v>504.79700000000003</v>
      </c>
      <c r="U9" s="15">
        <v>596.08399999999995</v>
      </c>
      <c r="X9" s="5" t="s">
        <v>737</v>
      </c>
      <c r="Y9" s="15">
        <v>265.82</v>
      </c>
      <c r="Z9" s="15">
        <f>U9-Y9</f>
        <v>330.26399999999995</v>
      </c>
      <c r="AA9" s="15">
        <v>293.59100000000001</v>
      </c>
    </row>
    <row r="10" spans="1:255" x14ac:dyDescent="0.2">
      <c r="A10" s="5" t="s">
        <v>1231</v>
      </c>
      <c r="B10" s="15">
        <v>0</v>
      </c>
      <c r="C10" s="15">
        <v>0</v>
      </c>
      <c r="D10" s="15">
        <v>0</v>
      </c>
      <c r="E10" s="15">
        <v>0</v>
      </c>
      <c r="F10" s="15">
        <v>0</v>
      </c>
      <c r="G10" s="15">
        <v>0</v>
      </c>
      <c r="H10" s="15">
        <v>0</v>
      </c>
      <c r="I10" s="15">
        <v>0</v>
      </c>
      <c r="J10" s="15">
        <v>0</v>
      </c>
      <c r="K10" s="15">
        <v>0</v>
      </c>
      <c r="L10" s="15">
        <v>0</v>
      </c>
      <c r="M10" s="15">
        <v>0</v>
      </c>
      <c r="N10" s="15">
        <v>0</v>
      </c>
      <c r="O10" s="15">
        <v>0</v>
      </c>
      <c r="P10" s="15">
        <v>0</v>
      </c>
      <c r="Q10" s="15">
        <v>0</v>
      </c>
      <c r="R10" s="15">
        <v>0</v>
      </c>
      <c r="S10" s="15">
        <v>0</v>
      </c>
      <c r="T10" s="15">
        <v>0</v>
      </c>
      <c r="U10" s="15">
        <v>0</v>
      </c>
      <c r="X10" s="5" t="s">
        <v>1231</v>
      </c>
      <c r="Y10" s="15">
        <v>0</v>
      </c>
      <c r="Z10" s="15">
        <f t="shared" ref="Z10:Z11" si="0">U10-Y10</f>
        <v>0</v>
      </c>
      <c r="AA10" s="15">
        <v>0</v>
      </c>
    </row>
    <row r="11" spans="1:255" ht="10.5" x14ac:dyDescent="0.2">
      <c r="A11" s="14" t="s">
        <v>1199</v>
      </c>
      <c r="B11" s="16">
        <v>2.546802</v>
      </c>
      <c r="C11" s="16">
        <v>4.7642249999999997</v>
      </c>
      <c r="D11" s="16">
        <v>9.0365660000000005</v>
      </c>
      <c r="E11" s="16">
        <v>16.317861000000001</v>
      </c>
      <c r="F11" s="16">
        <v>18.367162</v>
      </c>
      <c r="G11" s="16">
        <v>31.868970000000001</v>
      </c>
      <c r="H11" s="16">
        <v>38.608544999999999</v>
      </c>
      <c r="I11" s="16">
        <v>39.477041</v>
      </c>
      <c r="J11" s="16">
        <v>51.132738000000003</v>
      </c>
      <c r="K11" s="16">
        <v>57.104958000000003</v>
      </c>
      <c r="L11" s="16">
        <v>67.277880999999994</v>
      </c>
      <c r="M11" s="16">
        <v>89.142482000000001</v>
      </c>
      <c r="N11" s="16">
        <v>102.915905</v>
      </c>
      <c r="O11" s="16">
        <v>113.11424700000001</v>
      </c>
      <c r="P11" s="16">
        <v>145.75140099999999</v>
      </c>
      <c r="Q11" s="16">
        <v>219.22811799999999</v>
      </c>
      <c r="R11" s="16">
        <v>304.055497</v>
      </c>
      <c r="S11" s="16">
        <v>395.75586800000002</v>
      </c>
      <c r="T11" s="16">
        <v>504.79700000000003</v>
      </c>
      <c r="U11" s="16">
        <v>596.08399999999995</v>
      </c>
      <c r="X11" s="14" t="s">
        <v>1199</v>
      </c>
      <c r="Y11" s="16">
        <v>265.82</v>
      </c>
      <c r="Z11" s="16">
        <f t="shared" si="0"/>
        <v>330.26399999999995</v>
      </c>
      <c r="AA11" s="16">
        <v>293.59100000000001</v>
      </c>
    </row>
    <row r="12" spans="1:255" x14ac:dyDescent="0.2">
      <c r="A12" s="5"/>
      <c r="B12" s="5"/>
      <c r="C12" s="5"/>
      <c r="D12" s="5"/>
      <c r="E12" s="5"/>
      <c r="F12" s="5"/>
      <c r="G12" s="5"/>
      <c r="H12" s="5"/>
      <c r="I12" s="5"/>
      <c r="J12" s="5"/>
      <c r="K12" s="5"/>
      <c r="L12" s="5"/>
      <c r="M12" s="5"/>
      <c r="N12" s="5"/>
      <c r="O12" s="5"/>
      <c r="P12" s="5"/>
      <c r="Q12" s="5"/>
      <c r="R12" s="5"/>
      <c r="S12" s="5"/>
      <c r="T12" s="5"/>
      <c r="U12" s="5"/>
      <c r="X12" s="5"/>
      <c r="Y12" s="5"/>
      <c r="Z12" s="5"/>
      <c r="AA12" s="5"/>
    </row>
    <row r="13" spans="1:255" x14ac:dyDescent="0.2">
      <c r="A13" s="5" t="s">
        <v>1232</v>
      </c>
      <c r="B13" s="15">
        <v>1.7998670000000001</v>
      </c>
      <c r="C13" s="15">
        <v>3.5327959999999998</v>
      </c>
      <c r="D13" s="15">
        <v>7.0778129999999999</v>
      </c>
      <c r="E13" s="15">
        <v>13.508307</v>
      </c>
      <c r="F13" s="15">
        <v>15.189681</v>
      </c>
      <c r="G13" s="15">
        <v>27.33193</v>
      </c>
      <c r="H13" s="15">
        <v>31.45607</v>
      </c>
      <c r="I13" s="15">
        <v>32.128467999999998</v>
      </c>
      <c r="J13" s="15">
        <v>42.426369000000001</v>
      </c>
      <c r="K13" s="15">
        <v>48.542504999999998</v>
      </c>
      <c r="L13" s="15">
        <v>56.419193999999997</v>
      </c>
      <c r="M13" s="15">
        <v>73.947436999999994</v>
      </c>
      <c r="N13" s="15">
        <v>83.157477999999998</v>
      </c>
      <c r="O13" s="15">
        <v>91.032033999999996</v>
      </c>
      <c r="P13" s="15">
        <v>117.23264899999999</v>
      </c>
      <c r="Q13" s="15">
        <v>175.92191700000001</v>
      </c>
      <c r="R13" s="15">
        <v>247.77107100000001</v>
      </c>
      <c r="S13" s="15">
        <v>325.24502899999999</v>
      </c>
      <c r="T13" s="15">
        <v>416.27600000000001</v>
      </c>
      <c r="U13" s="15">
        <v>493.30900000000003</v>
      </c>
      <c r="X13" s="5" t="s">
        <v>1232</v>
      </c>
      <c r="Y13" s="15">
        <v>219.18100000000001</v>
      </c>
      <c r="Z13" s="15">
        <f t="shared" ref="Z13:Z14" si="1">U13-Y13</f>
        <v>274.12800000000004</v>
      </c>
      <c r="AA13" s="15">
        <v>240.916</v>
      </c>
    </row>
    <row r="14" spans="1:255" ht="10.5" x14ac:dyDescent="0.2">
      <c r="A14" s="14" t="s">
        <v>1200</v>
      </c>
      <c r="B14" s="16">
        <v>0.74693600000000004</v>
      </c>
      <c r="C14" s="16">
        <v>1.2314290000000001</v>
      </c>
      <c r="D14" s="16">
        <v>1.958753</v>
      </c>
      <c r="E14" s="16">
        <v>2.8095539999999999</v>
      </c>
      <c r="F14" s="16">
        <v>3.1774810000000002</v>
      </c>
      <c r="G14" s="16">
        <v>4.5370400000000002</v>
      </c>
      <c r="H14" s="16">
        <v>7.1524749999999999</v>
      </c>
      <c r="I14" s="16">
        <v>7.348573</v>
      </c>
      <c r="J14" s="16">
        <v>8.7063690000000005</v>
      </c>
      <c r="K14" s="16">
        <v>8.5624529999999996</v>
      </c>
      <c r="L14" s="16">
        <v>10.858687</v>
      </c>
      <c r="M14" s="16">
        <v>15.195045</v>
      </c>
      <c r="N14" s="16">
        <v>19.758427000000001</v>
      </c>
      <c r="O14" s="16">
        <v>22.082212999999999</v>
      </c>
      <c r="P14" s="16">
        <v>28.518751999999999</v>
      </c>
      <c r="Q14" s="16">
        <v>43.306201000000001</v>
      </c>
      <c r="R14" s="16">
        <v>56.284426000000003</v>
      </c>
      <c r="S14" s="16">
        <v>70.510839000000004</v>
      </c>
      <c r="T14" s="16">
        <v>88.521000000000001</v>
      </c>
      <c r="U14" s="16">
        <v>102.77500000000001</v>
      </c>
      <c r="X14" s="14" t="s">
        <v>1200</v>
      </c>
      <c r="Y14" s="16">
        <v>46.639000000000003</v>
      </c>
      <c r="Z14" s="16">
        <f t="shared" si="1"/>
        <v>56.136000000000003</v>
      </c>
      <c r="AA14" s="16">
        <v>52.674999999999997</v>
      </c>
    </row>
    <row r="15" spans="1:255" x14ac:dyDescent="0.2">
      <c r="A15" s="5"/>
      <c r="B15" s="5"/>
      <c r="C15" s="5"/>
      <c r="D15" s="5"/>
      <c r="E15" s="5"/>
      <c r="F15" s="5"/>
      <c r="G15" s="5"/>
      <c r="H15" s="5"/>
      <c r="I15" s="5"/>
      <c r="J15" s="5"/>
      <c r="K15" s="5"/>
      <c r="L15" s="5"/>
      <c r="M15" s="5"/>
      <c r="N15" s="5"/>
      <c r="O15" s="5"/>
      <c r="P15" s="5"/>
      <c r="Q15" s="5"/>
      <c r="R15" s="5"/>
      <c r="S15" s="5"/>
      <c r="T15" s="5"/>
      <c r="U15" s="5"/>
      <c r="X15" s="5"/>
      <c r="Y15" s="5"/>
      <c r="Z15" s="5"/>
      <c r="AA15" s="5"/>
    </row>
    <row r="16" spans="1:255" x14ac:dyDescent="0.2">
      <c r="A16" s="5" t="s">
        <v>1233</v>
      </c>
      <c r="B16" s="15">
        <v>0.71019200000000005</v>
      </c>
      <c r="C16" s="15">
        <v>1.049464</v>
      </c>
      <c r="D16" s="15">
        <v>1.477919</v>
      </c>
      <c r="E16" s="15">
        <v>2.0329790000000001</v>
      </c>
      <c r="F16" s="15">
        <v>2.6439699999999999</v>
      </c>
      <c r="G16" s="15">
        <v>3.7307100000000002</v>
      </c>
      <c r="H16" s="15">
        <v>5.9687549999999998</v>
      </c>
      <c r="I16" s="15">
        <v>5.6917020000000003</v>
      </c>
      <c r="J16" s="15">
        <v>6.7127520000000001</v>
      </c>
      <c r="K16" s="15">
        <v>7.415324</v>
      </c>
      <c r="L16" s="15">
        <v>9.5461860000000005</v>
      </c>
      <c r="M16" s="15">
        <v>11.861407</v>
      </c>
      <c r="N16" s="15">
        <v>14.020987999999999</v>
      </c>
      <c r="O16" s="15">
        <v>14.682206000000001</v>
      </c>
      <c r="P16" s="15">
        <v>18.485997000000001</v>
      </c>
      <c r="Q16" s="15">
        <v>27.016508999999999</v>
      </c>
      <c r="R16" s="15">
        <v>33.994318999999997</v>
      </c>
      <c r="S16" s="15">
        <v>43.044390999999997</v>
      </c>
      <c r="T16" s="15">
        <v>52.993000000000002</v>
      </c>
      <c r="U16" s="15">
        <v>62.84</v>
      </c>
      <c r="X16" s="5" t="s">
        <v>1233</v>
      </c>
      <c r="Y16" s="15">
        <v>29.347999999999999</v>
      </c>
      <c r="Z16" s="15">
        <f t="shared" ref="Z16:Z18" si="2">U16-Y16</f>
        <v>33.492000000000004</v>
      </c>
      <c r="AA16" s="15">
        <v>34.654000000000003</v>
      </c>
    </row>
    <row r="17" spans="1:27" x14ac:dyDescent="0.2">
      <c r="A17" s="5" t="s">
        <v>1234</v>
      </c>
      <c r="B17" s="15">
        <v>0</v>
      </c>
      <c r="C17" s="15">
        <v>0</v>
      </c>
      <c r="D17" s="15">
        <v>0</v>
      </c>
      <c r="E17" s="15">
        <v>0</v>
      </c>
      <c r="F17" s="15">
        <v>0</v>
      </c>
      <c r="G17" s="15">
        <v>0</v>
      </c>
      <c r="H17" s="15">
        <v>0</v>
      </c>
      <c r="I17" s="15">
        <v>0</v>
      </c>
      <c r="J17" s="15">
        <v>0</v>
      </c>
      <c r="K17" s="15">
        <v>0</v>
      </c>
      <c r="L17" s="15">
        <v>0</v>
      </c>
      <c r="M17" s="15">
        <v>0</v>
      </c>
      <c r="N17" s="15">
        <v>0</v>
      </c>
      <c r="O17" s="15">
        <v>0</v>
      </c>
      <c r="P17" s="15">
        <v>0</v>
      </c>
      <c r="Q17" s="15">
        <v>0</v>
      </c>
      <c r="R17" s="15">
        <v>0</v>
      </c>
      <c r="S17" s="15">
        <v>0</v>
      </c>
      <c r="T17" s="15">
        <v>0</v>
      </c>
      <c r="U17" s="15">
        <v>0</v>
      </c>
      <c r="X17" s="5" t="s">
        <v>1234</v>
      </c>
      <c r="Y17" s="15">
        <v>0</v>
      </c>
      <c r="Z17" s="15">
        <f t="shared" si="2"/>
        <v>0</v>
      </c>
      <c r="AA17" s="15">
        <v>0</v>
      </c>
    </row>
    <row r="18" spans="1:27" x14ac:dyDescent="0.2">
      <c r="A18" s="5" t="s">
        <v>1235</v>
      </c>
      <c r="B18" s="15">
        <v>0</v>
      </c>
      <c r="C18" s="15">
        <v>0</v>
      </c>
      <c r="D18" s="15">
        <v>0</v>
      </c>
      <c r="E18" s="15">
        <v>0</v>
      </c>
      <c r="F18" s="15">
        <v>0</v>
      </c>
      <c r="G18" s="15">
        <v>0</v>
      </c>
      <c r="H18" s="15">
        <v>0</v>
      </c>
      <c r="I18" s="15">
        <v>0</v>
      </c>
      <c r="J18" s="15">
        <v>0</v>
      </c>
      <c r="K18" s="15">
        <v>0</v>
      </c>
      <c r="L18" s="15">
        <v>0</v>
      </c>
      <c r="M18" s="15">
        <v>0</v>
      </c>
      <c r="N18" s="15">
        <v>0</v>
      </c>
      <c r="O18" s="15">
        <v>0</v>
      </c>
      <c r="P18" s="15">
        <v>0</v>
      </c>
      <c r="Q18" s="15">
        <v>0</v>
      </c>
      <c r="R18" s="15">
        <v>0</v>
      </c>
      <c r="S18" s="15">
        <v>0</v>
      </c>
      <c r="T18" s="15">
        <v>0</v>
      </c>
      <c r="U18" s="15">
        <v>0</v>
      </c>
      <c r="X18" s="5" t="s">
        <v>1235</v>
      </c>
      <c r="Y18" s="15">
        <v>0</v>
      </c>
      <c r="Z18" s="15">
        <f t="shared" si="2"/>
        <v>0</v>
      </c>
      <c r="AA18" s="15">
        <v>0</v>
      </c>
    </row>
    <row r="19" spans="1:27" x14ac:dyDescent="0.2">
      <c r="A19" s="5" t="s">
        <v>1236</v>
      </c>
      <c r="B19" s="15">
        <v>0</v>
      </c>
      <c r="C19" s="15">
        <v>0</v>
      </c>
      <c r="D19" s="15">
        <v>0</v>
      </c>
      <c r="E19" s="15">
        <v>0</v>
      </c>
      <c r="F19" s="15">
        <v>0</v>
      </c>
      <c r="G19" s="15">
        <v>0</v>
      </c>
      <c r="H19" s="15">
        <v>0</v>
      </c>
      <c r="I19" s="15">
        <v>0</v>
      </c>
      <c r="J19" s="15">
        <v>0</v>
      </c>
      <c r="K19" s="15">
        <v>0</v>
      </c>
      <c r="L19" s="15">
        <v>0</v>
      </c>
      <c r="M19" s="15">
        <v>0</v>
      </c>
      <c r="N19" s="15">
        <v>0</v>
      </c>
      <c r="O19" s="15">
        <v>0</v>
      </c>
      <c r="P19" s="15">
        <v>0</v>
      </c>
      <c r="Q19" s="15">
        <v>0</v>
      </c>
      <c r="R19" s="15">
        <v>0</v>
      </c>
      <c r="S19" s="15">
        <v>9.8325999999999997E-2</v>
      </c>
      <c r="T19" s="15">
        <v>0</v>
      </c>
      <c r="U19" s="15">
        <v>0.35299999999999998</v>
      </c>
      <c r="X19" s="5"/>
      <c r="Y19" s="15"/>
      <c r="Z19" s="15"/>
      <c r="AA19" s="15"/>
    </row>
    <row r="20" spans="1:27" x14ac:dyDescent="0.2">
      <c r="A20" s="5" t="s">
        <v>1237</v>
      </c>
      <c r="B20" s="15">
        <v>0</v>
      </c>
      <c r="C20" s="15">
        <v>0</v>
      </c>
      <c r="D20" s="15">
        <v>0</v>
      </c>
      <c r="E20" s="15">
        <v>0</v>
      </c>
      <c r="F20" s="15">
        <v>0</v>
      </c>
      <c r="G20" s="15">
        <v>0</v>
      </c>
      <c r="H20" s="15">
        <v>0</v>
      </c>
      <c r="I20" s="15">
        <v>0</v>
      </c>
      <c r="J20" s="15">
        <v>0</v>
      </c>
      <c r="K20" s="15">
        <v>0</v>
      </c>
      <c r="L20" s="15">
        <v>0</v>
      </c>
      <c r="M20" s="15">
        <v>0</v>
      </c>
      <c r="N20" s="15">
        <v>0</v>
      </c>
      <c r="O20" s="15">
        <v>0</v>
      </c>
      <c r="P20" s="15">
        <v>0</v>
      </c>
      <c r="Q20" s="15">
        <v>0</v>
      </c>
      <c r="R20" s="15">
        <v>0</v>
      </c>
      <c r="S20" s="15">
        <v>0</v>
      </c>
      <c r="T20" s="15">
        <v>0</v>
      </c>
      <c r="U20" s="15">
        <v>0</v>
      </c>
      <c r="X20" s="5" t="s">
        <v>1237</v>
      </c>
      <c r="Y20" s="15">
        <v>0</v>
      </c>
      <c r="Z20" s="15">
        <f>U20-Y20</f>
        <v>0</v>
      </c>
      <c r="AA20" s="15">
        <v>0</v>
      </c>
    </row>
    <row r="21" spans="1:27" x14ac:dyDescent="0.2">
      <c r="A21" s="5"/>
      <c r="B21" s="5"/>
      <c r="C21" s="5"/>
      <c r="D21" s="5"/>
      <c r="E21" s="5"/>
      <c r="F21" s="5"/>
      <c r="G21" s="5"/>
      <c r="H21" s="5"/>
      <c r="I21" s="5"/>
      <c r="J21" s="5"/>
      <c r="K21" s="5"/>
      <c r="L21" s="5"/>
      <c r="M21" s="5"/>
      <c r="N21" s="5"/>
      <c r="O21" s="5"/>
      <c r="P21" s="5"/>
      <c r="Q21" s="5"/>
      <c r="R21" s="5"/>
      <c r="S21" s="5"/>
      <c r="T21" s="5"/>
      <c r="U21" s="5"/>
      <c r="X21" s="5"/>
      <c r="Y21" s="5"/>
      <c r="Z21" s="5"/>
      <c r="AA21" s="5"/>
    </row>
    <row r="22" spans="1:27" ht="10.5" x14ac:dyDescent="0.2">
      <c r="A22" s="14" t="s">
        <v>1238</v>
      </c>
      <c r="B22" s="16">
        <v>0.71019200000000005</v>
      </c>
      <c r="C22" s="16">
        <v>1.049464</v>
      </c>
      <c r="D22" s="16">
        <v>1.477919</v>
      </c>
      <c r="E22" s="16">
        <v>2.0329790000000001</v>
      </c>
      <c r="F22" s="16">
        <v>2.6439699999999999</v>
      </c>
      <c r="G22" s="16">
        <v>3.7307100000000002</v>
      </c>
      <c r="H22" s="16">
        <v>5.9687549999999998</v>
      </c>
      <c r="I22" s="16">
        <v>5.6917020000000003</v>
      </c>
      <c r="J22" s="16">
        <v>6.7127520000000001</v>
      </c>
      <c r="K22" s="16">
        <v>7.415324</v>
      </c>
      <c r="L22" s="16">
        <v>9.5461860000000005</v>
      </c>
      <c r="M22" s="16">
        <v>11.861407</v>
      </c>
      <c r="N22" s="16">
        <v>14.020987999999999</v>
      </c>
      <c r="O22" s="16">
        <v>14.682206000000001</v>
      </c>
      <c r="P22" s="16">
        <v>18.485997000000001</v>
      </c>
      <c r="Q22" s="16">
        <v>27.016508999999999</v>
      </c>
      <c r="R22" s="16">
        <v>33.994318999999997</v>
      </c>
      <c r="S22" s="16">
        <v>43.142716999999998</v>
      </c>
      <c r="T22" s="16">
        <v>52.993000000000002</v>
      </c>
      <c r="U22" s="16">
        <v>63.192999999999998</v>
      </c>
      <c r="X22" s="14" t="s">
        <v>1238</v>
      </c>
      <c r="Y22" s="16">
        <v>29.347999999999999</v>
      </c>
      <c r="Z22" s="16">
        <f>U22-Y22</f>
        <v>33.844999999999999</v>
      </c>
      <c r="AA22" s="16">
        <v>34.654000000000003</v>
      </c>
    </row>
    <row r="23" spans="1:27" x14ac:dyDescent="0.2">
      <c r="A23" s="5"/>
      <c r="B23" s="5"/>
      <c r="C23" s="5"/>
      <c r="D23" s="5"/>
      <c r="E23" s="5"/>
      <c r="F23" s="5"/>
      <c r="G23" s="5"/>
      <c r="H23" s="5"/>
      <c r="I23" s="5"/>
      <c r="J23" s="5"/>
      <c r="K23" s="5"/>
      <c r="L23" s="5"/>
      <c r="M23" s="5"/>
      <c r="N23" s="5"/>
      <c r="O23" s="5"/>
      <c r="P23" s="5"/>
      <c r="Q23" s="5"/>
      <c r="R23" s="5"/>
      <c r="S23" s="5"/>
      <c r="T23" s="5"/>
      <c r="U23" s="5"/>
      <c r="X23" s="5"/>
      <c r="Y23" s="5"/>
      <c r="Z23" s="5"/>
      <c r="AA23" s="5"/>
    </row>
    <row r="24" spans="1:27" ht="10.5" x14ac:dyDescent="0.2">
      <c r="A24" s="14" t="s">
        <v>1239</v>
      </c>
      <c r="B24" s="17">
        <v>3.6743999999999999E-2</v>
      </c>
      <c r="C24" s="17">
        <v>0.18196499999999999</v>
      </c>
      <c r="D24" s="17">
        <v>0.48083399999999998</v>
      </c>
      <c r="E24" s="17">
        <v>0.77657500000000002</v>
      </c>
      <c r="F24" s="17">
        <v>0.53351099999999996</v>
      </c>
      <c r="G24" s="17">
        <v>0.80632999999999999</v>
      </c>
      <c r="H24" s="17">
        <v>1.1837200000000001</v>
      </c>
      <c r="I24" s="17">
        <v>1.656871</v>
      </c>
      <c r="J24" s="17">
        <v>1.993617</v>
      </c>
      <c r="K24" s="17">
        <v>1.1471290000000001</v>
      </c>
      <c r="L24" s="17">
        <v>1.3125009999999999</v>
      </c>
      <c r="M24" s="17">
        <v>3.3336380000000001</v>
      </c>
      <c r="N24" s="17">
        <v>5.7374390000000002</v>
      </c>
      <c r="O24" s="17">
        <v>7.4000069999999996</v>
      </c>
      <c r="P24" s="17">
        <v>10.032755</v>
      </c>
      <c r="Q24" s="17">
        <v>16.289691999999999</v>
      </c>
      <c r="R24" s="17">
        <v>22.290106999999999</v>
      </c>
      <c r="S24" s="17">
        <v>27.368122</v>
      </c>
      <c r="T24" s="17">
        <v>35.527999999999999</v>
      </c>
      <c r="U24" s="17">
        <v>39.582000000000001</v>
      </c>
      <c r="X24" s="14" t="s">
        <v>1239</v>
      </c>
      <c r="Y24" s="17">
        <v>17.291</v>
      </c>
      <c r="Z24" s="17">
        <f>U24-Y24</f>
        <v>22.291</v>
      </c>
      <c r="AA24" s="17">
        <v>18.021000000000001</v>
      </c>
    </row>
    <row r="25" spans="1:27" x14ac:dyDescent="0.2">
      <c r="A25" s="5"/>
      <c r="B25" s="5"/>
      <c r="C25" s="5"/>
      <c r="D25" s="5"/>
      <c r="E25" s="5"/>
      <c r="F25" s="5"/>
      <c r="G25" s="5"/>
      <c r="H25" s="5"/>
      <c r="I25" s="5"/>
      <c r="J25" s="5"/>
      <c r="K25" s="5"/>
      <c r="L25" s="5"/>
      <c r="M25" s="5"/>
      <c r="N25" s="5"/>
      <c r="O25" s="5"/>
      <c r="P25" s="5"/>
      <c r="Q25" s="5"/>
      <c r="R25" s="5"/>
      <c r="S25" s="5"/>
      <c r="T25" s="5"/>
      <c r="U25" s="5"/>
      <c r="X25" s="5"/>
      <c r="Y25" s="5"/>
      <c r="Z25" s="5"/>
      <c r="AA25" s="5"/>
    </row>
    <row r="26" spans="1:27" x14ac:dyDescent="0.2">
      <c r="A26" s="5" t="s">
        <v>817</v>
      </c>
      <c r="B26" s="15">
        <v>0</v>
      </c>
      <c r="C26" s="15">
        <v>0</v>
      </c>
      <c r="D26" s="15">
        <v>-0.1</v>
      </c>
      <c r="E26" s="15">
        <v>0</v>
      </c>
      <c r="F26" s="15">
        <v>-0.1</v>
      </c>
      <c r="G26" s="15">
        <v>-0.1</v>
      </c>
      <c r="H26" s="15">
        <v>0</v>
      </c>
      <c r="I26" s="15">
        <v>0</v>
      </c>
      <c r="J26" s="15">
        <v>0</v>
      </c>
      <c r="K26" s="15">
        <v>0</v>
      </c>
      <c r="L26" s="15">
        <v>0</v>
      </c>
      <c r="M26" s="15">
        <v>0</v>
      </c>
      <c r="N26" s="15">
        <v>0</v>
      </c>
      <c r="O26" s="15">
        <v>0</v>
      </c>
      <c r="P26" s="15">
        <v>-0.1</v>
      </c>
      <c r="Q26" s="15">
        <v>0</v>
      </c>
      <c r="R26" s="15">
        <v>0</v>
      </c>
      <c r="S26" s="15">
        <v>0</v>
      </c>
      <c r="T26" s="15">
        <v>0</v>
      </c>
      <c r="U26" s="15">
        <v>0</v>
      </c>
      <c r="X26" s="5" t="s">
        <v>817</v>
      </c>
      <c r="Y26" s="15">
        <v>0</v>
      </c>
      <c r="Z26" s="15">
        <f t="shared" ref="Z26:Z28" si="3">U26-Y26</f>
        <v>0</v>
      </c>
      <c r="AA26" s="15">
        <v>0</v>
      </c>
    </row>
    <row r="27" spans="1:27" x14ac:dyDescent="0.2">
      <c r="A27" s="5" t="s">
        <v>1240</v>
      </c>
      <c r="B27" s="15">
        <v>0</v>
      </c>
      <c r="C27" s="15">
        <v>0</v>
      </c>
      <c r="D27" s="15">
        <v>9.0700000000000004E-4</v>
      </c>
      <c r="E27" s="15">
        <v>0</v>
      </c>
      <c r="F27" s="15">
        <v>0</v>
      </c>
      <c r="G27" s="15">
        <v>0</v>
      </c>
      <c r="H27" s="15">
        <v>0</v>
      </c>
      <c r="I27" s="15">
        <v>3.6597999999999999E-2</v>
      </c>
      <c r="J27" s="15">
        <v>1.589491</v>
      </c>
      <c r="K27" s="15">
        <v>8.2199999999999995E-2</v>
      </c>
      <c r="L27" s="15">
        <v>7.6938999999999994E-2</v>
      </c>
      <c r="M27" s="15">
        <v>0.149785</v>
      </c>
      <c r="N27" s="15">
        <v>0.30081799999999997</v>
      </c>
      <c r="O27" s="15">
        <v>0.214314</v>
      </c>
      <c r="P27" s="15">
        <v>4.6067999999999998E-2</v>
      </c>
      <c r="Q27" s="15">
        <v>5.8525000000000001E-2</v>
      </c>
      <c r="R27" s="15">
        <v>0.13525999999999999</v>
      </c>
      <c r="S27" s="15">
        <v>8.1443000000000002E-2</v>
      </c>
      <c r="T27" s="15">
        <v>0.10199999999999999</v>
      </c>
      <c r="U27" s="15">
        <v>0.19500000000000001</v>
      </c>
      <c r="X27" s="5" t="s">
        <v>1240</v>
      </c>
      <c r="Y27" s="15">
        <v>8.1000000000000003E-2</v>
      </c>
      <c r="Z27" s="15">
        <f t="shared" si="3"/>
        <v>0.114</v>
      </c>
      <c r="AA27" s="15">
        <v>0.106</v>
      </c>
    </row>
    <row r="28" spans="1:27" ht="10.5" x14ac:dyDescent="0.2">
      <c r="A28" s="14" t="s">
        <v>1241</v>
      </c>
      <c r="B28" s="16">
        <v>0</v>
      </c>
      <c r="C28" s="16">
        <v>0</v>
      </c>
      <c r="D28" s="16">
        <v>-0.1</v>
      </c>
      <c r="E28" s="16">
        <v>0</v>
      </c>
      <c r="F28" s="16">
        <v>-0.1</v>
      </c>
      <c r="G28" s="16">
        <v>-0.1</v>
      </c>
      <c r="H28" s="16">
        <v>0</v>
      </c>
      <c r="I28" s="16">
        <v>2.6848E-2</v>
      </c>
      <c r="J28" s="16">
        <v>1.5863970000000001</v>
      </c>
      <c r="K28" s="16">
        <v>6.6298999999999997E-2</v>
      </c>
      <c r="L28" s="16">
        <v>4.6339999999999999E-2</v>
      </c>
      <c r="M28" s="16">
        <v>0.14118900000000001</v>
      </c>
      <c r="N28" s="16">
        <v>0.299564</v>
      </c>
      <c r="O28" s="16">
        <v>0.21337100000000001</v>
      </c>
      <c r="P28" s="16">
        <v>0</v>
      </c>
      <c r="Q28" s="16">
        <v>5.8015999999999998E-2</v>
      </c>
      <c r="R28" s="16">
        <v>0.13525999999999999</v>
      </c>
      <c r="S28" s="16">
        <v>8.1443000000000002E-2</v>
      </c>
      <c r="T28" s="16">
        <v>0.10199999999999999</v>
      </c>
      <c r="U28" s="16">
        <v>0.19500000000000001</v>
      </c>
      <c r="X28" s="14" t="s">
        <v>1241</v>
      </c>
      <c r="Y28" s="16">
        <v>8.1000000000000003E-2</v>
      </c>
      <c r="Z28" s="16">
        <f t="shared" si="3"/>
        <v>0.114</v>
      </c>
      <c r="AA28" s="16">
        <v>0.106</v>
      </c>
    </row>
    <row r="29" spans="1:27" x14ac:dyDescent="0.2">
      <c r="A29" s="5"/>
      <c r="B29" s="5"/>
      <c r="C29" s="5"/>
      <c r="D29" s="5"/>
      <c r="E29" s="5"/>
      <c r="F29" s="5"/>
      <c r="G29" s="5"/>
      <c r="H29" s="5"/>
      <c r="I29" s="5"/>
      <c r="J29" s="5"/>
      <c r="K29" s="5"/>
      <c r="L29" s="5"/>
      <c r="M29" s="5"/>
      <c r="N29" s="5"/>
      <c r="O29" s="5"/>
      <c r="P29" s="5"/>
      <c r="Q29" s="5"/>
      <c r="R29" s="5"/>
      <c r="S29" s="5"/>
      <c r="T29" s="5"/>
      <c r="U29" s="5"/>
      <c r="X29" s="5"/>
      <c r="Y29" s="5"/>
      <c r="Z29" s="5"/>
      <c r="AA29" s="5"/>
    </row>
    <row r="30" spans="1:27" x14ac:dyDescent="0.2">
      <c r="A30" s="5" t="s">
        <v>1242</v>
      </c>
      <c r="B30" s="15">
        <v>0</v>
      </c>
      <c r="C30" s="15">
        <v>0</v>
      </c>
      <c r="D30" s="15">
        <v>0</v>
      </c>
      <c r="E30" s="15">
        <v>0</v>
      </c>
      <c r="F30" s="15">
        <v>0</v>
      </c>
      <c r="G30" s="15">
        <v>0</v>
      </c>
      <c r="H30" s="15">
        <v>0</v>
      </c>
      <c r="I30" s="15">
        <v>0</v>
      </c>
      <c r="J30" s="15">
        <v>0</v>
      </c>
      <c r="K30" s="15">
        <v>0</v>
      </c>
      <c r="L30" s="15">
        <v>0</v>
      </c>
      <c r="M30" s="15">
        <v>0</v>
      </c>
      <c r="N30" s="15">
        <v>0</v>
      </c>
      <c r="O30" s="15">
        <v>0</v>
      </c>
      <c r="P30" s="15">
        <v>0</v>
      </c>
      <c r="Q30" s="15">
        <v>0</v>
      </c>
      <c r="R30" s="15">
        <v>0</v>
      </c>
      <c r="S30" s="15">
        <v>0</v>
      </c>
      <c r="T30" s="15">
        <v>0</v>
      </c>
      <c r="U30" s="15">
        <v>0</v>
      </c>
      <c r="X30" s="5" t="s">
        <v>1242</v>
      </c>
      <c r="Y30" s="15">
        <v>0</v>
      </c>
      <c r="Z30" s="15"/>
      <c r="AA30" s="15">
        <v>0</v>
      </c>
    </row>
    <row r="31" spans="1:27" ht="10.5" x14ac:dyDescent="0.2">
      <c r="A31" s="14" t="s">
        <v>1243</v>
      </c>
      <c r="B31" s="16">
        <v>1.5074000000000001E-2</v>
      </c>
      <c r="C31" s="16">
        <v>0.14195099999999999</v>
      </c>
      <c r="D31" s="16">
        <v>0.42165599999999998</v>
      </c>
      <c r="E31" s="16">
        <v>0.73467099999999996</v>
      </c>
      <c r="F31" s="16">
        <v>0.46541399999999999</v>
      </c>
      <c r="G31" s="16">
        <v>0.68254400000000004</v>
      </c>
      <c r="H31" s="16">
        <v>1.1521429999999999</v>
      </c>
      <c r="I31" s="16">
        <v>1.683719</v>
      </c>
      <c r="J31" s="16">
        <v>3.5800139999999998</v>
      </c>
      <c r="K31" s="16">
        <v>1.213428</v>
      </c>
      <c r="L31" s="16">
        <v>1.358841</v>
      </c>
      <c r="M31" s="16">
        <v>3.4748269999999999</v>
      </c>
      <c r="N31" s="16">
        <v>6.0370030000000003</v>
      </c>
      <c r="O31" s="16">
        <v>7.613378</v>
      </c>
      <c r="P31" s="16">
        <v>10.023001000000001</v>
      </c>
      <c r="Q31" s="16">
        <v>16.347708000000001</v>
      </c>
      <c r="R31" s="16">
        <v>22.425367000000001</v>
      </c>
      <c r="S31" s="16">
        <v>27.449565</v>
      </c>
      <c r="T31" s="16">
        <v>35.630000000000003</v>
      </c>
      <c r="U31" s="16">
        <v>39.777000000000001</v>
      </c>
      <c r="X31" s="14" t="s">
        <v>1243</v>
      </c>
      <c r="Y31" s="16">
        <v>17.372</v>
      </c>
      <c r="Z31" s="16"/>
      <c r="AA31" s="16">
        <v>18.126999999999999</v>
      </c>
    </row>
    <row r="32" spans="1:27" x14ac:dyDescent="0.2">
      <c r="A32" s="5"/>
      <c r="B32" s="5"/>
      <c r="C32" s="5"/>
      <c r="D32" s="5"/>
      <c r="E32" s="5"/>
      <c r="F32" s="5"/>
      <c r="G32" s="5"/>
      <c r="H32" s="5"/>
      <c r="I32" s="5"/>
      <c r="J32" s="5"/>
      <c r="K32" s="5"/>
      <c r="L32" s="5"/>
      <c r="M32" s="5"/>
      <c r="N32" s="5"/>
      <c r="O32" s="5"/>
      <c r="P32" s="5"/>
      <c r="Q32" s="5"/>
      <c r="R32" s="5"/>
      <c r="S32" s="5"/>
      <c r="T32" s="5"/>
      <c r="U32" s="5"/>
      <c r="X32" s="5"/>
      <c r="Y32" s="5"/>
      <c r="Z32" s="5"/>
      <c r="AA32" s="5"/>
    </row>
    <row r="33" spans="1:27" x14ac:dyDescent="0.2">
      <c r="A33" s="5" t="s">
        <v>1244</v>
      </c>
      <c r="B33" s="15">
        <v>0</v>
      </c>
      <c r="C33" s="15">
        <v>0</v>
      </c>
      <c r="D33" s="15">
        <v>0</v>
      </c>
      <c r="E33" s="15">
        <v>0</v>
      </c>
      <c r="F33" s="15">
        <v>0</v>
      </c>
      <c r="G33" s="15">
        <v>0</v>
      </c>
      <c r="H33" s="15">
        <v>0</v>
      </c>
      <c r="I33" s="15">
        <v>0</v>
      </c>
      <c r="J33" s="15">
        <v>0</v>
      </c>
      <c r="K33" s="15">
        <v>0</v>
      </c>
      <c r="L33" s="15">
        <v>0</v>
      </c>
      <c r="M33" s="15">
        <v>0</v>
      </c>
      <c r="N33" s="15">
        <v>0</v>
      </c>
      <c r="O33" s="15">
        <v>0</v>
      </c>
      <c r="P33" s="15">
        <v>0</v>
      </c>
      <c r="Q33" s="15">
        <v>0</v>
      </c>
      <c r="R33" s="15">
        <v>0</v>
      </c>
      <c r="S33" s="15">
        <v>0</v>
      </c>
      <c r="T33" s="15">
        <v>0</v>
      </c>
      <c r="U33" s="15">
        <v>0</v>
      </c>
      <c r="X33" s="5" t="s">
        <v>1244</v>
      </c>
      <c r="Y33" s="15">
        <v>0</v>
      </c>
      <c r="Z33" s="15">
        <f>U33-Y33</f>
        <v>0</v>
      </c>
      <c r="AA33" s="15">
        <v>0</v>
      </c>
    </row>
    <row r="34" spans="1:27" x14ac:dyDescent="0.2">
      <c r="A34" s="5" t="s">
        <v>1245</v>
      </c>
      <c r="B34" s="15">
        <v>0</v>
      </c>
      <c r="C34" s="15">
        <v>0</v>
      </c>
      <c r="D34" s="15">
        <v>0</v>
      </c>
      <c r="E34" s="15">
        <v>0</v>
      </c>
      <c r="F34" s="15">
        <v>0</v>
      </c>
      <c r="G34" s="15">
        <v>0</v>
      </c>
      <c r="H34" s="15">
        <v>0</v>
      </c>
      <c r="I34" s="15">
        <v>0</v>
      </c>
      <c r="J34" s="15">
        <v>-1.3</v>
      </c>
      <c r="K34" s="15">
        <v>0</v>
      </c>
      <c r="L34" s="15">
        <v>0</v>
      </c>
      <c r="M34" s="15">
        <v>0</v>
      </c>
      <c r="N34" s="15">
        <v>0</v>
      </c>
      <c r="O34" s="15">
        <v>0</v>
      </c>
      <c r="P34" s="15">
        <v>0</v>
      </c>
      <c r="Q34" s="15">
        <v>0</v>
      </c>
      <c r="R34" s="15">
        <v>0</v>
      </c>
      <c r="S34" s="15">
        <v>0</v>
      </c>
      <c r="T34" s="15">
        <v>0</v>
      </c>
      <c r="U34" s="15">
        <v>0</v>
      </c>
      <c r="X34" s="5"/>
      <c r="Y34" s="15"/>
      <c r="Z34" s="15"/>
      <c r="AA34" s="15"/>
    </row>
    <row r="35" spans="1:27" x14ac:dyDescent="0.2">
      <c r="A35" s="5" t="s">
        <v>1246</v>
      </c>
      <c r="B35" s="15">
        <v>0</v>
      </c>
      <c r="C35" s="15">
        <v>0</v>
      </c>
      <c r="D35" s="15">
        <v>0</v>
      </c>
      <c r="E35" s="15">
        <v>0</v>
      </c>
      <c r="F35" s="15">
        <v>0</v>
      </c>
      <c r="G35" s="15">
        <v>0</v>
      </c>
      <c r="H35" s="15">
        <v>0</v>
      </c>
      <c r="I35" s="15">
        <v>0</v>
      </c>
      <c r="J35" s="15">
        <v>0</v>
      </c>
      <c r="K35" s="15">
        <v>0</v>
      </c>
      <c r="L35" s="15">
        <v>0</v>
      </c>
      <c r="M35" s="15">
        <v>0</v>
      </c>
      <c r="N35" s="15">
        <v>0</v>
      </c>
      <c r="O35" s="15">
        <v>0</v>
      </c>
      <c r="P35" s="15">
        <v>0</v>
      </c>
      <c r="Q35" s="15">
        <v>0</v>
      </c>
      <c r="R35" s="15">
        <v>0</v>
      </c>
      <c r="S35" s="15">
        <v>0</v>
      </c>
      <c r="T35" s="15">
        <v>0</v>
      </c>
      <c r="U35" s="15">
        <v>0</v>
      </c>
      <c r="X35" s="5" t="s">
        <v>1246</v>
      </c>
      <c r="Y35" s="15">
        <v>-0.1</v>
      </c>
      <c r="Z35" s="15">
        <f t="shared" ref="Z35:Z36" si="4">U35-Y35</f>
        <v>0.1</v>
      </c>
      <c r="AA35" s="15">
        <v>-2.7</v>
      </c>
    </row>
    <row r="36" spans="1:27" ht="10.5" x14ac:dyDescent="0.2">
      <c r="A36" s="14" t="s">
        <v>1247</v>
      </c>
      <c r="B36" s="16">
        <v>0</v>
      </c>
      <c r="C36" s="16">
        <v>0.14195099999999999</v>
      </c>
      <c r="D36" s="16">
        <v>0.42165599999999998</v>
      </c>
      <c r="E36" s="16">
        <v>0.73467099999999996</v>
      </c>
      <c r="F36" s="16">
        <v>0.46541399999999999</v>
      </c>
      <c r="G36" s="16">
        <v>0.68254400000000004</v>
      </c>
      <c r="H36" s="16">
        <v>1.1521410000000001</v>
      </c>
      <c r="I36" s="16">
        <v>1.683719</v>
      </c>
      <c r="J36" s="16">
        <v>2.3237040000000002</v>
      </c>
      <c r="K36" s="16">
        <v>1.213428</v>
      </c>
      <c r="L36" s="16">
        <v>1.358841</v>
      </c>
      <c r="M36" s="16">
        <v>3.4748269999999999</v>
      </c>
      <c r="N36" s="16">
        <v>6.0370030000000003</v>
      </c>
      <c r="O36" s="16">
        <v>7.613378</v>
      </c>
      <c r="P36" s="16">
        <v>10.023001000000001</v>
      </c>
      <c r="Q36" s="16">
        <v>16.347708000000001</v>
      </c>
      <c r="R36" s="16">
        <v>22.425367000000001</v>
      </c>
      <c r="S36" s="16">
        <v>27.449565</v>
      </c>
      <c r="T36" s="16">
        <v>35.630000000000003</v>
      </c>
      <c r="U36" s="16">
        <v>39.777000000000001</v>
      </c>
      <c r="X36" s="14" t="s">
        <v>1247</v>
      </c>
      <c r="Y36" s="16">
        <v>17.314</v>
      </c>
      <c r="Z36" s="16">
        <f t="shared" si="4"/>
        <v>22.463000000000001</v>
      </c>
      <c r="AA36" s="16">
        <v>15.433999999999999</v>
      </c>
    </row>
    <row r="37" spans="1:27" x14ac:dyDescent="0.2">
      <c r="A37" s="5"/>
      <c r="B37" s="5"/>
      <c r="C37" s="5"/>
      <c r="D37" s="5"/>
      <c r="E37" s="5"/>
      <c r="F37" s="5"/>
      <c r="G37" s="5"/>
      <c r="H37" s="5"/>
      <c r="I37" s="5"/>
      <c r="J37" s="5"/>
      <c r="K37" s="5"/>
      <c r="L37" s="5"/>
      <c r="M37" s="5"/>
      <c r="N37" s="5"/>
      <c r="O37" s="5"/>
      <c r="P37" s="5"/>
      <c r="Q37" s="5"/>
      <c r="R37" s="5"/>
      <c r="S37" s="5"/>
      <c r="T37" s="5"/>
      <c r="U37" s="5"/>
      <c r="X37" s="5"/>
      <c r="Y37" s="5"/>
      <c r="Z37" s="5"/>
      <c r="AA37" s="5"/>
    </row>
    <row r="38" spans="1:27" x14ac:dyDescent="0.2">
      <c r="A38" s="5" t="s">
        <v>1248</v>
      </c>
      <c r="B38" s="15">
        <v>3.9659999999999999E-3</v>
      </c>
      <c r="C38" s="15">
        <v>3.4085999999999998E-2</v>
      </c>
      <c r="D38" s="15">
        <v>0.116815</v>
      </c>
      <c r="E38" s="15">
        <v>0.240949</v>
      </c>
      <c r="F38" s="15">
        <v>0.10513699999999999</v>
      </c>
      <c r="G38" s="15">
        <v>0.234599</v>
      </c>
      <c r="H38" s="15">
        <v>0.493697</v>
      </c>
      <c r="I38" s="15">
        <v>0.50621799999999995</v>
      </c>
      <c r="J38" s="15">
        <v>0.64450600000000002</v>
      </c>
      <c r="K38" s="15">
        <v>0.39427699999999999</v>
      </c>
      <c r="L38" s="15">
        <v>0.55082399999999998</v>
      </c>
      <c r="M38" s="15">
        <v>1.4077809999999999</v>
      </c>
      <c r="N38" s="15">
        <v>2.1146470000000002</v>
      </c>
      <c r="O38" s="15">
        <v>2.466958</v>
      </c>
      <c r="P38" s="15">
        <v>2.9612159999999998</v>
      </c>
      <c r="Q38" s="15">
        <v>4.8133999999999997</v>
      </c>
      <c r="R38" s="15">
        <v>5.2292509999999996</v>
      </c>
      <c r="S38" s="15">
        <v>6.8638380000000003</v>
      </c>
      <c r="T38" s="15">
        <v>8.2780000000000005</v>
      </c>
      <c r="U38" s="15">
        <v>8.66</v>
      </c>
      <c r="X38" s="5" t="s">
        <v>1248</v>
      </c>
      <c r="Y38" s="15">
        <v>3.766</v>
      </c>
      <c r="Z38" s="15">
        <f t="shared" ref="Z38:Z39" si="5">U38-Y38</f>
        <v>4.8940000000000001</v>
      </c>
      <c r="AA38" s="15">
        <v>3.5009999999999999</v>
      </c>
    </row>
    <row r="39" spans="1:27" ht="10.5" x14ac:dyDescent="0.2">
      <c r="A39" s="14" t="s">
        <v>1204</v>
      </c>
      <c r="B39" s="16">
        <v>0</v>
      </c>
      <c r="C39" s="16">
        <v>0.107865</v>
      </c>
      <c r="D39" s="16">
        <v>0.30484099999999997</v>
      </c>
      <c r="E39" s="16">
        <v>0.49372199999999999</v>
      </c>
      <c r="F39" s="16">
        <v>0.36027700000000001</v>
      </c>
      <c r="G39" s="16">
        <v>0.44794499999999998</v>
      </c>
      <c r="H39" s="16">
        <v>0.65844400000000003</v>
      </c>
      <c r="I39" s="16">
        <v>1.1775009999999999</v>
      </c>
      <c r="J39" s="16">
        <v>1.679198</v>
      </c>
      <c r="K39" s="16">
        <v>0.81915099999999996</v>
      </c>
      <c r="L39" s="16">
        <v>0.80801699999999999</v>
      </c>
      <c r="M39" s="16">
        <v>2.0670459999999999</v>
      </c>
      <c r="N39" s="16">
        <v>3.9223560000000002</v>
      </c>
      <c r="O39" s="16">
        <v>5.14642</v>
      </c>
      <c r="P39" s="16">
        <v>7.0617850000000004</v>
      </c>
      <c r="Q39" s="16">
        <v>11.534307999999999</v>
      </c>
      <c r="R39" s="16">
        <v>17.196116</v>
      </c>
      <c r="S39" s="16">
        <v>20.585726999999999</v>
      </c>
      <c r="T39" s="16">
        <v>27.352</v>
      </c>
      <c r="U39" s="16">
        <v>31.117000000000001</v>
      </c>
      <c r="X39" s="14" t="s">
        <v>1204</v>
      </c>
      <c r="Y39" s="16">
        <v>13.548</v>
      </c>
      <c r="Z39" s="16">
        <f t="shared" si="5"/>
        <v>17.569000000000003</v>
      </c>
      <c r="AA39" s="16">
        <v>11.933</v>
      </c>
    </row>
    <row r="40" spans="1:27" x14ac:dyDescent="0.2">
      <c r="A40" s="5"/>
      <c r="B40" s="5"/>
      <c r="C40" s="5"/>
      <c r="D40" s="5"/>
      <c r="E40" s="5"/>
      <c r="F40" s="5"/>
      <c r="G40" s="5"/>
      <c r="H40" s="5"/>
      <c r="I40" s="5"/>
      <c r="J40" s="5"/>
      <c r="K40" s="5"/>
      <c r="L40" s="5"/>
      <c r="M40" s="5"/>
      <c r="N40" s="5"/>
      <c r="O40" s="5"/>
      <c r="P40" s="5"/>
      <c r="Q40" s="5"/>
      <c r="R40" s="5"/>
      <c r="S40" s="5"/>
      <c r="T40" s="5"/>
      <c r="U40" s="5"/>
      <c r="X40" s="5"/>
      <c r="Y40" s="5"/>
      <c r="Z40" s="5"/>
      <c r="AA40" s="5"/>
    </row>
    <row r="41" spans="1:27" x14ac:dyDescent="0.2">
      <c r="A41" s="5" t="s">
        <v>1249</v>
      </c>
      <c r="B41" s="15">
        <v>0</v>
      </c>
      <c r="C41" s="15">
        <v>0</v>
      </c>
      <c r="D41" s="15">
        <v>0</v>
      </c>
      <c r="E41" s="15">
        <v>0</v>
      </c>
      <c r="F41" s="15">
        <v>0</v>
      </c>
      <c r="G41" s="15">
        <v>3.4497E-2</v>
      </c>
      <c r="H41" s="15">
        <v>0</v>
      </c>
      <c r="I41" s="15">
        <v>0</v>
      </c>
      <c r="J41" s="15">
        <v>0</v>
      </c>
      <c r="K41" s="15">
        <v>0</v>
      </c>
      <c r="L41" s="15">
        <v>0</v>
      </c>
      <c r="M41" s="15">
        <v>0</v>
      </c>
      <c r="N41" s="15">
        <v>0</v>
      </c>
      <c r="O41" s="15">
        <v>0</v>
      </c>
      <c r="P41" s="15">
        <v>0</v>
      </c>
      <c r="Q41" s="15">
        <v>0</v>
      </c>
      <c r="R41" s="15">
        <v>0</v>
      </c>
      <c r="S41" s="15">
        <v>0</v>
      </c>
      <c r="T41" s="15">
        <v>0</v>
      </c>
      <c r="U41" s="15">
        <v>0</v>
      </c>
      <c r="X41" s="5" t="s">
        <v>1249</v>
      </c>
      <c r="Y41" s="15">
        <v>0</v>
      </c>
      <c r="Z41" s="15">
        <f t="shared" ref="Z41:Z43" si="6">U41-Y41</f>
        <v>0</v>
      </c>
      <c r="AA41" s="15">
        <v>0</v>
      </c>
    </row>
    <row r="42" spans="1:27" x14ac:dyDescent="0.2">
      <c r="A42" s="5" t="s">
        <v>1250</v>
      </c>
      <c r="B42" s="15">
        <v>0</v>
      </c>
      <c r="C42" s="15">
        <v>0</v>
      </c>
      <c r="D42" s="15">
        <v>0</v>
      </c>
      <c r="E42" s="15">
        <v>0</v>
      </c>
      <c r="F42" s="15">
        <v>0</v>
      </c>
      <c r="G42" s="15">
        <v>0</v>
      </c>
      <c r="H42" s="15">
        <v>0</v>
      </c>
      <c r="I42" s="15">
        <v>0</v>
      </c>
      <c r="J42" s="15">
        <v>0</v>
      </c>
      <c r="K42" s="15">
        <v>0</v>
      </c>
      <c r="L42" s="15">
        <v>0</v>
      </c>
      <c r="M42" s="15">
        <v>0</v>
      </c>
      <c r="N42" s="15">
        <v>0</v>
      </c>
      <c r="O42" s="15">
        <v>0</v>
      </c>
      <c r="P42" s="15">
        <v>0</v>
      </c>
      <c r="Q42" s="15">
        <v>0</v>
      </c>
      <c r="R42" s="15">
        <v>0</v>
      </c>
      <c r="S42" s="15">
        <v>0</v>
      </c>
      <c r="T42" s="15">
        <v>0</v>
      </c>
      <c r="U42" s="15">
        <v>0</v>
      </c>
      <c r="X42" s="5" t="s">
        <v>1250</v>
      </c>
      <c r="Y42" s="15">
        <v>0</v>
      </c>
      <c r="Z42" s="15">
        <f t="shared" si="6"/>
        <v>0</v>
      </c>
      <c r="AA42" s="15">
        <v>0</v>
      </c>
    </row>
    <row r="43" spans="1:27" ht="10.5" x14ac:dyDescent="0.2">
      <c r="A43" s="14" t="s">
        <v>1251</v>
      </c>
      <c r="B43" s="16">
        <v>0</v>
      </c>
      <c r="C43" s="16">
        <v>0.107865</v>
      </c>
      <c r="D43" s="16">
        <v>0.30484099999999997</v>
      </c>
      <c r="E43" s="16">
        <v>0.49372199999999999</v>
      </c>
      <c r="F43" s="16">
        <v>0.36027700000000001</v>
      </c>
      <c r="G43" s="16">
        <v>0.48244199999999998</v>
      </c>
      <c r="H43" s="16">
        <v>0.65844400000000003</v>
      </c>
      <c r="I43" s="16">
        <v>1.1775009999999999</v>
      </c>
      <c r="J43" s="16">
        <v>1.679198</v>
      </c>
      <c r="K43" s="16">
        <v>0.81915099999999996</v>
      </c>
      <c r="L43" s="16">
        <v>0.80801699999999999</v>
      </c>
      <c r="M43" s="16">
        <v>2.0670459999999999</v>
      </c>
      <c r="N43" s="16">
        <v>3.9223560000000002</v>
      </c>
      <c r="O43" s="16">
        <v>5.14642</v>
      </c>
      <c r="P43" s="16">
        <v>7.0617850000000004</v>
      </c>
      <c r="Q43" s="16">
        <v>11.534307999999999</v>
      </c>
      <c r="R43" s="16">
        <v>17.196116</v>
      </c>
      <c r="S43" s="16">
        <v>20.585726999999999</v>
      </c>
      <c r="T43" s="16">
        <v>27.352</v>
      </c>
      <c r="U43" s="16">
        <v>31.117000000000001</v>
      </c>
      <c r="X43" s="14" t="s">
        <v>1251</v>
      </c>
      <c r="Y43" s="16">
        <v>13.548</v>
      </c>
      <c r="Z43" s="16">
        <f t="shared" si="6"/>
        <v>17.569000000000003</v>
      </c>
      <c r="AA43" s="16">
        <v>11.933</v>
      </c>
    </row>
    <row r="44" spans="1:27" x14ac:dyDescent="0.2">
      <c r="A44" s="5"/>
      <c r="B44" s="5"/>
      <c r="C44" s="5"/>
      <c r="D44" s="5"/>
      <c r="E44" s="5"/>
      <c r="F44" s="5"/>
      <c r="G44" s="5"/>
      <c r="H44" s="5"/>
      <c r="I44" s="5"/>
      <c r="J44" s="5"/>
      <c r="K44" s="5"/>
      <c r="L44" s="5"/>
      <c r="M44" s="5"/>
      <c r="N44" s="5"/>
      <c r="O44" s="5"/>
      <c r="P44" s="5"/>
      <c r="Q44" s="5"/>
      <c r="R44" s="5"/>
      <c r="S44" s="5"/>
      <c r="T44" s="5"/>
      <c r="U44" s="5"/>
      <c r="X44" s="5"/>
      <c r="Y44" s="5"/>
      <c r="Z44" s="5"/>
      <c r="AA44" s="5"/>
    </row>
    <row r="45" spans="1:27" x14ac:dyDescent="0.2">
      <c r="A45" s="5" t="s">
        <v>1252</v>
      </c>
      <c r="B45" s="15">
        <v>1.4563E-2</v>
      </c>
      <c r="C45" s="15">
        <v>0</v>
      </c>
      <c r="D45" s="15">
        <v>-0.1</v>
      </c>
      <c r="E45" s="15">
        <v>-0.2</v>
      </c>
      <c r="F45" s="15">
        <v>-0.2</v>
      </c>
      <c r="G45" s="15">
        <v>-0.2</v>
      </c>
      <c r="H45" s="15">
        <v>0</v>
      </c>
      <c r="I45" s="15">
        <v>0</v>
      </c>
      <c r="J45" s="15">
        <v>0</v>
      </c>
      <c r="K45" s="15">
        <v>0</v>
      </c>
      <c r="L45" s="15">
        <v>0</v>
      </c>
      <c r="M45" s="15">
        <v>0</v>
      </c>
      <c r="N45" s="15">
        <v>0</v>
      </c>
      <c r="O45" s="15">
        <v>0</v>
      </c>
      <c r="P45" s="15">
        <v>0</v>
      </c>
      <c r="Q45" s="15">
        <v>0</v>
      </c>
      <c r="R45" s="15">
        <v>0</v>
      </c>
      <c r="S45" s="15">
        <v>0</v>
      </c>
      <c r="T45" s="15">
        <v>0</v>
      </c>
      <c r="U45" s="15">
        <v>0</v>
      </c>
      <c r="X45" s="5" t="s">
        <v>1252</v>
      </c>
      <c r="Y45" s="15">
        <v>0</v>
      </c>
      <c r="Z45" s="15">
        <f t="shared" ref="Z45:Z46" si="7">U45-Y45</f>
        <v>0</v>
      </c>
      <c r="AA45" s="15">
        <v>0</v>
      </c>
    </row>
    <row r="46" spans="1:27" ht="10.5" x14ac:dyDescent="0.2">
      <c r="A46" s="14" t="s">
        <v>1205</v>
      </c>
      <c r="B46" s="18">
        <v>0</v>
      </c>
      <c r="C46" s="18">
        <v>8.4441000000000002E-2</v>
      </c>
      <c r="D46" s="18">
        <v>0.21068000000000001</v>
      </c>
      <c r="E46" s="18">
        <v>0.28825699999999999</v>
      </c>
      <c r="F46" s="18">
        <v>0.19723499999999999</v>
      </c>
      <c r="G46" s="18">
        <v>0.262459</v>
      </c>
      <c r="H46" s="18">
        <v>0.65844400000000003</v>
      </c>
      <c r="I46" s="18">
        <v>1.1775009999999999</v>
      </c>
      <c r="J46" s="18">
        <v>1.679198</v>
      </c>
      <c r="K46" s="18">
        <v>0.81915099999999996</v>
      </c>
      <c r="L46" s="18">
        <v>0.80801699999999999</v>
      </c>
      <c r="M46" s="18">
        <v>2.0670459999999999</v>
      </c>
      <c r="N46" s="18">
        <v>3.9223560000000002</v>
      </c>
      <c r="O46" s="18">
        <v>5.14642</v>
      </c>
      <c r="P46" s="18">
        <v>7.0617850000000004</v>
      </c>
      <c r="Q46" s="18">
        <v>11.534307999999999</v>
      </c>
      <c r="R46" s="18">
        <v>17.196116</v>
      </c>
      <c r="S46" s="18">
        <v>20.585726999999999</v>
      </c>
      <c r="T46" s="18">
        <v>27.352</v>
      </c>
      <c r="U46" s="18">
        <v>31.117000000000001</v>
      </c>
      <c r="V46" s="18"/>
      <c r="X46" s="14" t="s">
        <v>1205</v>
      </c>
      <c r="Y46" s="18">
        <v>13.548</v>
      </c>
      <c r="Z46" s="18">
        <f t="shared" si="7"/>
        <v>17.569000000000003</v>
      </c>
      <c r="AA46" s="18">
        <v>11.933</v>
      </c>
    </row>
    <row r="47" spans="1:27" x14ac:dyDescent="0.2">
      <c r="A47" s="5"/>
      <c r="B47" s="5"/>
      <c r="C47" s="5"/>
      <c r="D47" s="5"/>
      <c r="E47" s="5"/>
      <c r="F47" s="5"/>
      <c r="G47" s="5"/>
      <c r="H47" s="5"/>
      <c r="I47" s="5"/>
      <c r="J47" s="5"/>
      <c r="K47" s="5"/>
      <c r="L47" s="5"/>
      <c r="M47" s="5"/>
      <c r="N47" s="5"/>
      <c r="O47" s="5"/>
      <c r="P47" s="5"/>
      <c r="Q47" s="5"/>
      <c r="R47" s="5"/>
      <c r="S47" s="5"/>
      <c r="T47" s="5"/>
      <c r="U47" s="5"/>
      <c r="V47" s="5"/>
      <c r="X47" s="5"/>
      <c r="Y47" s="5"/>
      <c r="Z47" s="5"/>
      <c r="AA47" s="5"/>
    </row>
    <row r="48" spans="1:27" x14ac:dyDescent="0.2">
      <c r="A48" s="5" t="s">
        <v>1253</v>
      </c>
      <c r="B48" s="15">
        <v>0</v>
      </c>
      <c r="C48" s="15">
        <v>0</v>
      </c>
      <c r="D48" s="15">
        <v>0</v>
      </c>
      <c r="E48" s="15">
        <v>0</v>
      </c>
      <c r="F48" s="15">
        <v>0</v>
      </c>
      <c r="G48" s="15">
        <v>0</v>
      </c>
      <c r="H48" s="15">
        <v>0</v>
      </c>
      <c r="I48" s="15">
        <v>0</v>
      </c>
      <c r="J48" s="15">
        <v>0</v>
      </c>
      <c r="K48" s="15">
        <v>0</v>
      </c>
      <c r="L48" s="15">
        <v>0</v>
      </c>
      <c r="M48" s="15">
        <v>0</v>
      </c>
      <c r="N48" s="15">
        <v>0</v>
      </c>
      <c r="O48" s="15">
        <v>0</v>
      </c>
      <c r="P48" s="15">
        <v>0</v>
      </c>
      <c r="Q48" s="15">
        <v>0</v>
      </c>
      <c r="R48" s="15">
        <v>0</v>
      </c>
      <c r="S48" s="15">
        <v>0</v>
      </c>
      <c r="T48" s="15">
        <v>0</v>
      </c>
      <c r="U48" s="15">
        <v>0</v>
      </c>
      <c r="V48" s="15"/>
      <c r="X48" s="5" t="s">
        <v>1253</v>
      </c>
      <c r="Y48" s="15">
        <v>0</v>
      </c>
      <c r="Z48" s="15">
        <f>U48-Y48</f>
        <v>0</v>
      </c>
      <c r="AA48" s="15">
        <v>0</v>
      </c>
    </row>
    <row r="49" spans="1:27" x14ac:dyDescent="0.2">
      <c r="A49" s="5"/>
      <c r="B49" s="5"/>
      <c r="C49" s="5"/>
      <c r="D49" s="5"/>
      <c r="E49" s="5"/>
      <c r="F49" s="5"/>
      <c r="G49" s="5"/>
      <c r="H49" s="5"/>
      <c r="I49" s="5"/>
      <c r="J49" s="5"/>
      <c r="K49" s="5"/>
      <c r="L49" s="5"/>
      <c r="M49" s="5"/>
      <c r="N49" s="5"/>
      <c r="O49" s="5"/>
      <c r="P49" s="5"/>
      <c r="Q49" s="5"/>
      <c r="R49" s="5"/>
      <c r="S49" s="5"/>
      <c r="T49" s="5"/>
      <c r="U49" s="5"/>
      <c r="V49" s="5"/>
      <c r="X49" s="5"/>
      <c r="Y49" s="5"/>
      <c r="Z49" s="5"/>
      <c r="AA49" s="5"/>
    </row>
    <row r="50" spans="1:27" ht="10.5" x14ac:dyDescent="0.2">
      <c r="A50" s="14" t="s">
        <v>1254</v>
      </c>
      <c r="B50" s="17">
        <v>0</v>
      </c>
      <c r="C50" s="17">
        <v>8.4441000000000002E-2</v>
      </c>
      <c r="D50" s="17">
        <v>0.21068000000000001</v>
      </c>
      <c r="E50" s="17">
        <v>0.28825699999999999</v>
      </c>
      <c r="F50" s="17">
        <v>0.19723499999999999</v>
      </c>
      <c r="G50" s="17">
        <v>0.262459</v>
      </c>
      <c r="H50" s="17">
        <v>0.65844400000000003</v>
      </c>
      <c r="I50" s="17">
        <v>1.1775009999999999</v>
      </c>
      <c r="J50" s="17">
        <v>1.679198</v>
      </c>
      <c r="K50" s="17">
        <v>0.81915099999999996</v>
      </c>
      <c r="L50" s="17">
        <v>0.80801699999999999</v>
      </c>
      <c r="M50" s="17">
        <v>2.0670459999999999</v>
      </c>
      <c r="N50" s="17">
        <v>3.9223560000000002</v>
      </c>
      <c r="O50" s="17">
        <v>5.14642</v>
      </c>
      <c r="P50" s="17">
        <v>7.0617850000000004</v>
      </c>
      <c r="Q50" s="17">
        <v>11.534307999999999</v>
      </c>
      <c r="R50" s="17">
        <v>17.196116</v>
      </c>
      <c r="S50" s="17">
        <v>20.585726999999999</v>
      </c>
      <c r="T50" s="17">
        <v>27.352</v>
      </c>
      <c r="U50" s="17">
        <v>31.117000000000001</v>
      </c>
      <c r="V50" s="17"/>
      <c r="X50" s="14" t="s">
        <v>1254</v>
      </c>
      <c r="Y50" s="17">
        <v>13.548</v>
      </c>
      <c r="Z50" s="17">
        <f t="shared" ref="Z50:Z51" si="8">U50-Y50</f>
        <v>17.569000000000003</v>
      </c>
      <c r="AA50" s="17">
        <v>11.933</v>
      </c>
    </row>
    <row r="51" spans="1:27" ht="10.5" x14ac:dyDescent="0.2">
      <c r="A51" s="14" t="s">
        <v>1255</v>
      </c>
      <c r="B51" s="17">
        <v>0</v>
      </c>
      <c r="C51" s="17">
        <v>8.4441000000000002E-2</v>
      </c>
      <c r="D51" s="17">
        <v>0.21068000000000001</v>
      </c>
      <c r="E51" s="17">
        <v>0.28825699999999999</v>
      </c>
      <c r="F51" s="17">
        <v>0.19723499999999999</v>
      </c>
      <c r="G51" s="17">
        <v>0.227962</v>
      </c>
      <c r="H51" s="17">
        <v>0.65844400000000003</v>
      </c>
      <c r="I51" s="17">
        <v>1.1775009999999999</v>
      </c>
      <c r="J51" s="17">
        <v>1.679198</v>
      </c>
      <c r="K51" s="17">
        <v>0.81915099999999996</v>
      </c>
      <c r="L51" s="17">
        <v>0.80801699999999999</v>
      </c>
      <c r="M51" s="17">
        <v>2.0670459999999999</v>
      </c>
      <c r="N51" s="17">
        <v>3.9223560000000002</v>
      </c>
      <c r="O51" s="17">
        <v>5.14642</v>
      </c>
      <c r="P51" s="17">
        <v>7.0617850000000004</v>
      </c>
      <c r="Q51" s="17">
        <v>11.534307999999999</v>
      </c>
      <c r="R51" s="17">
        <v>17.196116</v>
      </c>
      <c r="S51" s="17">
        <v>20.585726999999999</v>
      </c>
      <c r="T51" s="17">
        <v>27.352</v>
      </c>
      <c r="U51" s="17">
        <v>31.117000000000001</v>
      </c>
      <c r="V51" s="17"/>
      <c r="X51" s="14" t="s">
        <v>1255</v>
      </c>
      <c r="Y51" s="17">
        <v>13.548</v>
      </c>
      <c r="Z51" s="17">
        <f t="shared" si="8"/>
        <v>17.569000000000003</v>
      </c>
      <c r="AA51" s="17">
        <v>11.933</v>
      </c>
    </row>
    <row r="52" spans="1:27" x14ac:dyDescent="0.2">
      <c r="A52" s="5"/>
      <c r="B52" s="5"/>
      <c r="C52" s="5"/>
      <c r="D52" s="5"/>
      <c r="E52" s="5"/>
      <c r="F52" s="5"/>
      <c r="G52" s="5"/>
      <c r="H52" s="5"/>
      <c r="I52" s="5"/>
      <c r="J52" s="5"/>
      <c r="K52" s="5"/>
      <c r="L52" s="5"/>
      <c r="M52" s="5"/>
      <c r="N52" s="5"/>
      <c r="O52" s="5"/>
      <c r="P52" s="5"/>
      <c r="Q52" s="5"/>
      <c r="R52" s="5"/>
      <c r="S52" s="5"/>
      <c r="T52" s="5"/>
      <c r="U52" s="5"/>
      <c r="V52" s="5"/>
      <c r="X52" s="5"/>
      <c r="Y52" s="5"/>
      <c r="Z52" s="5"/>
      <c r="AA52" s="5"/>
    </row>
    <row r="53" spans="1:27" ht="10.5" x14ac:dyDescent="0.2">
      <c r="A53" s="14" t="s">
        <v>1256</v>
      </c>
      <c r="B53" s="5"/>
      <c r="C53" s="5"/>
      <c r="D53" s="5"/>
      <c r="E53" s="5"/>
      <c r="F53" s="5"/>
      <c r="G53" s="5"/>
      <c r="H53" s="5"/>
      <c r="I53" s="5"/>
      <c r="J53" s="5"/>
      <c r="K53" s="5"/>
      <c r="L53" s="5"/>
      <c r="M53" s="5"/>
      <c r="N53" s="5"/>
      <c r="O53" s="5"/>
      <c r="P53" s="5"/>
      <c r="Q53" s="5"/>
      <c r="R53" s="5"/>
      <c r="S53" s="5"/>
      <c r="T53" s="5"/>
      <c r="U53" s="5"/>
      <c r="V53" s="5"/>
      <c r="X53" s="14" t="s">
        <v>1256</v>
      </c>
      <c r="Y53" s="5"/>
      <c r="Z53" s="5"/>
      <c r="AA53" s="5"/>
    </row>
    <row r="54" spans="1:27" x14ac:dyDescent="0.2">
      <c r="A54" s="5" t="s">
        <v>1257</v>
      </c>
      <c r="B54" s="19" t="s">
        <v>52</v>
      </c>
      <c r="C54" s="19">
        <v>1.68882</v>
      </c>
      <c r="D54" s="19">
        <v>4.2135999999999996</v>
      </c>
      <c r="E54" s="19">
        <v>5.7651399999999997</v>
      </c>
      <c r="F54" s="19">
        <v>3.9447000000000001</v>
      </c>
      <c r="G54" s="19">
        <v>5.24918</v>
      </c>
      <c r="H54" s="19">
        <v>0.11121399999999999</v>
      </c>
      <c r="I54" s="19">
        <v>0.19888500000000001</v>
      </c>
      <c r="J54" s="19">
        <v>0.28362399999999999</v>
      </c>
      <c r="K54" s="19">
        <v>0.13420499999999999</v>
      </c>
      <c r="L54" s="19">
        <v>0.132355</v>
      </c>
      <c r="M54" s="19">
        <v>0.33858199999999999</v>
      </c>
      <c r="N54" s="19">
        <v>0.64105400000000001</v>
      </c>
      <c r="O54" s="19">
        <v>0.84031299999999998</v>
      </c>
      <c r="P54" s="19">
        <v>1.1518120000000001</v>
      </c>
      <c r="Q54" s="19">
        <v>1.881302</v>
      </c>
      <c r="R54" s="19">
        <v>2.7407379999999999</v>
      </c>
      <c r="S54" s="19">
        <v>3.1708090000000002</v>
      </c>
      <c r="T54" s="19" t="s">
        <v>52</v>
      </c>
      <c r="U54" s="19" t="s">
        <v>52</v>
      </c>
      <c r="V54" s="19"/>
      <c r="X54" s="5" t="s">
        <v>1257</v>
      </c>
      <c r="Y54" s="19">
        <v>7.1164000000000005E-2</v>
      </c>
      <c r="Z54" s="19"/>
      <c r="AA54" s="19">
        <v>6.0901999999999998E-2</v>
      </c>
    </row>
    <row r="55" spans="1:27" x14ac:dyDescent="0.2">
      <c r="A55" s="5" t="s">
        <v>1258</v>
      </c>
      <c r="B55" s="19" t="s">
        <v>52</v>
      </c>
      <c r="C55" s="19">
        <v>1.68882</v>
      </c>
      <c r="D55" s="19">
        <v>4.2135999999999996</v>
      </c>
      <c r="E55" s="19">
        <v>5.7651399999999997</v>
      </c>
      <c r="F55" s="19">
        <v>3.9447000000000001</v>
      </c>
      <c r="G55" s="19">
        <v>4.55924</v>
      </c>
      <c r="H55" s="19">
        <v>0.11121399999999999</v>
      </c>
      <c r="I55" s="19">
        <v>0.19888500000000001</v>
      </c>
      <c r="J55" s="19">
        <v>0.28362399999999999</v>
      </c>
      <c r="K55" s="19">
        <v>0.13420499999999999</v>
      </c>
      <c r="L55" s="19">
        <v>0.132355</v>
      </c>
      <c r="M55" s="19">
        <v>0.33858199999999999</v>
      </c>
      <c r="N55" s="19">
        <v>0.64105400000000001</v>
      </c>
      <c r="O55" s="19">
        <v>0.84031299999999998</v>
      </c>
      <c r="P55" s="19">
        <v>1.1518120000000001</v>
      </c>
      <c r="Q55" s="19">
        <v>1.881302</v>
      </c>
      <c r="R55" s="19">
        <v>2.7407379999999999</v>
      </c>
      <c r="S55" s="19">
        <v>3.1708090000000002</v>
      </c>
      <c r="T55" s="19" t="s">
        <v>52</v>
      </c>
      <c r="U55" s="19" t="s">
        <v>52</v>
      </c>
      <c r="V55" s="19"/>
      <c r="X55" s="5" t="s">
        <v>1258</v>
      </c>
      <c r="Y55" s="19">
        <v>7.1164000000000005E-2</v>
      </c>
      <c r="Z55" s="19"/>
      <c r="AA55" s="19">
        <v>6.0901999999999998E-2</v>
      </c>
    </row>
    <row r="56" spans="1:27" x14ac:dyDescent="0.2">
      <c r="A56" s="5" t="s">
        <v>1259</v>
      </c>
      <c r="B56" s="15" t="s">
        <v>52</v>
      </c>
      <c r="C56" s="15">
        <v>0.05</v>
      </c>
      <c r="D56" s="15">
        <v>0.05</v>
      </c>
      <c r="E56" s="15">
        <v>0.05</v>
      </c>
      <c r="F56" s="15">
        <v>0.05</v>
      </c>
      <c r="G56" s="15">
        <v>0.05</v>
      </c>
      <c r="H56" s="15">
        <v>5.9204999999999997</v>
      </c>
      <c r="I56" s="15">
        <v>5.9204999999999997</v>
      </c>
      <c r="J56" s="15">
        <v>5.9204999999999997</v>
      </c>
      <c r="K56" s="15">
        <v>6.1036999999999999</v>
      </c>
      <c r="L56" s="15">
        <v>6.1049150000000001</v>
      </c>
      <c r="M56" s="15">
        <v>6.1050000000000004</v>
      </c>
      <c r="N56" s="15">
        <v>6.1185999999999998</v>
      </c>
      <c r="O56" s="15">
        <v>6.1244059999999996</v>
      </c>
      <c r="P56" s="15">
        <v>6.1310209999999996</v>
      </c>
      <c r="Q56" s="15">
        <v>6.1310209999999996</v>
      </c>
      <c r="R56" s="15">
        <v>6.2742630000000004</v>
      </c>
      <c r="S56" s="15">
        <v>6.4922630000000003</v>
      </c>
      <c r="T56" s="15" t="s">
        <v>52</v>
      </c>
      <c r="U56" s="15" t="s">
        <v>52</v>
      </c>
      <c r="V56" s="15"/>
      <c r="X56" s="5" t="s">
        <v>1259</v>
      </c>
      <c r="Y56" s="15">
        <v>190.376</v>
      </c>
      <c r="Z56" s="15"/>
      <c r="AA56" s="15">
        <v>195.935</v>
      </c>
    </row>
    <row r="57" spans="1:27" x14ac:dyDescent="0.2">
      <c r="A57" s="5"/>
      <c r="B57" s="5"/>
      <c r="C57" s="5"/>
      <c r="D57" s="5"/>
      <c r="E57" s="5"/>
      <c r="F57" s="5"/>
      <c r="G57" s="5"/>
      <c r="H57" s="5"/>
      <c r="I57" s="5"/>
      <c r="J57" s="5"/>
      <c r="K57" s="5"/>
      <c r="L57" s="5"/>
      <c r="M57" s="5"/>
      <c r="N57" s="5"/>
      <c r="O57" s="5"/>
      <c r="P57" s="5"/>
      <c r="Q57" s="5"/>
      <c r="R57" s="5"/>
      <c r="S57" s="5"/>
      <c r="T57" s="5"/>
      <c r="U57" s="5"/>
      <c r="V57" s="5"/>
      <c r="X57" s="5"/>
      <c r="Y57" s="5"/>
      <c r="Z57" s="5"/>
      <c r="AA57" s="5"/>
    </row>
    <row r="58" spans="1:27" x14ac:dyDescent="0.2">
      <c r="A58" s="5" t="s">
        <v>1260</v>
      </c>
      <c r="B58" s="19" t="s">
        <v>52</v>
      </c>
      <c r="C58" s="19">
        <v>1.68882</v>
      </c>
      <c r="D58" s="19">
        <v>4.2135999999999996</v>
      </c>
      <c r="E58" s="19">
        <v>5.7651399999999997</v>
      </c>
      <c r="F58" s="19">
        <v>3.9447000000000001</v>
      </c>
      <c r="G58" s="19">
        <v>5.24918</v>
      </c>
      <c r="H58" s="19">
        <v>0.11121399999999999</v>
      </c>
      <c r="I58" s="19">
        <v>0.19888500000000001</v>
      </c>
      <c r="J58" s="19">
        <v>0.28362399999999999</v>
      </c>
      <c r="K58" s="19">
        <v>0.13420499999999999</v>
      </c>
      <c r="L58" s="19">
        <v>0.132355</v>
      </c>
      <c r="M58" s="19">
        <v>0.33858199999999999</v>
      </c>
      <c r="N58" s="19">
        <v>0.64105400000000001</v>
      </c>
      <c r="O58" s="19">
        <v>0.84031299999999998</v>
      </c>
      <c r="P58" s="19">
        <v>1.1518120000000001</v>
      </c>
      <c r="Q58" s="19">
        <v>1.881302</v>
      </c>
      <c r="R58" s="19">
        <v>2.7407379999999999</v>
      </c>
      <c r="S58" s="19">
        <v>3.1708090000000002</v>
      </c>
      <c r="T58" s="19" t="s">
        <v>52</v>
      </c>
      <c r="U58" s="19" t="s">
        <v>52</v>
      </c>
      <c r="V58" s="19"/>
      <c r="X58" s="5" t="s">
        <v>1260</v>
      </c>
      <c r="Y58" s="19">
        <v>6.9900000000000004E-2</v>
      </c>
      <c r="Z58" s="19"/>
      <c r="AA58" s="19">
        <v>6.0699999999999997E-2</v>
      </c>
    </row>
    <row r="59" spans="1:27" x14ac:dyDescent="0.2">
      <c r="A59" s="5" t="s">
        <v>1261</v>
      </c>
      <c r="B59" s="19" t="s">
        <v>52</v>
      </c>
      <c r="C59" s="19">
        <v>1.68882</v>
      </c>
      <c r="D59" s="19">
        <v>4.2135999999999996</v>
      </c>
      <c r="E59" s="19">
        <v>5.7651399999999997</v>
      </c>
      <c r="F59" s="19">
        <v>3.9447000000000001</v>
      </c>
      <c r="G59" s="19">
        <v>4.55924</v>
      </c>
      <c r="H59" s="19">
        <v>0.11121399999999999</v>
      </c>
      <c r="I59" s="19">
        <v>0.19888500000000001</v>
      </c>
      <c r="J59" s="19">
        <v>0.28362399999999999</v>
      </c>
      <c r="K59" s="19">
        <v>0.13420499999999999</v>
      </c>
      <c r="L59" s="19">
        <v>0.132355</v>
      </c>
      <c r="M59" s="19">
        <v>0.33858199999999999</v>
      </c>
      <c r="N59" s="19">
        <v>0.64105400000000001</v>
      </c>
      <c r="O59" s="19">
        <v>0.84031299999999998</v>
      </c>
      <c r="P59" s="19">
        <v>1.1518120000000001</v>
      </c>
      <c r="Q59" s="19">
        <v>1.881302</v>
      </c>
      <c r="R59" s="19">
        <v>2.7407379999999999</v>
      </c>
      <c r="S59" s="19">
        <v>3.1708090000000002</v>
      </c>
      <c r="T59" s="19" t="s">
        <v>52</v>
      </c>
      <c r="U59" s="19" t="s">
        <v>52</v>
      </c>
      <c r="V59" s="19"/>
      <c r="X59" s="5" t="s">
        <v>1261</v>
      </c>
      <c r="Y59" s="19">
        <v>6.9900000000000004E-2</v>
      </c>
      <c r="Z59" s="19"/>
      <c r="AA59" s="19">
        <v>6.0699999999999997E-2</v>
      </c>
    </row>
    <row r="60" spans="1:27" x14ac:dyDescent="0.2">
      <c r="A60" s="5" t="s">
        <v>1262</v>
      </c>
      <c r="B60" s="15" t="s">
        <v>52</v>
      </c>
      <c r="C60" s="15">
        <v>0.05</v>
      </c>
      <c r="D60" s="15">
        <v>0.05</v>
      </c>
      <c r="E60" s="15">
        <v>0.05</v>
      </c>
      <c r="F60" s="15">
        <v>0.05</v>
      </c>
      <c r="G60" s="15">
        <v>0.05</v>
      </c>
      <c r="H60" s="15">
        <v>5.9204999999999997</v>
      </c>
      <c r="I60" s="15">
        <v>5.9204999999999997</v>
      </c>
      <c r="J60" s="15">
        <v>5.9204999999999997</v>
      </c>
      <c r="K60" s="15">
        <v>6.1036999999999999</v>
      </c>
      <c r="L60" s="15">
        <v>6.1049150000000001</v>
      </c>
      <c r="M60" s="15">
        <v>6.1050000000000004</v>
      </c>
      <c r="N60" s="15">
        <v>6.1185999999999998</v>
      </c>
      <c r="O60" s="15">
        <v>6.1244059999999996</v>
      </c>
      <c r="P60" s="15">
        <v>6.1310209999999996</v>
      </c>
      <c r="Q60" s="15">
        <v>6.1310209999999996</v>
      </c>
      <c r="R60" s="15">
        <v>6.2742630000000004</v>
      </c>
      <c r="S60" s="15">
        <v>6.4922630000000003</v>
      </c>
      <c r="T60" s="15" t="s">
        <v>52</v>
      </c>
      <c r="U60" s="15" t="s">
        <v>52</v>
      </c>
      <c r="V60" s="15"/>
      <c r="X60" s="5" t="s">
        <v>1262</v>
      </c>
      <c r="Y60" s="15">
        <v>193.72</v>
      </c>
      <c r="Z60" s="15"/>
      <c r="AA60" s="15">
        <v>196.631</v>
      </c>
    </row>
    <row r="61" spans="1:27" x14ac:dyDescent="0.2">
      <c r="A61" s="5"/>
      <c r="B61" s="5"/>
      <c r="C61" s="5"/>
      <c r="D61" s="5"/>
      <c r="E61" s="5"/>
      <c r="F61" s="5"/>
      <c r="G61" s="5"/>
      <c r="H61" s="5"/>
      <c r="I61" s="5"/>
      <c r="J61" s="5"/>
      <c r="K61" s="5"/>
      <c r="L61" s="5"/>
      <c r="M61" s="5"/>
      <c r="N61" s="5"/>
      <c r="O61" s="5"/>
      <c r="P61" s="5"/>
      <c r="Q61" s="5"/>
      <c r="R61" s="5"/>
      <c r="S61" s="5"/>
      <c r="T61" s="5"/>
      <c r="U61" s="5"/>
      <c r="V61" s="5"/>
      <c r="X61" s="5"/>
      <c r="Y61" s="5"/>
      <c r="Z61" s="5"/>
      <c r="AA61" s="5"/>
    </row>
    <row r="62" spans="1:27" x14ac:dyDescent="0.2">
      <c r="A62" s="5" t="s">
        <v>1263</v>
      </c>
      <c r="B62" s="19" t="s">
        <v>52</v>
      </c>
      <c r="C62" s="19">
        <v>1.3059000000000001</v>
      </c>
      <c r="D62" s="19">
        <v>3.38748</v>
      </c>
      <c r="E62" s="19">
        <v>5.0740800000000004</v>
      </c>
      <c r="F62" s="19">
        <v>2.5568399999999998</v>
      </c>
      <c r="G62" s="19">
        <v>4.1321399999999997</v>
      </c>
      <c r="H62" s="19">
        <v>0.121626</v>
      </c>
      <c r="I62" s="19">
        <v>0.17774200000000001</v>
      </c>
      <c r="J62" s="19">
        <v>0.37792500000000001</v>
      </c>
      <c r="K62" s="19">
        <v>0.124251</v>
      </c>
      <c r="L62" s="19">
        <v>0.13911299999999999</v>
      </c>
      <c r="M62" s="19">
        <v>0.35573500000000002</v>
      </c>
      <c r="N62" s="19">
        <v>0.61666500000000002</v>
      </c>
      <c r="O62" s="19">
        <v>0.77695000000000003</v>
      </c>
      <c r="P62" s="19">
        <v>1.0217499999999999</v>
      </c>
      <c r="Q62" s="19">
        <v>1.6664950000000001</v>
      </c>
      <c r="R62" s="19">
        <v>2.2338640000000001</v>
      </c>
      <c r="S62" s="19">
        <v>2.6425260000000002</v>
      </c>
      <c r="T62" s="19" t="s">
        <v>52</v>
      </c>
      <c r="U62" s="19" t="s">
        <v>52</v>
      </c>
      <c r="V62" s="19"/>
      <c r="X62" s="5" t="s">
        <v>1263</v>
      </c>
      <c r="Y62" s="19">
        <v>5.7030999999999998E-2</v>
      </c>
      <c r="Z62" s="19"/>
      <c r="AA62" s="19">
        <v>5.7821999999999998E-2</v>
      </c>
    </row>
    <row r="63" spans="1:27" x14ac:dyDescent="0.2">
      <c r="A63" s="5" t="s">
        <v>1264</v>
      </c>
      <c r="B63" s="19" t="s">
        <v>52</v>
      </c>
      <c r="C63" s="19">
        <v>1.3059000000000001</v>
      </c>
      <c r="D63" s="19">
        <v>3.38748</v>
      </c>
      <c r="E63" s="19">
        <v>5.0740800000000004</v>
      </c>
      <c r="F63" s="19">
        <v>2.5568399999999998</v>
      </c>
      <c r="G63" s="19">
        <v>4.1321399999999997</v>
      </c>
      <c r="H63" s="19">
        <v>0.121626</v>
      </c>
      <c r="I63" s="19">
        <v>0.17774200000000001</v>
      </c>
      <c r="J63" s="19">
        <v>0.37792500000000001</v>
      </c>
      <c r="K63" s="19">
        <v>0.124251</v>
      </c>
      <c r="L63" s="19">
        <v>0.13911299999999999</v>
      </c>
      <c r="M63" s="19">
        <v>0.35573500000000002</v>
      </c>
      <c r="N63" s="19">
        <v>0.61666500000000002</v>
      </c>
      <c r="O63" s="19">
        <v>0.77695000000000003</v>
      </c>
      <c r="P63" s="19">
        <v>1.0217499999999999</v>
      </c>
      <c r="Q63" s="19">
        <v>1.6664950000000001</v>
      </c>
      <c r="R63" s="19">
        <v>2.2338640000000001</v>
      </c>
      <c r="S63" s="19">
        <v>2.6425260000000002</v>
      </c>
      <c r="T63" s="19" t="s">
        <v>52</v>
      </c>
      <c r="U63" s="19" t="s">
        <v>52</v>
      </c>
      <c r="V63" s="19"/>
      <c r="X63" s="5" t="s">
        <v>1264</v>
      </c>
      <c r="Y63" s="19">
        <v>5.6047E-2</v>
      </c>
      <c r="Z63" s="19"/>
      <c r="AA63" s="19">
        <v>5.7617000000000002E-2</v>
      </c>
    </row>
    <row r="64" spans="1:27" x14ac:dyDescent="0.2">
      <c r="A64" s="5"/>
      <c r="B64" s="5"/>
      <c r="C64" s="5"/>
      <c r="D64" s="5"/>
      <c r="E64" s="5"/>
      <c r="F64" s="5"/>
      <c r="G64" s="5"/>
      <c r="H64" s="5"/>
      <c r="I64" s="5"/>
      <c r="J64" s="5"/>
      <c r="K64" s="5"/>
      <c r="L64" s="5"/>
      <c r="M64" s="5"/>
      <c r="N64" s="5"/>
      <c r="O64" s="5"/>
      <c r="P64" s="5"/>
      <c r="Q64" s="5"/>
      <c r="R64" s="5"/>
      <c r="S64" s="5"/>
      <c r="T64" s="5"/>
      <c r="U64" s="5"/>
      <c r="V64" s="5"/>
      <c r="X64" s="5"/>
      <c r="Y64" s="5"/>
      <c r="Z64" s="5"/>
      <c r="AA64" s="5"/>
    </row>
    <row r="65" spans="1:27" x14ac:dyDescent="0.2">
      <c r="A65" s="5" t="s">
        <v>1265</v>
      </c>
      <c r="B65" s="19" t="s">
        <v>52</v>
      </c>
      <c r="C65" s="19" t="s">
        <v>52</v>
      </c>
      <c r="D65" s="19" t="s">
        <v>52</v>
      </c>
      <c r="E65" s="19" t="s">
        <v>52</v>
      </c>
      <c r="F65" s="19" t="s">
        <v>52</v>
      </c>
      <c r="G65" s="19" t="s">
        <v>52</v>
      </c>
      <c r="H65" s="19" t="s">
        <v>52</v>
      </c>
      <c r="I65" s="19" t="s">
        <v>52</v>
      </c>
      <c r="J65" s="19" t="s">
        <v>52</v>
      </c>
      <c r="K65" s="19" t="s">
        <v>52</v>
      </c>
      <c r="L65" s="19" t="s">
        <v>52</v>
      </c>
      <c r="M65" s="19" t="s">
        <v>52</v>
      </c>
      <c r="N65" s="19" t="s">
        <v>52</v>
      </c>
      <c r="O65" s="19" t="s">
        <v>52</v>
      </c>
      <c r="P65" s="19" t="s">
        <v>52</v>
      </c>
      <c r="Q65" s="19" t="s">
        <v>52</v>
      </c>
      <c r="R65" s="19" t="s">
        <v>52</v>
      </c>
      <c r="S65" s="19" t="s">
        <v>52</v>
      </c>
      <c r="T65" s="19">
        <v>0.74</v>
      </c>
      <c r="U65" s="19">
        <v>4.0599999999999996</v>
      </c>
      <c r="V65" s="19"/>
      <c r="X65" s="5" t="s">
        <v>1265</v>
      </c>
      <c r="Y65" s="19" t="s">
        <v>52</v>
      </c>
      <c r="Z65" s="19"/>
      <c r="AA65" s="19">
        <v>1.7000000000000001E-2</v>
      </c>
    </row>
    <row r="66" spans="1:27" x14ac:dyDescent="0.2">
      <c r="A66" s="5" t="s">
        <v>1266</v>
      </c>
      <c r="B66" s="21" t="s">
        <v>1173</v>
      </c>
      <c r="C66" s="20" t="s">
        <v>52</v>
      </c>
      <c r="D66" s="20" t="s">
        <v>52</v>
      </c>
      <c r="E66" s="20" t="s">
        <v>52</v>
      </c>
      <c r="F66" s="20" t="s">
        <v>52</v>
      </c>
      <c r="G66" s="20" t="s">
        <v>52</v>
      </c>
      <c r="H66" s="21">
        <v>0.33551500000000001</v>
      </c>
      <c r="I66" s="20" t="s">
        <v>52</v>
      </c>
      <c r="J66" s="20" t="s">
        <v>52</v>
      </c>
      <c r="K66" s="20" t="s">
        <v>52</v>
      </c>
      <c r="L66" s="20" t="s">
        <v>52</v>
      </c>
      <c r="M66" s="20" t="s">
        <v>52</v>
      </c>
      <c r="N66" s="20" t="s">
        <v>52</v>
      </c>
      <c r="O66" s="21">
        <v>2.3317000000000001E-2</v>
      </c>
      <c r="P66" s="21">
        <v>1.274564</v>
      </c>
      <c r="Q66" s="20" t="s">
        <v>52</v>
      </c>
      <c r="R66" s="21">
        <v>0.120133</v>
      </c>
      <c r="S66" s="21">
        <v>3.6433E-2</v>
      </c>
      <c r="T66" s="21">
        <v>0.17424600000000001</v>
      </c>
      <c r="U66" s="21">
        <v>0.23495099999999999</v>
      </c>
      <c r="V66" s="21"/>
      <c r="X66" s="5"/>
      <c r="Y66" s="5"/>
      <c r="Z66" s="5"/>
      <c r="AA66" s="5"/>
    </row>
    <row r="67" spans="1:27" x14ac:dyDescent="0.2">
      <c r="A67" s="5"/>
      <c r="B67" s="5"/>
      <c r="C67" s="5"/>
      <c r="D67" s="5"/>
      <c r="E67" s="5"/>
      <c r="F67" s="5"/>
      <c r="G67" s="5"/>
      <c r="H67" s="5"/>
      <c r="I67" s="5"/>
      <c r="J67" s="5"/>
      <c r="K67" s="5"/>
      <c r="L67" s="5"/>
      <c r="M67" s="5"/>
      <c r="N67" s="5"/>
      <c r="O67" s="5"/>
      <c r="P67" s="5"/>
      <c r="Q67" s="5"/>
      <c r="R67" s="5"/>
      <c r="S67" s="5"/>
      <c r="T67" s="5"/>
      <c r="U67" s="5"/>
      <c r="V67" s="5"/>
      <c r="X67" s="5"/>
      <c r="Y67" s="5"/>
      <c r="Z67" s="5"/>
      <c r="AA67" s="5"/>
    </row>
    <row r="68" spans="1:27" ht="10.5" x14ac:dyDescent="0.2">
      <c r="A68" s="14" t="s">
        <v>1267</v>
      </c>
      <c r="B68" s="5"/>
      <c r="C68" s="5"/>
      <c r="D68" s="5"/>
      <c r="E68" s="5"/>
      <c r="F68" s="5"/>
      <c r="G68" s="5"/>
      <c r="H68" s="5"/>
      <c r="I68" s="5"/>
      <c r="J68" s="5"/>
      <c r="K68" s="5"/>
      <c r="L68" s="5"/>
      <c r="M68" s="5"/>
      <c r="N68" s="5"/>
      <c r="O68" s="5"/>
      <c r="P68" s="5"/>
      <c r="Q68" s="5"/>
      <c r="R68" s="5"/>
      <c r="S68" s="5"/>
      <c r="T68" s="5"/>
      <c r="U68" s="5"/>
      <c r="V68" s="5"/>
      <c r="X68" s="14" t="s">
        <v>1267</v>
      </c>
      <c r="Y68" s="5"/>
      <c r="Z68" s="5"/>
      <c r="AA68" s="5"/>
    </row>
    <row r="69" spans="1:27" x14ac:dyDescent="0.2">
      <c r="A69" s="5" t="s">
        <v>49</v>
      </c>
      <c r="B69" s="15">
        <v>6.1769999999999999E-2</v>
      </c>
      <c r="C69" s="15">
        <v>0.220806</v>
      </c>
      <c r="D69" s="15">
        <v>0.53483599999999998</v>
      </c>
      <c r="E69" s="15">
        <v>0.84150499999999995</v>
      </c>
      <c r="F69" s="15">
        <v>0.61737200000000003</v>
      </c>
      <c r="G69" s="15">
        <v>0.95842799999999995</v>
      </c>
      <c r="H69" s="15">
        <v>1.453198</v>
      </c>
      <c r="I69" s="15">
        <v>1.800972</v>
      </c>
      <c r="J69" s="15">
        <v>2.1799620000000002</v>
      </c>
      <c r="K69" s="15">
        <v>1.363051</v>
      </c>
      <c r="L69" s="15">
        <v>1.4858450000000001</v>
      </c>
      <c r="M69" s="15">
        <v>3.4250609999999999</v>
      </c>
      <c r="N69" s="15">
        <v>5.8375779999999997</v>
      </c>
      <c r="O69" s="15">
        <v>7.6738030000000004</v>
      </c>
      <c r="P69" s="15">
        <v>10.305216</v>
      </c>
      <c r="Q69" s="15">
        <v>16.527079000000001</v>
      </c>
      <c r="R69" s="15">
        <v>22.764682000000001</v>
      </c>
      <c r="S69" s="15">
        <v>28.436503999999999</v>
      </c>
      <c r="T69" s="15">
        <v>37.093000000000004</v>
      </c>
      <c r="U69" s="15">
        <v>41.375999999999998</v>
      </c>
      <c r="V69" s="15"/>
      <c r="X69" s="5" t="s">
        <v>49</v>
      </c>
      <c r="Y69" s="15">
        <v>18.344000000000001</v>
      </c>
      <c r="Z69" s="15">
        <f t="shared" ref="Z69:Z71" si="9">U69-Y69</f>
        <v>23.031999999999996</v>
      </c>
      <c r="AA69" s="15">
        <v>19.102</v>
      </c>
    </row>
    <row r="70" spans="1:27" x14ac:dyDescent="0.2">
      <c r="A70" s="5" t="s">
        <v>1268</v>
      </c>
      <c r="B70" s="15">
        <v>3.6743999999999999E-2</v>
      </c>
      <c r="C70" s="15">
        <v>0.18196499999999999</v>
      </c>
      <c r="D70" s="15">
        <v>0.48083399999999998</v>
      </c>
      <c r="E70" s="15">
        <v>0.77657500000000002</v>
      </c>
      <c r="F70" s="15">
        <v>0.53351099999999996</v>
      </c>
      <c r="G70" s="15">
        <v>0.80632999999999999</v>
      </c>
      <c r="H70" s="15">
        <v>1.2353050000000001</v>
      </c>
      <c r="I70" s="15">
        <v>1.656871</v>
      </c>
      <c r="J70" s="15">
        <v>1.993617</v>
      </c>
      <c r="K70" s="15">
        <v>1.1471290000000001</v>
      </c>
      <c r="L70" s="15">
        <v>1.3125009999999999</v>
      </c>
      <c r="M70" s="15">
        <v>3.3336380000000001</v>
      </c>
      <c r="N70" s="15">
        <v>5.7374390000000002</v>
      </c>
      <c r="O70" s="15">
        <v>7.4000069999999996</v>
      </c>
      <c r="P70" s="15">
        <v>10.032755</v>
      </c>
      <c r="Q70" s="15">
        <v>16.289691999999999</v>
      </c>
      <c r="R70" s="15">
        <v>22.290106999999999</v>
      </c>
      <c r="S70" s="15">
        <v>27.368122</v>
      </c>
      <c r="T70" s="15">
        <v>35.527999999999999</v>
      </c>
      <c r="U70" s="15">
        <v>39.582000000000001</v>
      </c>
      <c r="V70" s="15"/>
      <c r="X70" s="5" t="s">
        <v>1268</v>
      </c>
      <c r="Y70" s="15">
        <v>17.454000000000001</v>
      </c>
      <c r="Z70" s="15">
        <f t="shared" si="9"/>
        <v>22.128</v>
      </c>
      <c r="AA70" s="15">
        <v>18.181999999999999</v>
      </c>
    </row>
    <row r="71" spans="1:27" x14ac:dyDescent="0.2">
      <c r="A71" s="5" t="s">
        <v>759</v>
      </c>
      <c r="B71" s="15">
        <v>3.6743999999999999E-2</v>
      </c>
      <c r="C71" s="15">
        <v>0.18196499999999999</v>
      </c>
      <c r="D71" s="15">
        <v>0.48083399999999998</v>
      </c>
      <c r="E71" s="15">
        <v>0.77657500000000002</v>
      </c>
      <c r="F71" s="15">
        <v>0.53351099999999996</v>
      </c>
      <c r="G71" s="15">
        <v>0.80632999999999999</v>
      </c>
      <c r="H71" s="15">
        <v>1.1837200000000001</v>
      </c>
      <c r="I71" s="15">
        <v>1.656871</v>
      </c>
      <c r="J71" s="15">
        <v>1.993617</v>
      </c>
      <c r="K71" s="15">
        <v>1.1471290000000001</v>
      </c>
      <c r="L71" s="15">
        <v>1.3125009999999999</v>
      </c>
      <c r="M71" s="15">
        <v>3.3336380000000001</v>
      </c>
      <c r="N71" s="15">
        <v>5.7374390000000002</v>
      </c>
      <c r="O71" s="15">
        <v>7.4000069999999996</v>
      </c>
      <c r="P71" s="15">
        <v>10.032755</v>
      </c>
      <c r="Q71" s="15">
        <v>16.289691999999999</v>
      </c>
      <c r="R71" s="15">
        <v>22.290106999999999</v>
      </c>
      <c r="S71" s="15">
        <v>27.368122</v>
      </c>
      <c r="T71" s="15">
        <v>35.527999999999999</v>
      </c>
      <c r="U71" s="15">
        <v>39.582000000000001</v>
      </c>
      <c r="V71" s="15"/>
      <c r="X71" s="5" t="s">
        <v>759</v>
      </c>
      <c r="Y71" s="15">
        <v>17.291</v>
      </c>
      <c r="Z71" s="15">
        <f t="shared" si="9"/>
        <v>22.291</v>
      </c>
      <c r="AA71" s="15">
        <v>18.021000000000001</v>
      </c>
    </row>
    <row r="72" spans="1:27" x14ac:dyDescent="0.2">
      <c r="A72" s="5" t="s">
        <v>1269</v>
      </c>
      <c r="B72" s="15" t="s">
        <v>52</v>
      </c>
      <c r="C72" s="15" t="s">
        <v>52</v>
      </c>
      <c r="D72" s="15" t="s">
        <v>52</v>
      </c>
      <c r="E72" s="15" t="s">
        <v>52</v>
      </c>
      <c r="F72" s="15" t="s">
        <v>52</v>
      </c>
      <c r="G72" s="15" t="s">
        <v>52</v>
      </c>
      <c r="H72" s="15">
        <v>1.5828599999999999</v>
      </c>
      <c r="I72" s="15">
        <v>1.9180159999999999</v>
      </c>
      <c r="J72" s="15">
        <v>2.3377659999999998</v>
      </c>
      <c r="K72" s="15">
        <v>1.639859</v>
      </c>
      <c r="L72" s="15">
        <v>1.7258450000000001</v>
      </c>
      <c r="M72" s="15">
        <v>3.6534789999999999</v>
      </c>
      <c r="N72" s="15">
        <v>6.0775779999999999</v>
      </c>
      <c r="O72" s="15">
        <v>8.0288190000000004</v>
      </c>
      <c r="P72" s="15">
        <v>10.650074</v>
      </c>
      <c r="Q72" s="15">
        <v>16.992688999999999</v>
      </c>
      <c r="R72" s="15">
        <v>23.752742000000001</v>
      </c>
      <c r="S72" s="15">
        <v>28.607994000000001</v>
      </c>
      <c r="T72" s="15">
        <v>37.491</v>
      </c>
      <c r="U72" s="15">
        <v>41.877000000000002</v>
      </c>
      <c r="V72" s="15"/>
      <c r="X72" s="5"/>
      <c r="Y72" s="15"/>
      <c r="Z72" s="15"/>
      <c r="AA72" s="15"/>
    </row>
    <row r="73" spans="1:27" x14ac:dyDescent="0.2">
      <c r="A73" s="5" t="s">
        <v>1270</v>
      </c>
      <c r="B73" s="21" t="s">
        <v>1173</v>
      </c>
      <c r="C73" s="21">
        <v>0.24012500000000001</v>
      </c>
      <c r="D73" s="21">
        <v>0.27703800000000001</v>
      </c>
      <c r="E73" s="21">
        <v>0.32796799999999998</v>
      </c>
      <c r="F73" s="21">
        <v>0.22589899999999999</v>
      </c>
      <c r="G73" s="21">
        <v>0.34371200000000002</v>
      </c>
      <c r="H73" s="21">
        <v>0.42850300000000002</v>
      </c>
      <c r="I73" s="21">
        <v>0.30065399999999998</v>
      </c>
      <c r="J73" s="21">
        <v>0.27736100000000002</v>
      </c>
      <c r="K73" s="21">
        <v>0.32492799999999999</v>
      </c>
      <c r="L73" s="21">
        <v>0.40536299999999997</v>
      </c>
      <c r="M73" s="21">
        <v>0.40513700000000002</v>
      </c>
      <c r="N73" s="21">
        <v>0.35027999999999998</v>
      </c>
      <c r="O73" s="21">
        <v>0.32402900000000001</v>
      </c>
      <c r="P73" s="21">
        <v>0.29544199999999998</v>
      </c>
      <c r="Q73" s="21">
        <v>0.29443799999999998</v>
      </c>
      <c r="R73" s="21">
        <v>0.233184</v>
      </c>
      <c r="S73" s="21">
        <v>0.250052</v>
      </c>
      <c r="T73" s="21">
        <v>0.23233200000000001</v>
      </c>
      <c r="U73" s="21">
        <v>0.21771299999999999</v>
      </c>
      <c r="V73" s="21"/>
      <c r="X73" s="5" t="s">
        <v>1270</v>
      </c>
      <c r="Y73" s="20" t="s">
        <v>52</v>
      </c>
      <c r="Z73" s="20"/>
      <c r="AA73" s="20" t="s">
        <v>52</v>
      </c>
    </row>
    <row r="74" spans="1:27" x14ac:dyDescent="0.2">
      <c r="A74" s="5" t="s">
        <v>1271</v>
      </c>
      <c r="B74" s="15" t="s">
        <v>52</v>
      </c>
      <c r="C74" s="15" t="s">
        <v>52</v>
      </c>
      <c r="D74" s="15" t="s">
        <v>52</v>
      </c>
      <c r="E74" s="15" t="s">
        <v>52</v>
      </c>
      <c r="F74" s="15" t="s">
        <v>52</v>
      </c>
      <c r="G74" s="15">
        <v>0.234599</v>
      </c>
      <c r="H74" s="15">
        <v>0.45752999999999999</v>
      </c>
      <c r="I74" s="15">
        <v>0.52647299999999997</v>
      </c>
      <c r="J74" s="15">
        <v>0.64525299999999997</v>
      </c>
      <c r="K74" s="15">
        <v>0.38</v>
      </c>
      <c r="L74" s="15">
        <v>0.58026599999999995</v>
      </c>
      <c r="M74" s="15">
        <v>1.4056500000000001</v>
      </c>
      <c r="N74" s="15">
        <v>2.0953979999999999</v>
      </c>
      <c r="O74" s="15">
        <v>2.465401</v>
      </c>
      <c r="P74" s="15">
        <v>2.9639000000000002</v>
      </c>
      <c r="Q74" s="15">
        <v>4.8240590000000001</v>
      </c>
      <c r="R74" s="15">
        <v>5.7591570000000001</v>
      </c>
      <c r="S74" s="15">
        <v>6.4423149999999998</v>
      </c>
      <c r="T74" s="15">
        <v>8.1300000000000008</v>
      </c>
      <c r="U74" s="15">
        <v>8.9640000000000004</v>
      </c>
      <c r="V74" s="15"/>
      <c r="X74" s="5" t="s">
        <v>1271</v>
      </c>
      <c r="Y74" s="15">
        <v>3.8980000000000001</v>
      </c>
      <c r="Z74" s="15">
        <f t="shared" ref="Z74:Z77" si="10">U74-Y74</f>
        <v>5.0660000000000007</v>
      </c>
      <c r="AA74" s="15">
        <v>3.4510000000000001</v>
      </c>
    </row>
    <row r="75" spans="1:27" x14ac:dyDescent="0.2">
      <c r="A75" s="5" t="s">
        <v>1272</v>
      </c>
      <c r="B75" s="15">
        <v>0</v>
      </c>
      <c r="C75" s="15">
        <v>0</v>
      </c>
      <c r="D75" s="15">
        <v>0</v>
      </c>
      <c r="E75" s="15">
        <v>0.24107799999999999</v>
      </c>
      <c r="F75" s="15">
        <v>0</v>
      </c>
      <c r="G75" s="15">
        <v>0.234599</v>
      </c>
      <c r="H75" s="15">
        <v>0.45752999999999999</v>
      </c>
      <c r="I75" s="15">
        <v>0.52647299999999997</v>
      </c>
      <c r="J75" s="15">
        <v>0.64525299999999997</v>
      </c>
      <c r="K75" s="15">
        <v>0.38</v>
      </c>
      <c r="L75" s="15">
        <v>0.58026599999999995</v>
      </c>
      <c r="M75" s="15">
        <v>1.4056500000000001</v>
      </c>
      <c r="N75" s="15">
        <v>2.0953979999999999</v>
      </c>
      <c r="O75" s="15">
        <v>2.465401</v>
      </c>
      <c r="P75" s="15">
        <v>2.9639000000000002</v>
      </c>
      <c r="Q75" s="15">
        <v>4.8240590000000001</v>
      </c>
      <c r="R75" s="15">
        <v>5.7591570000000001</v>
      </c>
      <c r="S75" s="15">
        <v>6.4423149999999998</v>
      </c>
      <c r="T75" s="15">
        <v>8.1300000000000008</v>
      </c>
      <c r="U75" s="15">
        <v>8.9640000000000004</v>
      </c>
      <c r="V75" s="15"/>
      <c r="X75" s="5" t="s">
        <v>1272</v>
      </c>
      <c r="Y75" s="15">
        <v>3.8980000000000001</v>
      </c>
      <c r="Z75" s="15">
        <f t="shared" si="10"/>
        <v>5.0660000000000007</v>
      </c>
      <c r="AA75" s="15">
        <v>3.4510000000000001</v>
      </c>
    </row>
    <row r="76" spans="1:27" x14ac:dyDescent="0.2">
      <c r="A76" s="5" t="s">
        <v>1273</v>
      </c>
      <c r="B76" s="15" t="s">
        <v>52</v>
      </c>
      <c r="C76" s="15" t="s">
        <v>52</v>
      </c>
      <c r="D76" s="15" t="s">
        <v>52</v>
      </c>
      <c r="E76" s="15" t="s">
        <v>52</v>
      </c>
      <c r="F76" s="15" t="s">
        <v>52</v>
      </c>
      <c r="G76" s="15" t="s">
        <v>52</v>
      </c>
      <c r="H76" s="15" t="s">
        <v>52</v>
      </c>
      <c r="I76" s="15" t="s">
        <v>52</v>
      </c>
      <c r="J76" s="15" t="s">
        <v>52</v>
      </c>
      <c r="K76" s="15" t="s">
        <v>52</v>
      </c>
      <c r="L76" s="15" t="s">
        <v>52</v>
      </c>
      <c r="M76" s="15">
        <v>2.1310000000000001E-3</v>
      </c>
      <c r="N76" s="15" t="s">
        <v>52</v>
      </c>
      <c r="O76" s="15" t="s">
        <v>52</v>
      </c>
      <c r="P76" s="15" t="s">
        <v>52</v>
      </c>
      <c r="Q76" s="15" t="s">
        <v>52</v>
      </c>
      <c r="R76" s="15" t="s">
        <v>52</v>
      </c>
      <c r="S76" s="15">
        <v>0.42152299999999998</v>
      </c>
      <c r="T76" s="15">
        <v>0.14799999999999999</v>
      </c>
      <c r="U76" s="15">
        <v>-0.3</v>
      </c>
      <c r="V76" s="15"/>
      <c r="X76" s="5" t="s">
        <v>1273</v>
      </c>
      <c r="Y76" s="15">
        <v>-0.1</v>
      </c>
      <c r="Z76" s="15">
        <f t="shared" si="10"/>
        <v>-0.19999999999999998</v>
      </c>
      <c r="AA76" s="15">
        <v>0.05</v>
      </c>
    </row>
    <row r="77" spans="1:27" x14ac:dyDescent="0.2">
      <c r="A77" s="5" t="s">
        <v>1274</v>
      </c>
      <c r="B77" s="15">
        <v>0</v>
      </c>
      <c r="C77" s="15">
        <v>0</v>
      </c>
      <c r="D77" s="15">
        <v>0</v>
      </c>
      <c r="E77" s="15">
        <v>0</v>
      </c>
      <c r="F77" s="15">
        <v>0</v>
      </c>
      <c r="G77" s="15">
        <v>0</v>
      </c>
      <c r="H77" s="15">
        <v>3.6166999999999998E-2</v>
      </c>
      <c r="I77" s="15">
        <v>0</v>
      </c>
      <c r="J77" s="15">
        <v>0</v>
      </c>
      <c r="K77" s="15">
        <v>1.4277E-2</v>
      </c>
      <c r="L77" s="15">
        <v>0</v>
      </c>
      <c r="M77" s="15">
        <v>2.1310000000000001E-3</v>
      </c>
      <c r="N77" s="15">
        <v>1.9248999999999999E-2</v>
      </c>
      <c r="O77" s="15">
        <v>1.557E-3</v>
      </c>
      <c r="P77" s="15">
        <v>0</v>
      </c>
      <c r="Q77" s="15">
        <v>0</v>
      </c>
      <c r="R77" s="15">
        <v>-0.5</v>
      </c>
      <c r="S77" s="15">
        <v>0.42152299999999998</v>
      </c>
      <c r="T77" s="15">
        <v>0.14799999999999999</v>
      </c>
      <c r="U77" s="15">
        <v>-0.3</v>
      </c>
      <c r="V77" s="15"/>
      <c r="X77" s="5" t="s">
        <v>1274</v>
      </c>
      <c r="Y77" s="15">
        <v>-0.1</v>
      </c>
      <c r="Z77" s="15">
        <f t="shared" si="10"/>
        <v>-0.19999999999999998</v>
      </c>
      <c r="AA77" s="15">
        <v>0.05</v>
      </c>
    </row>
    <row r="78" spans="1:27" x14ac:dyDescent="0.2">
      <c r="A78" s="5"/>
      <c r="B78" s="5"/>
      <c r="C78" s="5"/>
      <c r="D78" s="5"/>
      <c r="E78" s="5"/>
      <c r="F78" s="5"/>
      <c r="G78" s="5"/>
      <c r="H78" s="5"/>
      <c r="I78" s="5"/>
      <c r="J78" s="5"/>
      <c r="K78" s="5"/>
      <c r="L78" s="5"/>
      <c r="M78" s="5"/>
      <c r="N78" s="5"/>
      <c r="O78" s="5"/>
      <c r="P78" s="5"/>
      <c r="Q78" s="5"/>
      <c r="R78" s="5"/>
      <c r="S78" s="5"/>
      <c r="T78" s="5"/>
      <c r="U78" s="5"/>
      <c r="V78" s="5"/>
      <c r="X78" s="5"/>
      <c r="Y78" s="5"/>
      <c r="Z78" s="5"/>
      <c r="AA78" s="5"/>
    </row>
    <row r="79" spans="1:27" x14ac:dyDescent="0.2">
      <c r="A79" s="5" t="s">
        <v>1275</v>
      </c>
      <c r="B79" s="15">
        <v>2.3983999999999998E-2</v>
      </c>
      <c r="C79" s="15">
        <v>6.5295000000000006E-2</v>
      </c>
      <c r="D79" s="15">
        <v>0.169374</v>
      </c>
      <c r="E79" s="15">
        <v>0.25370399999999999</v>
      </c>
      <c r="F79" s="15">
        <v>0.12784200000000001</v>
      </c>
      <c r="G79" s="15">
        <v>0.20660700000000001</v>
      </c>
      <c r="H79" s="15">
        <v>0.72008899999999998</v>
      </c>
      <c r="I79" s="15">
        <v>1.052324</v>
      </c>
      <c r="J79" s="15">
        <v>2.2375090000000002</v>
      </c>
      <c r="K79" s="15">
        <v>0.75839299999999998</v>
      </c>
      <c r="L79" s="15">
        <v>0.84927600000000003</v>
      </c>
      <c r="M79" s="15">
        <v>2.171767</v>
      </c>
      <c r="N79" s="15">
        <v>3.7731270000000001</v>
      </c>
      <c r="O79" s="15">
        <v>4.7583609999999998</v>
      </c>
      <c r="P79" s="15">
        <v>6.2643760000000004</v>
      </c>
      <c r="Q79" s="15">
        <v>10.217318000000001</v>
      </c>
      <c r="R79" s="15">
        <v>14.015853999999999</v>
      </c>
      <c r="S79" s="15">
        <v>17.155978000000001</v>
      </c>
      <c r="T79" s="15">
        <v>22.268750000000001</v>
      </c>
      <c r="U79" s="15">
        <v>24.860624999999999</v>
      </c>
      <c r="V79" s="15"/>
      <c r="X79" s="5" t="s">
        <v>1275</v>
      </c>
      <c r="Y79" s="15">
        <v>10.8575</v>
      </c>
      <c r="Z79" s="15">
        <f>U79-Y79</f>
        <v>14.003124999999999</v>
      </c>
      <c r="AA79" s="15">
        <v>11.329375000000001</v>
      </c>
    </row>
    <row r="80" spans="1:27" x14ac:dyDescent="0.2">
      <c r="A80" s="5" t="s">
        <v>1276</v>
      </c>
      <c r="B80" s="15" t="s">
        <v>52</v>
      </c>
      <c r="C80" s="15" t="s">
        <v>52</v>
      </c>
      <c r="D80" s="15" t="s">
        <v>52</v>
      </c>
      <c r="E80" s="15">
        <v>3.9194E-2</v>
      </c>
      <c r="F80" s="15">
        <v>3.4589999999999998E-3</v>
      </c>
      <c r="G80" s="15">
        <v>1.0280000000000001E-3</v>
      </c>
      <c r="H80" s="15">
        <v>2.7290000000000001E-3</v>
      </c>
      <c r="I80" s="15">
        <v>1.5410000000000001E-3</v>
      </c>
      <c r="J80" s="15">
        <v>5.7399999999999997E-4</v>
      </c>
      <c r="K80" s="15" t="s">
        <v>52</v>
      </c>
      <c r="L80" s="15" t="s">
        <v>52</v>
      </c>
      <c r="M80" s="15" t="s">
        <v>52</v>
      </c>
      <c r="N80" s="15" t="s">
        <v>52</v>
      </c>
      <c r="O80" s="15" t="s">
        <v>52</v>
      </c>
      <c r="P80" s="15" t="s">
        <v>52</v>
      </c>
      <c r="Q80" s="15" t="s">
        <v>52</v>
      </c>
      <c r="R80" s="15" t="s">
        <v>52</v>
      </c>
      <c r="S80" s="15" t="s">
        <v>52</v>
      </c>
      <c r="T80" s="15" t="s">
        <v>52</v>
      </c>
      <c r="U80" s="15" t="s">
        <v>52</v>
      </c>
      <c r="V80" s="15"/>
      <c r="X80" s="5"/>
      <c r="Y80" s="15"/>
      <c r="Z80" s="15"/>
      <c r="AA80" s="15"/>
    </row>
    <row r="81" spans="1:255" x14ac:dyDescent="0.2">
      <c r="A81" s="5" t="s">
        <v>1277</v>
      </c>
      <c r="B81" s="22">
        <v>35706</v>
      </c>
      <c r="C81" s="22">
        <v>36220</v>
      </c>
      <c r="D81" s="22">
        <v>36586</v>
      </c>
      <c r="E81" s="22">
        <v>36949</v>
      </c>
      <c r="F81" s="22">
        <v>37319</v>
      </c>
      <c r="G81" s="22">
        <v>37683</v>
      </c>
      <c r="H81" s="22">
        <v>37683</v>
      </c>
      <c r="I81" s="22">
        <v>38412</v>
      </c>
      <c r="J81" s="22">
        <v>38875</v>
      </c>
      <c r="K81" s="22">
        <v>39270</v>
      </c>
      <c r="L81" s="22">
        <v>39601</v>
      </c>
      <c r="M81" s="22">
        <v>39961</v>
      </c>
      <c r="N81" s="22">
        <v>40290</v>
      </c>
      <c r="O81" s="22">
        <v>40666</v>
      </c>
      <c r="P81" s="22">
        <v>41031</v>
      </c>
      <c r="Q81" s="22">
        <v>41402</v>
      </c>
      <c r="R81" s="22">
        <v>41752</v>
      </c>
      <c r="S81" s="22">
        <v>41969</v>
      </c>
      <c r="T81" s="22">
        <v>42296</v>
      </c>
      <c r="U81" s="22">
        <v>42296</v>
      </c>
      <c r="V81" s="22"/>
      <c r="X81" s="5" t="s">
        <v>1277</v>
      </c>
      <c r="Y81" s="22">
        <v>42446</v>
      </c>
      <c r="Z81" s="22"/>
      <c r="AA81" s="22">
        <v>42446</v>
      </c>
    </row>
    <row r="82" spans="1:255" x14ac:dyDescent="0.2">
      <c r="A82" s="5" t="s">
        <v>1278</v>
      </c>
      <c r="B82" s="20" t="s">
        <v>1279</v>
      </c>
      <c r="C82" s="20" t="s">
        <v>1279</v>
      </c>
      <c r="D82" s="20" t="s">
        <v>1279</v>
      </c>
      <c r="E82" s="20" t="s">
        <v>1279</v>
      </c>
      <c r="F82" s="20" t="s">
        <v>1279</v>
      </c>
      <c r="G82" s="20" t="s">
        <v>1279</v>
      </c>
      <c r="H82" s="20" t="s">
        <v>1280</v>
      </c>
      <c r="I82" s="20" t="s">
        <v>1279</v>
      </c>
      <c r="J82" s="20" t="s">
        <v>1281</v>
      </c>
      <c r="K82" s="20" t="s">
        <v>1279</v>
      </c>
      <c r="L82" s="20" t="s">
        <v>1281</v>
      </c>
      <c r="M82" s="20" t="s">
        <v>1279</v>
      </c>
      <c r="N82" s="20" t="s">
        <v>1279</v>
      </c>
      <c r="O82" s="20" t="s">
        <v>1279</v>
      </c>
      <c r="P82" s="20" t="s">
        <v>1279</v>
      </c>
      <c r="Q82" s="20" t="s">
        <v>1279</v>
      </c>
      <c r="R82" s="20" t="s">
        <v>1281</v>
      </c>
      <c r="S82" s="20" t="s">
        <v>1281</v>
      </c>
      <c r="T82" s="20" t="s">
        <v>1281</v>
      </c>
      <c r="U82" s="20" t="s">
        <v>1280</v>
      </c>
      <c r="V82" s="20"/>
      <c r="X82" s="5" t="s">
        <v>1278</v>
      </c>
      <c r="Y82" s="20" t="s">
        <v>1280</v>
      </c>
      <c r="Z82" s="20"/>
      <c r="AA82" s="20" t="s">
        <v>1280</v>
      </c>
    </row>
    <row r="83" spans="1:255" x14ac:dyDescent="0.2">
      <c r="A83" s="5" t="s">
        <v>1282</v>
      </c>
      <c r="B83" s="20" t="s">
        <v>1283</v>
      </c>
      <c r="C83" s="20" t="s">
        <v>1284</v>
      </c>
      <c r="D83" s="20" t="s">
        <v>1284</v>
      </c>
      <c r="E83" s="20" t="s">
        <v>1284</v>
      </c>
      <c r="F83" s="20" t="s">
        <v>1284</v>
      </c>
      <c r="G83" s="20" t="s">
        <v>1284</v>
      </c>
      <c r="H83" s="20" t="s">
        <v>1284</v>
      </c>
      <c r="I83" s="20" t="s">
        <v>1284</v>
      </c>
      <c r="J83" s="20" t="s">
        <v>1284</v>
      </c>
      <c r="K83" s="20" t="s">
        <v>1284</v>
      </c>
      <c r="L83" s="20" t="s">
        <v>1284</v>
      </c>
      <c r="M83" s="20" t="s">
        <v>1284</v>
      </c>
      <c r="N83" s="20" t="s">
        <v>1284</v>
      </c>
      <c r="O83" s="20" t="s">
        <v>1284</v>
      </c>
      <c r="P83" s="20" t="s">
        <v>1284</v>
      </c>
      <c r="Q83" s="20" t="s">
        <v>1284</v>
      </c>
      <c r="R83" s="20" t="s">
        <v>1284</v>
      </c>
      <c r="S83" s="20" t="s">
        <v>1284</v>
      </c>
      <c r="T83" s="20" t="s">
        <v>1284</v>
      </c>
      <c r="U83" s="20" t="s">
        <v>1284</v>
      </c>
      <c r="V83" s="20"/>
      <c r="X83" s="5" t="s">
        <v>1282</v>
      </c>
      <c r="Y83" s="20" t="s">
        <v>1284</v>
      </c>
      <c r="Z83" s="20"/>
      <c r="AA83" s="20" t="s">
        <v>1284</v>
      </c>
    </row>
    <row r="84" spans="1:255" x14ac:dyDescent="0.2">
      <c r="A84" s="5"/>
      <c r="B84" s="5"/>
      <c r="C84" s="5"/>
      <c r="D84" s="5"/>
      <c r="E84" s="5"/>
      <c r="F84" s="5"/>
      <c r="G84" s="5"/>
      <c r="H84" s="5"/>
      <c r="I84" s="5"/>
      <c r="J84" s="5"/>
      <c r="K84" s="5"/>
      <c r="L84" s="5"/>
      <c r="M84" s="5"/>
      <c r="N84" s="5"/>
      <c r="O84" s="5"/>
      <c r="P84" s="5"/>
      <c r="Q84" s="5"/>
      <c r="R84" s="5"/>
      <c r="S84" s="5"/>
      <c r="T84" s="5"/>
      <c r="U84" s="5"/>
      <c r="V84" s="5"/>
      <c r="X84" s="5"/>
      <c r="Y84" s="5"/>
      <c r="Z84" s="5"/>
      <c r="AA84" s="5"/>
    </row>
    <row r="85" spans="1:255" ht="10.5" x14ac:dyDescent="0.2">
      <c r="A85" s="14" t="s">
        <v>1285</v>
      </c>
      <c r="B85" s="5"/>
      <c r="C85" s="5"/>
      <c r="D85" s="5"/>
      <c r="E85" s="5"/>
      <c r="F85" s="5"/>
      <c r="G85" s="5"/>
      <c r="H85" s="5"/>
      <c r="I85" s="5"/>
      <c r="J85" s="5"/>
      <c r="K85" s="5"/>
      <c r="L85" s="5"/>
      <c r="M85" s="5"/>
      <c r="N85" s="5"/>
      <c r="O85" s="5"/>
      <c r="P85" s="5"/>
      <c r="Q85" s="5"/>
      <c r="R85" s="5"/>
      <c r="S85" s="5"/>
      <c r="T85" s="5"/>
      <c r="U85" s="5"/>
      <c r="V85" s="5"/>
      <c r="X85" s="14" t="s">
        <v>1285</v>
      </c>
      <c r="Y85" s="5"/>
      <c r="Z85" s="5"/>
      <c r="AA85" s="5"/>
    </row>
    <row r="86" spans="1:255" x14ac:dyDescent="0.2">
      <c r="A86" s="5" t="s">
        <v>1286</v>
      </c>
      <c r="B86" s="15">
        <v>0.71019200000000005</v>
      </c>
      <c r="C86" s="15">
        <v>1.049464</v>
      </c>
      <c r="D86" s="15">
        <v>1.477919</v>
      </c>
      <c r="E86" s="15">
        <v>2.0329790000000001</v>
      </c>
      <c r="F86" s="15">
        <v>2.6439699999999999</v>
      </c>
      <c r="G86" s="15">
        <v>3.7307100000000002</v>
      </c>
      <c r="H86" s="15">
        <v>5.9687549999999998</v>
      </c>
      <c r="I86" s="15">
        <v>5.6917020000000003</v>
      </c>
      <c r="J86" s="15">
        <v>6.7127520000000001</v>
      </c>
      <c r="K86" s="15">
        <v>7.415324</v>
      </c>
      <c r="L86" s="15">
        <v>9.5461860000000005</v>
      </c>
      <c r="M86" s="15">
        <v>11.861407</v>
      </c>
      <c r="N86" s="15">
        <v>14.020987999999999</v>
      </c>
      <c r="O86" s="15">
        <v>14.682206000000001</v>
      </c>
      <c r="P86" s="15">
        <v>18.485997000000001</v>
      </c>
      <c r="Q86" s="15">
        <v>27.016508999999999</v>
      </c>
      <c r="R86" s="15">
        <v>33.994318999999997</v>
      </c>
      <c r="S86" s="15">
        <v>43.044390999999997</v>
      </c>
      <c r="T86" s="15">
        <v>52.993000000000002</v>
      </c>
      <c r="U86" s="15">
        <v>62.84</v>
      </c>
      <c r="V86" s="15"/>
      <c r="X86" s="5" t="s">
        <v>1286</v>
      </c>
      <c r="Y86" s="15">
        <v>29.347999999999999</v>
      </c>
      <c r="Z86" s="15">
        <f>U86-Y86</f>
        <v>33.492000000000004</v>
      </c>
      <c r="AA86" s="15">
        <v>34.654000000000003</v>
      </c>
    </row>
    <row r="87" spans="1:255" x14ac:dyDescent="0.2">
      <c r="A87" s="5" t="s">
        <v>1287</v>
      </c>
      <c r="B87" s="15" t="s">
        <v>52</v>
      </c>
      <c r="C87" s="15" t="s">
        <v>52</v>
      </c>
      <c r="D87" s="15" t="s">
        <v>52</v>
      </c>
      <c r="E87" s="15" t="s">
        <v>52</v>
      </c>
      <c r="F87" s="15" t="s">
        <v>52</v>
      </c>
      <c r="G87" s="15" t="s">
        <v>52</v>
      </c>
      <c r="H87" s="15">
        <v>0.129662</v>
      </c>
      <c r="I87" s="15">
        <v>0.117044</v>
      </c>
      <c r="J87" s="15">
        <v>0.157804</v>
      </c>
      <c r="K87" s="15">
        <v>0.276808</v>
      </c>
      <c r="L87" s="15">
        <v>0.24</v>
      </c>
      <c r="M87" s="15">
        <v>0.22841800000000001</v>
      </c>
      <c r="N87" s="15">
        <v>0.24</v>
      </c>
      <c r="O87" s="15">
        <v>0.355016</v>
      </c>
      <c r="P87" s="15">
        <v>0.344858</v>
      </c>
      <c r="Q87" s="15">
        <v>0.46561000000000002</v>
      </c>
      <c r="R87" s="15">
        <v>0.98806000000000005</v>
      </c>
      <c r="S87" s="15">
        <v>0.17149</v>
      </c>
      <c r="T87" s="15">
        <v>0.39800000000000002</v>
      </c>
      <c r="U87" s="15">
        <v>0.501</v>
      </c>
      <c r="V87" s="15"/>
      <c r="X87" s="5"/>
      <c r="Y87" s="5"/>
      <c r="Z87" s="5"/>
      <c r="AA87" s="5"/>
    </row>
    <row r="88" spans="1:255" x14ac:dyDescent="0.2">
      <c r="A88" s="5" t="s">
        <v>1288</v>
      </c>
      <c r="B88" s="15">
        <v>0</v>
      </c>
      <c r="C88" s="15">
        <v>0</v>
      </c>
      <c r="D88" s="15">
        <v>0</v>
      </c>
      <c r="E88" s="15">
        <v>0</v>
      </c>
      <c r="F88" s="15">
        <v>0</v>
      </c>
      <c r="G88" s="15">
        <v>0</v>
      </c>
      <c r="H88" s="15">
        <v>1.2127000000000001E-2</v>
      </c>
      <c r="I88" s="15">
        <v>5.3810000000000004E-3</v>
      </c>
      <c r="J88" s="15">
        <v>0</v>
      </c>
      <c r="K88" s="15">
        <v>0</v>
      </c>
      <c r="L88" s="15">
        <v>2.1964999999999998E-2</v>
      </c>
      <c r="M88" s="15">
        <v>4.6709999999999998E-3</v>
      </c>
      <c r="N88" s="15">
        <v>4.8200000000000001E-4</v>
      </c>
      <c r="O88" s="15">
        <v>6.8199999999999999E-4</v>
      </c>
      <c r="P88" s="15">
        <v>3.6576999999999998E-2</v>
      </c>
      <c r="Q88" s="15">
        <v>4.4700000000000002E-4</v>
      </c>
      <c r="R88" s="15">
        <v>0</v>
      </c>
      <c r="S88" s="15">
        <v>0</v>
      </c>
      <c r="T88" s="15">
        <v>0</v>
      </c>
      <c r="U88" s="15">
        <v>0</v>
      </c>
      <c r="V88" s="15"/>
      <c r="X88" s="5"/>
      <c r="Y88" s="5"/>
      <c r="Z88" s="5"/>
      <c r="AA88" s="5"/>
    </row>
    <row r="89" spans="1:255" x14ac:dyDescent="0.2">
      <c r="A89" s="5" t="s">
        <v>1289</v>
      </c>
      <c r="B89" s="15">
        <v>0</v>
      </c>
      <c r="C89" s="15">
        <v>0</v>
      </c>
      <c r="D89" s="15">
        <v>0</v>
      </c>
      <c r="E89" s="15">
        <v>0</v>
      </c>
      <c r="F89" s="15">
        <v>0</v>
      </c>
      <c r="G89" s="15">
        <v>0</v>
      </c>
      <c r="H89" s="15">
        <v>0.117535</v>
      </c>
      <c r="I89" s="15">
        <v>0.111663</v>
      </c>
      <c r="J89" s="15">
        <v>0</v>
      </c>
      <c r="K89" s="15">
        <v>0</v>
      </c>
      <c r="L89" s="15">
        <v>0.21803500000000001</v>
      </c>
      <c r="M89" s="15">
        <v>0.223747</v>
      </c>
      <c r="N89" s="15">
        <v>0.23951800000000001</v>
      </c>
      <c r="O89" s="15">
        <v>0.35433399999999998</v>
      </c>
      <c r="P89" s="15">
        <v>0.30828100000000003</v>
      </c>
      <c r="Q89" s="15">
        <v>0.46516299999999999</v>
      </c>
      <c r="R89" s="15">
        <v>0</v>
      </c>
      <c r="S89" s="15">
        <v>0</v>
      </c>
      <c r="T89" s="15">
        <v>0</v>
      </c>
      <c r="U89" s="15">
        <v>0</v>
      </c>
      <c r="V89" s="15"/>
      <c r="X89" s="5"/>
      <c r="Y89" s="5"/>
      <c r="Z89" s="5"/>
      <c r="AA89" s="5"/>
    </row>
    <row r="90" spans="1:255" x14ac:dyDescent="0.2">
      <c r="A90" s="5"/>
      <c r="B90" s="5"/>
      <c r="C90" s="5"/>
      <c r="D90" s="5"/>
      <c r="E90" s="5"/>
      <c r="F90" s="5"/>
      <c r="G90" s="5"/>
      <c r="H90" s="5"/>
      <c r="I90" s="5"/>
      <c r="J90" s="5"/>
      <c r="K90" s="5"/>
      <c r="L90" s="5"/>
      <c r="M90" s="5"/>
      <c r="N90" s="5"/>
      <c r="O90" s="5"/>
      <c r="P90" s="5"/>
      <c r="Q90" s="5"/>
      <c r="R90" s="5"/>
      <c r="S90" s="5"/>
      <c r="T90" s="5"/>
      <c r="U90" s="5"/>
      <c r="V90" s="5"/>
      <c r="X90" s="5"/>
      <c r="Y90" s="5"/>
      <c r="Z90" s="5"/>
      <c r="AA90" s="5"/>
    </row>
    <row r="91" spans="1:255" x14ac:dyDescent="0.2">
      <c r="A91" s="5" t="s">
        <v>1290</v>
      </c>
      <c r="B91" s="15">
        <v>0</v>
      </c>
      <c r="C91" s="15">
        <v>0</v>
      </c>
      <c r="D91" s="15">
        <v>0</v>
      </c>
      <c r="E91" s="15">
        <v>0</v>
      </c>
      <c r="F91" s="15">
        <v>0</v>
      </c>
      <c r="G91" s="15">
        <v>0</v>
      </c>
      <c r="H91" s="15">
        <v>0</v>
      </c>
      <c r="I91" s="15">
        <v>0</v>
      </c>
      <c r="J91" s="15">
        <v>0</v>
      </c>
      <c r="K91" s="15">
        <v>0</v>
      </c>
      <c r="L91" s="15">
        <v>0.34357500000000002</v>
      </c>
      <c r="M91" s="15">
        <v>0.32500000000000001</v>
      </c>
      <c r="N91" s="15">
        <v>6.7757999999999999E-2</v>
      </c>
      <c r="O91" s="15">
        <v>0</v>
      </c>
      <c r="P91" s="15">
        <v>0</v>
      </c>
      <c r="Q91" s="15">
        <v>0.15603700000000001</v>
      </c>
      <c r="R91" s="15">
        <v>0.915798</v>
      </c>
      <c r="S91" s="15">
        <v>0.73489099999999996</v>
      </c>
      <c r="T91" s="15">
        <v>2.41E-4</v>
      </c>
      <c r="U91" s="15">
        <v>5.4840000000000002E-3</v>
      </c>
      <c r="V91" s="15"/>
      <c r="X91" s="5" t="s">
        <v>1290</v>
      </c>
      <c r="Y91" s="15">
        <v>1.1900000000000001E-3</v>
      </c>
      <c r="Z91" s="15">
        <f t="shared" ref="Z91:Z92" si="11">U91-Y91</f>
        <v>4.2940000000000001E-3</v>
      </c>
      <c r="AA91" s="15">
        <v>0.50581200000000004</v>
      </c>
    </row>
    <row r="92" spans="1:255" ht="10.5" x14ac:dyDescent="0.2">
      <c r="A92" s="14" t="s">
        <v>1291</v>
      </c>
      <c r="B92" s="17">
        <v>0</v>
      </c>
      <c r="C92" s="17">
        <v>0</v>
      </c>
      <c r="D92" s="17">
        <v>0</v>
      </c>
      <c r="E92" s="17">
        <v>0</v>
      </c>
      <c r="F92" s="17">
        <v>0</v>
      </c>
      <c r="G92" s="17">
        <v>0</v>
      </c>
      <c r="H92" s="17">
        <v>0</v>
      </c>
      <c r="I92" s="17">
        <v>0</v>
      </c>
      <c r="J92" s="17">
        <v>0</v>
      </c>
      <c r="K92" s="17">
        <v>0</v>
      </c>
      <c r="L92" s="17">
        <v>0.34357500000000002</v>
      </c>
      <c r="M92" s="17">
        <v>0.32500000000000001</v>
      </c>
      <c r="N92" s="17">
        <v>6.7757999999999999E-2</v>
      </c>
      <c r="O92" s="17">
        <v>0</v>
      </c>
      <c r="P92" s="17">
        <v>0</v>
      </c>
      <c r="Q92" s="17">
        <v>0.15603700000000001</v>
      </c>
      <c r="R92" s="17">
        <v>0.915798</v>
      </c>
      <c r="S92" s="17">
        <v>0.73489099999999996</v>
      </c>
      <c r="T92" s="17">
        <v>2.41E-4</v>
      </c>
      <c r="U92" s="17">
        <v>5.4840000000000002E-3</v>
      </c>
      <c r="V92" s="17"/>
      <c r="X92" s="14" t="s">
        <v>1291</v>
      </c>
      <c r="Y92" s="17">
        <v>1.1900000000000001E-3</v>
      </c>
      <c r="Z92" s="17">
        <f t="shared" si="11"/>
        <v>4.2940000000000001E-3</v>
      </c>
      <c r="AA92" s="17">
        <v>0.50581200000000004</v>
      </c>
    </row>
    <row r="93" spans="1:255" x14ac:dyDescent="0.2">
      <c r="A93" s="5"/>
      <c r="B93" s="5"/>
      <c r="C93" s="5"/>
      <c r="D93" s="5"/>
      <c r="E93" s="5"/>
      <c r="F93" s="5"/>
      <c r="G93" s="5"/>
      <c r="H93" s="5"/>
      <c r="I93" s="5"/>
      <c r="J93" s="5"/>
      <c r="K93" s="5"/>
      <c r="L93" s="5"/>
      <c r="M93" s="5"/>
      <c r="N93" s="5"/>
      <c r="O93" s="5"/>
      <c r="P93" s="5"/>
      <c r="Q93" s="5"/>
      <c r="R93" s="5"/>
      <c r="S93" s="5"/>
      <c r="T93" s="5"/>
      <c r="U93" s="5"/>
      <c r="V93" s="5"/>
      <c r="X93" s="5"/>
      <c r="Y93" s="5"/>
      <c r="Z93" s="5"/>
      <c r="AA93" s="5"/>
    </row>
    <row r="94" spans="1:255" x14ac:dyDescent="0.2">
      <c r="A94" s="8" t="s">
        <v>919</v>
      </c>
      <c r="B94" s="8"/>
      <c r="C94" s="8"/>
      <c r="D94" s="8"/>
      <c r="E94" s="8"/>
      <c r="F94" s="8"/>
      <c r="G94" s="8"/>
      <c r="H94" s="8"/>
      <c r="I94" s="8"/>
      <c r="J94" s="8"/>
      <c r="K94" s="8"/>
      <c r="L94" s="8"/>
      <c r="M94" s="8"/>
      <c r="N94" s="8"/>
      <c r="O94" s="8"/>
      <c r="P94" s="8"/>
      <c r="Q94" s="8"/>
      <c r="R94" s="8"/>
      <c r="S94" s="8"/>
      <c r="T94" s="8"/>
      <c r="U94" s="8"/>
      <c r="V94" s="8"/>
      <c r="W94" s="9"/>
      <c r="X94" s="8" t="s">
        <v>919</v>
      </c>
      <c r="Y94" s="8"/>
      <c r="Z94" s="8"/>
      <c r="AA94" s="8"/>
      <c r="AE94" s="9"/>
      <c r="AF94" s="9"/>
      <c r="AG94" s="9"/>
      <c r="AH94" s="9"/>
      <c r="AI94" s="9"/>
      <c r="AJ94" s="9"/>
      <c r="AK94" s="9"/>
      <c r="AL94" s="9"/>
      <c r="AM94" s="9"/>
      <c r="AN94" s="9"/>
      <c r="AO94" s="9"/>
      <c r="AP94" s="9"/>
      <c r="AQ94" s="9"/>
      <c r="AR94" s="9"/>
      <c r="AS94" s="9"/>
      <c r="AT94" s="9"/>
      <c r="AU94" s="9"/>
      <c r="AV94" s="9"/>
      <c r="AW94" s="9"/>
      <c r="AX94" s="9"/>
      <c r="AY94" s="9"/>
      <c r="AZ94" s="9"/>
      <c r="BA94" s="9"/>
      <c r="BB94" s="9"/>
      <c r="BC94" s="9"/>
      <c r="BD94" s="9"/>
      <c r="BE94" s="9"/>
      <c r="BF94" s="9"/>
      <c r="BG94" s="9"/>
      <c r="BH94" s="9"/>
      <c r="BI94" s="9"/>
      <c r="BJ94" s="9"/>
      <c r="BK94" s="9"/>
      <c r="BL94" s="9"/>
      <c r="BM94" s="9"/>
      <c r="BN94" s="9"/>
      <c r="BO94" s="9"/>
      <c r="BP94" s="9"/>
      <c r="BQ94" s="9"/>
      <c r="BR94" s="9"/>
      <c r="BS94" s="9"/>
      <c r="BT94" s="9"/>
      <c r="BU94" s="9"/>
      <c r="BV94" s="9"/>
      <c r="BW94" s="9"/>
      <c r="BX94" s="9"/>
      <c r="BY94" s="9"/>
      <c r="BZ94" s="9"/>
      <c r="CA94" s="9"/>
      <c r="CB94" s="9"/>
      <c r="CC94" s="9"/>
      <c r="CD94" s="9"/>
      <c r="CE94" s="9"/>
      <c r="CF94" s="9"/>
      <c r="CG94" s="9"/>
      <c r="CH94" s="9"/>
      <c r="CI94" s="9"/>
      <c r="CJ94" s="9"/>
      <c r="CK94" s="9"/>
      <c r="CL94" s="9"/>
      <c r="CM94" s="9"/>
      <c r="CN94" s="9"/>
      <c r="CO94" s="9"/>
      <c r="CP94" s="9"/>
      <c r="CQ94" s="9"/>
      <c r="CR94" s="9"/>
      <c r="CS94" s="9"/>
      <c r="CT94" s="9"/>
      <c r="CU94" s="9"/>
      <c r="CV94" s="9"/>
      <c r="CW94" s="9"/>
      <c r="CX94" s="9"/>
      <c r="CY94" s="9"/>
      <c r="CZ94" s="9"/>
      <c r="DA94" s="9"/>
      <c r="DB94" s="9"/>
      <c r="DC94" s="9"/>
      <c r="DD94" s="9"/>
      <c r="DE94" s="9"/>
      <c r="DF94" s="9"/>
      <c r="DG94" s="9"/>
      <c r="DH94" s="9"/>
      <c r="DI94" s="9"/>
      <c r="DJ94" s="9"/>
      <c r="DK94" s="9"/>
      <c r="DL94" s="9"/>
      <c r="DM94" s="9"/>
      <c r="DN94" s="9"/>
      <c r="DO94" s="9"/>
      <c r="DP94" s="9"/>
      <c r="DQ94" s="9"/>
      <c r="DR94" s="9"/>
      <c r="DS94" s="9"/>
      <c r="DT94" s="9"/>
      <c r="DU94" s="9"/>
      <c r="DV94" s="9"/>
      <c r="DW94" s="9"/>
      <c r="DX94" s="9"/>
      <c r="DY94" s="9"/>
      <c r="DZ94" s="9"/>
      <c r="EA94" s="9"/>
      <c r="EB94" s="9"/>
      <c r="EC94" s="9"/>
      <c r="ED94" s="9"/>
      <c r="EE94" s="9"/>
      <c r="EF94" s="9"/>
      <c r="EG94" s="9"/>
      <c r="EH94" s="9"/>
      <c r="EI94" s="9"/>
      <c r="EJ94" s="9"/>
      <c r="EK94" s="9"/>
      <c r="EL94" s="9"/>
      <c r="EM94" s="9"/>
      <c r="EN94" s="9"/>
      <c r="EO94" s="9"/>
      <c r="EP94" s="9"/>
      <c r="EQ94" s="9"/>
      <c r="ER94" s="9"/>
      <c r="ES94" s="9"/>
      <c r="ET94" s="9"/>
      <c r="EU94" s="9"/>
      <c r="EV94" s="9"/>
      <c r="EW94" s="9"/>
      <c r="EX94" s="9"/>
      <c r="EY94" s="9"/>
      <c r="EZ94" s="9"/>
      <c r="FA94" s="9"/>
      <c r="FB94" s="9"/>
      <c r="FC94" s="9"/>
      <c r="FD94" s="9"/>
      <c r="FE94" s="9"/>
      <c r="FF94" s="9"/>
      <c r="FG94" s="9"/>
      <c r="FH94" s="9"/>
      <c r="FI94" s="9"/>
      <c r="FJ94" s="9"/>
      <c r="FK94" s="9"/>
      <c r="FL94" s="9"/>
      <c r="FM94" s="9"/>
      <c r="FN94" s="9"/>
      <c r="FO94" s="9"/>
      <c r="FP94" s="9"/>
      <c r="FQ94" s="9"/>
      <c r="FR94" s="9"/>
      <c r="FS94" s="9"/>
      <c r="FT94" s="9"/>
      <c r="FU94" s="9"/>
      <c r="FV94" s="9"/>
      <c r="FW94" s="9"/>
      <c r="FX94" s="9"/>
      <c r="FY94" s="9"/>
      <c r="FZ94" s="9"/>
      <c r="GA94" s="9"/>
      <c r="GB94" s="9"/>
      <c r="GC94" s="9"/>
      <c r="GD94" s="9"/>
      <c r="GE94" s="9"/>
      <c r="GF94" s="9"/>
      <c r="GG94" s="9"/>
      <c r="GH94" s="9"/>
      <c r="GI94" s="9"/>
      <c r="GJ94" s="9"/>
      <c r="GK94" s="9"/>
      <c r="GL94" s="9"/>
      <c r="GM94" s="9"/>
      <c r="GN94" s="9"/>
      <c r="GO94" s="9"/>
      <c r="GP94" s="9"/>
      <c r="GQ94" s="9"/>
      <c r="GR94" s="9"/>
      <c r="GS94" s="9"/>
      <c r="GT94" s="9"/>
      <c r="GU94" s="9"/>
      <c r="GV94" s="9"/>
      <c r="GW94" s="9"/>
      <c r="GX94" s="9"/>
      <c r="GY94" s="9"/>
      <c r="GZ94" s="9"/>
      <c r="HA94" s="9"/>
      <c r="HB94" s="9"/>
      <c r="HC94" s="9"/>
      <c r="HD94" s="9"/>
      <c r="HE94" s="9"/>
      <c r="HF94" s="9"/>
      <c r="HG94" s="9"/>
      <c r="HH94" s="9"/>
      <c r="HI94" s="9"/>
      <c r="HJ94" s="9"/>
      <c r="HK94" s="9"/>
      <c r="HL94" s="9"/>
      <c r="HM94" s="9"/>
      <c r="HN94" s="9"/>
      <c r="HO94" s="9"/>
      <c r="HP94" s="9"/>
      <c r="HQ94" s="9"/>
      <c r="HR94" s="9"/>
      <c r="HS94" s="9"/>
      <c r="HT94" s="9"/>
      <c r="HU94" s="9"/>
      <c r="HV94" s="9"/>
      <c r="HW94" s="9"/>
      <c r="HX94" s="9"/>
      <c r="HY94" s="9"/>
      <c r="HZ94" s="9"/>
      <c r="IA94" s="9"/>
      <c r="IB94" s="9"/>
      <c r="IC94" s="9"/>
      <c r="ID94" s="9"/>
      <c r="IE94" s="9"/>
      <c r="IF94" s="9"/>
      <c r="IG94" s="9"/>
      <c r="IH94" s="9"/>
      <c r="II94" s="9"/>
      <c r="IJ94" s="9"/>
      <c r="IK94" s="9"/>
      <c r="IL94" s="9"/>
      <c r="IM94" s="9"/>
      <c r="IN94" s="9"/>
      <c r="IO94" s="9"/>
      <c r="IP94" s="9"/>
      <c r="IQ94" s="9"/>
      <c r="IR94" s="9"/>
      <c r="IS94" s="9"/>
      <c r="IT94" s="9"/>
      <c r="IU94" s="9"/>
    </row>
    <row r="95" spans="1:255" ht="21" x14ac:dyDescent="0.25">
      <c r="A95" s="10" t="s">
        <v>1065</v>
      </c>
      <c r="B95" s="23">
        <v>35277</v>
      </c>
      <c r="C95" s="23">
        <v>35642</v>
      </c>
      <c r="D95" s="23">
        <v>36007</v>
      </c>
      <c r="E95" s="23">
        <v>36372</v>
      </c>
      <c r="F95" s="23">
        <v>36738</v>
      </c>
      <c r="G95" s="23">
        <v>37103</v>
      </c>
      <c r="H95" s="23">
        <v>37468</v>
      </c>
      <c r="I95" s="23">
        <v>37833</v>
      </c>
      <c r="J95" s="11" t="s">
        <v>1292</v>
      </c>
      <c r="K95" s="23">
        <v>38564</v>
      </c>
      <c r="L95" s="23">
        <v>38929</v>
      </c>
      <c r="M95" s="23">
        <v>39294</v>
      </c>
      <c r="N95" s="23">
        <v>39660</v>
      </c>
      <c r="O95" s="23">
        <v>40025</v>
      </c>
      <c r="P95" s="23">
        <v>40390</v>
      </c>
      <c r="Q95" s="23">
        <v>40755</v>
      </c>
      <c r="R95" s="11" t="s">
        <v>1293</v>
      </c>
      <c r="S95" s="11" t="s">
        <v>1294</v>
      </c>
      <c r="T95" s="11" t="s">
        <v>1295</v>
      </c>
      <c r="U95" s="23">
        <v>42216</v>
      </c>
      <c r="V95" s="23">
        <v>42400</v>
      </c>
      <c r="X95" s="10" t="s">
        <v>1065</v>
      </c>
      <c r="Y95" s="11"/>
      <c r="Z95" s="11" t="s">
        <v>1296</v>
      </c>
      <c r="AA95" s="11" t="s">
        <v>1297</v>
      </c>
      <c r="AD95" s="9"/>
    </row>
    <row r="96" spans="1:255" x14ac:dyDescent="0.2">
      <c r="A96" s="12" t="s">
        <v>1035</v>
      </c>
      <c r="B96" s="13" t="s">
        <v>88</v>
      </c>
      <c r="C96" s="13" t="s">
        <v>88</v>
      </c>
      <c r="D96" s="13" t="s">
        <v>88</v>
      </c>
      <c r="E96" s="13" t="s">
        <v>88</v>
      </c>
      <c r="F96" s="13" t="s">
        <v>88</v>
      </c>
      <c r="G96" s="13" t="s">
        <v>88</v>
      </c>
      <c r="H96" s="13" t="s">
        <v>88</v>
      </c>
      <c r="I96" s="13" t="s">
        <v>88</v>
      </c>
      <c r="J96" s="13" t="s">
        <v>88</v>
      </c>
      <c r="K96" s="13" t="s">
        <v>88</v>
      </c>
      <c r="L96" s="13" t="s">
        <v>88</v>
      </c>
      <c r="M96" s="13" t="s">
        <v>88</v>
      </c>
      <c r="N96" s="13" t="s">
        <v>88</v>
      </c>
      <c r="O96" s="13" t="s">
        <v>88</v>
      </c>
      <c r="P96" s="13" t="s">
        <v>88</v>
      </c>
      <c r="Q96" s="13" t="s">
        <v>88</v>
      </c>
      <c r="R96" s="13" t="s">
        <v>88</v>
      </c>
      <c r="S96" s="13" t="s">
        <v>88</v>
      </c>
      <c r="T96" s="13" t="s">
        <v>88</v>
      </c>
      <c r="U96" s="13" t="s">
        <v>88</v>
      </c>
      <c r="V96" s="13" t="s">
        <v>88</v>
      </c>
      <c r="X96" s="12" t="s">
        <v>1035</v>
      </c>
      <c r="Y96" s="13"/>
      <c r="Z96" s="13" t="s">
        <v>88</v>
      </c>
      <c r="AA96" s="13" t="s">
        <v>88</v>
      </c>
    </row>
    <row r="97" spans="1:29" ht="10.5" x14ac:dyDescent="0.2">
      <c r="A97" s="14" t="s">
        <v>1298</v>
      </c>
      <c r="B97" s="5"/>
      <c r="C97" s="5"/>
      <c r="D97" s="5"/>
      <c r="E97" s="5"/>
      <c r="F97" s="5"/>
      <c r="G97" s="5"/>
      <c r="H97" s="5"/>
      <c r="I97" s="5"/>
      <c r="J97" s="5"/>
      <c r="K97" s="5"/>
      <c r="L97" s="5"/>
      <c r="M97" s="5"/>
      <c r="N97" s="5"/>
      <c r="O97" s="5"/>
      <c r="P97" s="5"/>
      <c r="Q97" s="5"/>
      <c r="R97" s="5"/>
      <c r="S97" s="5"/>
      <c r="T97" s="5"/>
      <c r="U97" s="5"/>
      <c r="V97" s="5"/>
      <c r="X97" s="14" t="s">
        <v>1298</v>
      </c>
      <c r="Y97" s="5"/>
      <c r="Z97" s="5"/>
      <c r="AA97" s="5"/>
    </row>
    <row r="98" spans="1:29" x14ac:dyDescent="0.2">
      <c r="A98" s="5" t="s">
        <v>1299</v>
      </c>
      <c r="B98" s="15">
        <v>6.8999999999999997E-5</v>
      </c>
      <c r="C98" s="15">
        <v>4.5954000000000002E-2</v>
      </c>
      <c r="D98" s="15">
        <v>0.101925</v>
      </c>
      <c r="E98" s="15">
        <v>7.1599999999999997E-3</v>
      </c>
      <c r="F98" s="15">
        <v>2.1426000000000001E-2</v>
      </c>
      <c r="G98" s="15">
        <v>8.6899999999999998E-3</v>
      </c>
      <c r="H98" s="15">
        <v>2.0939999999999999E-3</v>
      </c>
      <c r="I98" s="15">
        <v>1.379014</v>
      </c>
      <c r="J98" s="15">
        <v>1.791488</v>
      </c>
      <c r="K98" s="15">
        <v>2.0525169999999999</v>
      </c>
      <c r="L98" s="15">
        <v>2.3259999999999999E-3</v>
      </c>
      <c r="M98" s="15">
        <v>6.0714319999999997</v>
      </c>
      <c r="N98" s="15">
        <v>10.374245999999999</v>
      </c>
      <c r="O98" s="15">
        <v>13.633570000000001</v>
      </c>
      <c r="P98" s="15">
        <v>13.675719000000001</v>
      </c>
      <c r="Q98" s="15">
        <v>9.0160850000000003</v>
      </c>
      <c r="R98" s="15">
        <v>12.281984</v>
      </c>
      <c r="S98" s="15">
        <v>8.6758839999999999</v>
      </c>
      <c r="T98" s="15">
        <v>37.72</v>
      </c>
      <c r="U98" s="15">
        <v>74.641999999999996</v>
      </c>
      <c r="V98" s="15">
        <v>54.881</v>
      </c>
      <c r="X98" s="5" t="s">
        <v>1299</v>
      </c>
      <c r="Y98" s="15"/>
      <c r="Z98" s="15">
        <f>U98</f>
        <v>74.641999999999996</v>
      </c>
      <c r="AA98" s="15">
        <v>54.881</v>
      </c>
    </row>
    <row r="99" spans="1:29" ht="10.5" x14ac:dyDescent="0.2">
      <c r="A99" s="14" t="s">
        <v>1300</v>
      </c>
      <c r="B99" s="16">
        <v>6.8999999999999997E-5</v>
      </c>
      <c r="C99" s="16">
        <v>4.5954000000000002E-2</v>
      </c>
      <c r="D99" s="16">
        <v>0.101925</v>
      </c>
      <c r="E99" s="16">
        <v>7.1599999999999997E-3</v>
      </c>
      <c r="F99" s="16">
        <v>2.1426000000000001E-2</v>
      </c>
      <c r="G99" s="16">
        <v>8.6899999999999998E-3</v>
      </c>
      <c r="H99" s="16">
        <v>2.0939999999999999E-3</v>
      </c>
      <c r="I99" s="16">
        <v>1.379014</v>
      </c>
      <c r="J99" s="16">
        <v>1.791488</v>
      </c>
      <c r="K99" s="16">
        <v>2.0525169999999999</v>
      </c>
      <c r="L99" s="16">
        <v>2.3259999999999999E-3</v>
      </c>
      <c r="M99" s="16">
        <v>6.0714319999999997</v>
      </c>
      <c r="N99" s="16">
        <v>10.374245999999999</v>
      </c>
      <c r="O99" s="16">
        <v>13.633570000000001</v>
      </c>
      <c r="P99" s="16">
        <v>13.675719000000001</v>
      </c>
      <c r="Q99" s="16">
        <v>9.0160850000000003</v>
      </c>
      <c r="R99" s="16">
        <v>12.281984</v>
      </c>
      <c r="S99" s="16">
        <v>8.6758839999999999</v>
      </c>
      <c r="T99" s="16">
        <v>37.72</v>
      </c>
      <c r="U99" s="16">
        <v>74.641999999999996</v>
      </c>
      <c r="V99" s="16">
        <v>54.881</v>
      </c>
      <c r="X99" s="14" t="s">
        <v>1300</v>
      </c>
      <c r="Y99" s="16"/>
      <c r="Z99" s="16">
        <f t="shared" ref="Z99" si="12">U99</f>
        <v>74.641999999999996</v>
      </c>
      <c r="AA99" s="16">
        <v>54.881</v>
      </c>
    </row>
    <row r="100" spans="1:29" x14ac:dyDescent="0.2">
      <c r="A100" s="5"/>
      <c r="B100" s="5"/>
      <c r="C100" s="5"/>
      <c r="D100" s="5"/>
      <c r="E100" s="5"/>
      <c r="F100" s="5"/>
      <c r="G100" s="5"/>
      <c r="H100" s="5"/>
      <c r="I100" s="5"/>
      <c r="J100" s="5"/>
      <c r="K100" s="5"/>
      <c r="L100" s="5"/>
      <c r="M100" s="5"/>
      <c r="N100" s="5"/>
      <c r="O100" s="5"/>
      <c r="P100" s="5"/>
      <c r="Q100" s="5"/>
      <c r="R100" s="5"/>
      <c r="S100" s="5"/>
      <c r="T100" s="5"/>
      <c r="U100" s="5"/>
      <c r="V100" s="5"/>
      <c r="X100" s="5"/>
      <c r="Y100" s="5"/>
      <c r="Z100" s="5"/>
      <c r="AA100" s="5"/>
    </row>
    <row r="101" spans="1:29" x14ac:dyDescent="0.2">
      <c r="A101" s="5" t="s">
        <v>1301</v>
      </c>
      <c r="B101" s="15">
        <v>0.55504900000000001</v>
      </c>
      <c r="C101" s="15">
        <v>1.1888650000000001</v>
      </c>
      <c r="D101" s="15">
        <v>2.233565</v>
      </c>
      <c r="E101" s="15">
        <v>4.194947</v>
      </c>
      <c r="F101" s="15">
        <v>5.4602909999999998</v>
      </c>
      <c r="G101" s="15">
        <v>6.6717899999999997</v>
      </c>
      <c r="H101" s="15">
        <v>16.262021000000001</v>
      </c>
      <c r="I101" s="15">
        <v>9.7809080000000002</v>
      </c>
      <c r="J101" s="15">
        <v>12.926830000000001</v>
      </c>
      <c r="K101" s="15">
        <v>12.644933</v>
      </c>
      <c r="L101" s="15">
        <v>14.918566</v>
      </c>
      <c r="M101" s="15">
        <v>18.405792000000002</v>
      </c>
      <c r="N101" s="15">
        <v>19.040704000000002</v>
      </c>
      <c r="O101" s="15">
        <v>19.898344999999999</v>
      </c>
      <c r="P101" s="15">
        <v>29.090603999999999</v>
      </c>
      <c r="Q101" s="15">
        <v>45.961061999999998</v>
      </c>
      <c r="R101" s="15">
        <v>64.634418999999994</v>
      </c>
      <c r="S101" s="15">
        <v>78.68374</v>
      </c>
      <c r="T101" s="15">
        <v>91.965999999999994</v>
      </c>
      <c r="U101" s="15">
        <v>111.935</v>
      </c>
      <c r="V101" s="15">
        <v>106.61799999999999</v>
      </c>
      <c r="X101" s="5" t="s">
        <v>1301</v>
      </c>
      <c r="Y101" s="15"/>
      <c r="Z101" s="15">
        <f t="shared" ref="Z101:Z104" si="13">U101</f>
        <v>111.935</v>
      </c>
      <c r="AA101" s="15">
        <v>106.61799999999999</v>
      </c>
      <c r="AB101" s="9"/>
      <c r="AC101" s="9"/>
    </row>
    <row r="102" spans="1:29" x14ac:dyDescent="0.2">
      <c r="A102" s="5" t="s">
        <v>1302</v>
      </c>
      <c r="B102" s="15">
        <v>7.0000000000000001E-3</v>
      </c>
      <c r="C102" s="15">
        <v>8.1499999999999993E-3</v>
      </c>
      <c r="D102" s="15">
        <v>0</v>
      </c>
      <c r="E102" s="15">
        <v>4.3610000000000003E-3</v>
      </c>
      <c r="F102" s="15">
        <v>8.4109000000000003E-2</v>
      </c>
      <c r="G102" s="15">
        <v>0.14813499999999999</v>
      </c>
      <c r="H102" s="15">
        <v>0.14016999999999999</v>
      </c>
      <c r="I102" s="15">
        <v>8.3107E-2</v>
      </c>
      <c r="J102" s="15">
        <v>0.32832</v>
      </c>
      <c r="K102" s="15">
        <v>0.58192699999999997</v>
      </c>
      <c r="L102" s="15">
        <v>0.47114800000000001</v>
      </c>
      <c r="M102" s="15">
        <v>0.34260200000000002</v>
      </c>
      <c r="N102" s="15">
        <v>6.4179E-2</v>
      </c>
      <c r="O102" s="15">
        <v>3.8899999999999997E-2</v>
      </c>
      <c r="P102" s="15">
        <v>0.131157</v>
      </c>
      <c r="Q102" s="15">
        <v>0.13861799999999999</v>
      </c>
      <c r="R102" s="15">
        <v>0.95635199999999998</v>
      </c>
      <c r="S102" s="15">
        <v>0.89222199999999996</v>
      </c>
      <c r="T102" s="15">
        <v>3.5219999999999998</v>
      </c>
      <c r="U102" s="15">
        <v>4.4489999999999998</v>
      </c>
      <c r="V102" s="15">
        <v>3.73</v>
      </c>
      <c r="X102" s="5" t="s">
        <v>1302</v>
      </c>
      <c r="Y102" s="15"/>
      <c r="Z102" s="15">
        <f t="shared" si="13"/>
        <v>4.4489999999999998</v>
      </c>
      <c r="AA102" s="15">
        <v>3.73</v>
      </c>
    </row>
    <row r="103" spans="1:29" x14ac:dyDescent="0.2">
      <c r="A103" s="5" t="s">
        <v>1303</v>
      </c>
      <c r="B103" s="15">
        <v>0</v>
      </c>
      <c r="C103" s="15">
        <v>0</v>
      </c>
      <c r="D103" s="15">
        <v>0</v>
      </c>
      <c r="E103" s="15">
        <v>3.9238000000000002E-2</v>
      </c>
      <c r="F103" s="15">
        <v>4.3954E-2</v>
      </c>
      <c r="G103" s="15">
        <v>6.3805000000000001E-2</v>
      </c>
      <c r="H103" s="15">
        <v>0</v>
      </c>
      <c r="I103" s="15">
        <v>0</v>
      </c>
      <c r="J103" s="15">
        <v>0</v>
      </c>
      <c r="K103" s="15">
        <v>0</v>
      </c>
      <c r="L103" s="15">
        <v>0</v>
      </c>
      <c r="M103" s="15">
        <v>0</v>
      </c>
      <c r="N103" s="15">
        <v>0</v>
      </c>
      <c r="O103" s="15">
        <v>0</v>
      </c>
      <c r="P103" s="15">
        <v>0</v>
      </c>
      <c r="Q103" s="15">
        <v>0</v>
      </c>
      <c r="R103" s="15">
        <v>0</v>
      </c>
      <c r="S103" s="15">
        <v>0</v>
      </c>
      <c r="T103" s="15">
        <v>0</v>
      </c>
      <c r="U103" s="15">
        <v>0</v>
      </c>
      <c r="V103" s="15">
        <v>0</v>
      </c>
      <c r="X103" s="5"/>
      <c r="Y103" s="15"/>
      <c r="Z103" s="15">
        <f t="shared" si="13"/>
        <v>0</v>
      </c>
      <c r="AA103" s="15"/>
    </row>
    <row r="104" spans="1:29" ht="10.5" x14ac:dyDescent="0.2">
      <c r="A104" s="14" t="s">
        <v>1304</v>
      </c>
      <c r="B104" s="16">
        <v>0.56204900000000002</v>
      </c>
      <c r="C104" s="16">
        <v>1.1970149999999999</v>
      </c>
      <c r="D104" s="16">
        <v>2.233565</v>
      </c>
      <c r="E104" s="16">
        <v>4.2385460000000004</v>
      </c>
      <c r="F104" s="16">
        <v>5.5883539999999998</v>
      </c>
      <c r="G104" s="16">
        <v>6.8837299999999999</v>
      </c>
      <c r="H104" s="16">
        <v>16.402190999999998</v>
      </c>
      <c r="I104" s="16">
        <v>9.8640150000000002</v>
      </c>
      <c r="J104" s="16">
        <v>13.25515</v>
      </c>
      <c r="K104" s="16">
        <v>13.22686</v>
      </c>
      <c r="L104" s="16">
        <v>15.389714</v>
      </c>
      <c r="M104" s="16">
        <v>18.748394000000001</v>
      </c>
      <c r="N104" s="16">
        <v>19.104883000000001</v>
      </c>
      <c r="O104" s="16">
        <v>19.937245000000001</v>
      </c>
      <c r="P104" s="16">
        <v>29.221761000000001</v>
      </c>
      <c r="Q104" s="16">
        <v>46.099679999999999</v>
      </c>
      <c r="R104" s="16">
        <v>65.590771000000004</v>
      </c>
      <c r="S104" s="16">
        <v>79.575962000000004</v>
      </c>
      <c r="T104" s="16">
        <v>95.488</v>
      </c>
      <c r="U104" s="16">
        <v>116.384</v>
      </c>
      <c r="V104" s="16">
        <v>110.348</v>
      </c>
      <c r="X104" s="14" t="s">
        <v>1304</v>
      </c>
      <c r="Y104" s="16"/>
      <c r="Z104" s="16">
        <f t="shared" si="13"/>
        <v>116.384</v>
      </c>
      <c r="AA104" s="16">
        <v>110.348</v>
      </c>
    </row>
    <row r="105" spans="1:29" x14ac:dyDescent="0.2">
      <c r="A105" s="5"/>
      <c r="B105" s="5"/>
      <c r="C105" s="5"/>
      <c r="D105" s="5"/>
      <c r="E105" s="5"/>
      <c r="F105" s="5"/>
      <c r="G105" s="5"/>
      <c r="H105" s="5"/>
      <c r="I105" s="5"/>
      <c r="J105" s="5"/>
      <c r="K105" s="5"/>
      <c r="L105" s="5"/>
      <c r="M105" s="5"/>
      <c r="N105" s="5"/>
      <c r="O105" s="5"/>
      <c r="P105" s="5"/>
      <c r="Q105" s="5"/>
      <c r="R105" s="5"/>
      <c r="S105" s="5"/>
      <c r="T105" s="5"/>
      <c r="U105" s="5"/>
      <c r="V105" s="5"/>
      <c r="X105" s="5"/>
      <c r="Y105" s="5"/>
      <c r="Z105" s="5"/>
      <c r="AA105" s="5"/>
    </row>
    <row r="106" spans="1:29" x14ac:dyDescent="0.2">
      <c r="A106" s="5" t="s">
        <v>317</v>
      </c>
      <c r="B106" s="15">
        <v>0.155582</v>
      </c>
      <c r="C106" s="15">
        <v>5.4738000000000002E-2</v>
      </c>
      <c r="D106" s="15">
        <v>6.3941999999999999E-2</v>
      </c>
      <c r="E106" s="15">
        <v>4.6998999999999999E-2</v>
      </c>
      <c r="F106" s="15">
        <v>0.17154</v>
      </c>
      <c r="G106" s="15">
        <v>0.33513799999999999</v>
      </c>
      <c r="H106" s="15">
        <v>1.279763</v>
      </c>
      <c r="I106" s="15">
        <v>0.28871599999999997</v>
      </c>
      <c r="J106" s="15">
        <v>0.24516399999999999</v>
      </c>
      <c r="K106" s="15">
        <v>0.25069599999999997</v>
      </c>
      <c r="L106" s="15">
        <v>0.17116600000000001</v>
      </c>
      <c r="M106" s="15">
        <v>0.403391</v>
      </c>
      <c r="N106" s="15">
        <v>0.40257500000000002</v>
      </c>
      <c r="O106" s="15">
        <v>0.26390200000000003</v>
      </c>
      <c r="P106" s="15">
        <v>0.83121500000000004</v>
      </c>
      <c r="Q106" s="15">
        <v>1.0403690000000001</v>
      </c>
      <c r="R106" s="15">
        <v>2.0073970000000001</v>
      </c>
      <c r="S106" s="15">
        <v>4.2788599999999999</v>
      </c>
      <c r="T106" s="15">
        <v>4.4809999999999999</v>
      </c>
      <c r="U106" s="15">
        <v>2.6520000000000001</v>
      </c>
      <c r="V106" s="15">
        <v>3.9220000000000002</v>
      </c>
      <c r="X106" s="5" t="s">
        <v>317</v>
      </c>
      <c r="Y106" s="15"/>
      <c r="Z106" s="15">
        <f t="shared" ref="Z106:Z110" si="14">U106</f>
        <v>2.6520000000000001</v>
      </c>
      <c r="AA106" s="15">
        <v>3.9220000000000002</v>
      </c>
    </row>
    <row r="107" spans="1:29" x14ac:dyDescent="0.2">
      <c r="A107" s="5" t="s">
        <v>1305</v>
      </c>
      <c r="B107" s="15">
        <v>2.682E-2</v>
      </c>
      <c r="C107" s="15">
        <v>6.0278999999999999E-2</v>
      </c>
      <c r="D107" s="15">
        <v>8.8653999999999997E-2</v>
      </c>
      <c r="E107" s="15">
        <v>0.23883499999999999</v>
      </c>
      <c r="F107" s="15">
        <v>0.190412</v>
      </c>
      <c r="G107" s="15">
        <v>0.145175</v>
      </c>
      <c r="H107" s="15">
        <v>0.320104</v>
      </c>
      <c r="I107" s="15">
        <v>0.29724400000000001</v>
      </c>
      <c r="J107" s="15">
        <v>0.43258400000000002</v>
      </c>
      <c r="K107" s="15">
        <v>0.41919499999999998</v>
      </c>
      <c r="L107" s="15">
        <v>0.37633800000000001</v>
      </c>
      <c r="M107" s="15">
        <v>0.62364900000000001</v>
      </c>
      <c r="N107" s="15">
        <v>0.62682199999999999</v>
      </c>
      <c r="O107" s="15">
        <v>0.80538299999999996</v>
      </c>
      <c r="P107" s="15">
        <v>0.86937500000000001</v>
      </c>
      <c r="Q107" s="15">
        <v>2.8978220000000001</v>
      </c>
      <c r="R107" s="15">
        <v>6.4617509999999996</v>
      </c>
      <c r="S107" s="15">
        <v>5.9434120000000004</v>
      </c>
      <c r="T107" s="15">
        <v>2.25</v>
      </c>
      <c r="U107" s="15">
        <v>3.7850000000000001</v>
      </c>
      <c r="V107" s="15">
        <v>3.125</v>
      </c>
      <c r="X107" s="5" t="s">
        <v>1305</v>
      </c>
      <c r="Y107" s="15"/>
      <c r="Z107" s="15">
        <f t="shared" si="14"/>
        <v>3.7850000000000001</v>
      </c>
      <c r="AA107" s="15">
        <v>3.125</v>
      </c>
    </row>
    <row r="108" spans="1:29" x14ac:dyDescent="0.2">
      <c r="A108" s="5" t="s">
        <v>1306</v>
      </c>
      <c r="B108" s="15">
        <v>0</v>
      </c>
      <c r="C108" s="15">
        <v>0</v>
      </c>
      <c r="D108" s="15">
        <v>0</v>
      </c>
      <c r="E108" s="15">
        <v>0</v>
      </c>
      <c r="F108" s="15">
        <v>0</v>
      </c>
      <c r="G108" s="15">
        <v>0</v>
      </c>
      <c r="H108" s="15">
        <v>0</v>
      </c>
      <c r="I108" s="15">
        <v>0</v>
      </c>
      <c r="J108" s="15">
        <v>0</v>
      </c>
      <c r="K108" s="15">
        <v>0</v>
      </c>
      <c r="L108" s="15">
        <v>0</v>
      </c>
      <c r="M108" s="15">
        <v>0</v>
      </c>
      <c r="N108" s="15">
        <v>0</v>
      </c>
      <c r="O108" s="15">
        <v>0</v>
      </c>
      <c r="P108" s="15">
        <v>0</v>
      </c>
      <c r="Q108" s="15">
        <v>0</v>
      </c>
      <c r="R108" s="15">
        <v>0.52244299999999999</v>
      </c>
      <c r="S108" s="15">
        <v>0</v>
      </c>
      <c r="T108" s="15">
        <v>0</v>
      </c>
      <c r="U108" s="15">
        <v>0</v>
      </c>
      <c r="V108" s="15">
        <v>0</v>
      </c>
      <c r="X108" s="5"/>
      <c r="Y108" s="15"/>
      <c r="Z108" s="15">
        <f t="shared" si="14"/>
        <v>0</v>
      </c>
      <c r="AA108" s="15"/>
    </row>
    <row r="109" spans="1:29" x14ac:dyDescent="0.2">
      <c r="A109" s="5" t="s">
        <v>1307</v>
      </c>
      <c r="B109" s="15">
        <v>0</v>
      </c>
      <c r="C109" s="15">
        <v>0</v>
      </c>
      <c r="D109" s="15">
        <v>0</v>
      </c>
      <c r="E109" s="15">
        <v>0</v>
      </c>
      <c r="F109" s="15">
        <v>0</v>
      </c>
      <c r="G109" s="15">
        <v>0</v>
      </c>
      <c r="H109" s="15">
        <v>0</v>
      </c>
      <c r="I109" s="15">
        <v>0</v>
      </c>
      <c r="J109" s="15">
        <v>0</v>
      </c>
      <c r="K109" s="15">
        <v>0</v>
      </c>
      <c r="L109" s="15">
        <v>0</v>
      </c>
      <c r="M109" s="15">
        <v>0</v>
      </c>
      <c r="N109" s="15">
        <v>0</v>
      </c>
      <c r="O109" s="15">
        <v>9.5999999999999992E-3</v>
      </c>
      <c r="P109" s="15">
        <v>9.5999999999999992E-3</v>
      </c>
      <c r="Q109" s="15">
        <v>9.5999999999999992E-3</v>
      </c>
      <c r="R109" s="15">
        <v>9.5999999999999992E-3</v>
      </c>
      <c r="S109" s="15">
        <v>1.302341</v>
      </c>
      <c r="T109" s="15">
        <v>2.4569999999999999</v>
      </c>
      <c r="U109" s="15">
        <v>1.7829999999999999</v>
      </c>
      <c r="V109" s="15">
        <v>0</v>
      </c>
      <c r="X109" s="5" t="s">
        <v>1307</v>
      </c>
      <c r="Y109" s="15"/>
      <c r="Z109" s="15">
        <f t="shared" si="14"/>
        <v>1.7829999999999999</v>
      </c>
      <c r="AA109" s="15">
        <v>0</v>
      </c>
    </row>
    <row r="110" spans="1:29" ht="10.5" x14ac:dyDescent="0.2">
      <c r="A110" s="14" t="s">
        <v>1071</v>
      </c>
      <c r="B110" s="16">
        <v>0.74451999999999996</v>
      </c>
      <c r="C110" s="16">
        <v>1.3579859999999999</v>
      </c>
      <c r="D110" s="16">
        <v>2.488086</v>
      </c>
      <c r="E110" s="16">
        <v>4.5315399999999997</v>
      </c>
      <c r="F110" s="16">
        <v>5.9717320000000003</v>
      </c>
      <c r="G110" s="16">
        <v>7.3727330000000002</v>
      </c>
      <c r="H110" s="16">
        <v>18.004152000000001</v>
      </c>
      <c r="I110" s="16">
        <v>11.828989</v>
      </c>
      <c r="J110" s="16">
        <v>15.724386000000001</v>
      </c>
      <c r="K110" s="16">
        <v>15.949268</v>
      </c>
      <c r="L110" s="16">
        <v>15.939544</v>
      </c>
      <c r="M110" s="16">
        <v>25.846865999999999</v>
      </c>
      <c r="N110" s="16">
        <v>30.508526</v>
      </c>
      <c r="O110" s="16">
        <v>34.649700000000003</v>
      </c>
      <c r="P110" s="16">
        <v>44.607669999999999</v>
      </c>
      <c r="Q110" s="16">
        <v>59.063555999999998</v>
      </c>
      <c r="R110" s="16">
        <v>86.873946000000004</v>
      </c>
      <c r="S110" s="16">
        <v>99.776459000000003</v>
      </c>
      <c r="T110" s="16">
        <v>142.39599999999999</v>
      </c>
      <c r="U110" s="16">
        <v>199.24600000000001</v>
      </c>
      <c r="V110" s="16">
        <v>172.27600000000001</v>
      </c>
      <c r="X110" s="14" t="s">
        <v>1071</v>
      </c>
      <c r="Y110" s="16"/>
      <c r="Z110" s="16">
        <f t="shared" si="14"/>
        <v>199.24600000000001</v>
      </c>
      <c r="AA110" s="16">
        <v>172.27600000000001</v>
      </c>
    </row>
    <row r="111" spans="1:29" x14ac:dyDescent="0.2">
      <c r="A111" s="5"/>
      <c r="B111" s="5"/>
      <c r="C111" s="5"/>
      <c r="D111" s="5"/>
      <c r="E111" s="5"/>
      <c r="F111" s="5"/>
      <c r="G111" s="5"/>
      <c r="H111" s="5"/>
      <c r="I111" s="5"/>
      <c r="J111" s="5"/>
      <c r="K111" s="5"/>
      <c r="L111" s="5"/>
      <c r="M111" s="5"/>
      <c r="N111" s="5"/>
      <c r="O111" s="5"/>
      <c r="P111" s="5"/>
      <c r="Q111" s="5"/>
      <c r="R111" s="5"/>
      <c r="S111" s="5"/>
      <c r="T111" s="5"/>
      <c r="U111" s="5"/>
      <c r="V111" s="5"/>
      <c r="X111" s="5"/>
      <c r="Y111" s="5"/>
      <c r="Z111" s="5"/>
      <c r="AA111" s="5"/>
    </row>
    <row r="112" spans="1:29" x14ac:dyDescent="0.2">
      <c r="A112" s="5" t="s">
        <v>1308</v>
      </c>
      <c r="B112" s="15">
        <v>0.25605</v>
      </c>
      <c r="C112" s="15">
        <v>0.31191400000000002</v>
      </c>
      <c r="D112" s="15">
        <v>0.43658400000000003</v>
      </c>
      <c r="E112" s="15">
        <v>0.53384399999999999</v>
      </c>
      <c r="F112" s="15">
        <v>0.77440900000000001</v>
      </c>
      <c r="G112" s="15">
        <v>1.0021409999999999</v>
      </c>
      <c r="H112" s="15">
        <v>1.021703</v>
      </c>
      <c r="I112" s="15">
        <v>0.85298799999999997</v>
      </c>
      <c r="J112" s="15">
        <v>1.3523529999999999</v>
      </c>
      <c r="K112" s="15">
        <v>1.394747</v>
      </c>
      <c r="L112" s="15">
        <v>0.81395600000000001</v>
      </c>
      <c r="M112" s="15">
        <v>0.94522499999999998</v>
      </c>
      <c r="N112" s="15">
        <v>1.1550879999999999</v>
      </c>
      <c r="O112" s="15">
        <v>1.2976939999999999</v>
      </c>
      <c r="P112" s="15">
        <v>1.429818</v>
      </c>
      <c r="Q112" s="15">
        <v>1.9844580000000001</v>
      </c>
      <c r="R112" s="15">
        <v>5.5686249999999999</v>
      </c>
      <c r="S112" s="15">
        <v>8.1358289999999993</v>
      </c>
      <c r="T112" s="15">
        <v>9.9570000000000007</v>
      </c>
      <c r="U112" s="15">
        <v>12.095000000000001</v>
      </c>
      <c r="V112" s="15">
        <v>0</v>
      </c>
      <c r="X112" s="5"/>
      <c r="Y112" s="5"/>
      <c r="Z112" s="5"/>
      <c r="AA112" s="5"/>
    </row>
    <row r="113" spans="1:27" x14ac:dyDescent="0.2">
      <c r="A113" s="5" t="s">
        <v>1309</v>
      </c>
      <c r="B113" s="15">
        <v>-0.1</v>
      </c>
      <c r="C113" s="15">
        <v>-0.1</v>
      </c>
      <c r="D113" s="15">
        <v>-0.2</v>
      </c>
      <c r="E113" s="15">
        <v>-0.3</v>
      </c>
      <c r="F113" s="15">
        <v>-0.3</v>
      </c>
      <c r="G113" s="15">
        <v>-0.5</v>
      </c>
      <c r="H113" s="15">
        <v>-0.6</v>
      </c>
      <c r="I113" s="15">
        <v>-0.5</v>
      </c>
      <c r="J113" s="15">
        <v>-0.7</v>
      </c>
      <c r="K113" s="15">
        <v>-0.8</v>
      </c>
      <c r="L113" s="15">
        <v>-0.4</v>
      </c>
      <c r="M113" s="15">
        <v>-0.5</v>
      </c>
      <c r="N113" s="15">
        <v>-0.6</v>
      </c>
      <c r="O113" s="15">
        <v>-0.8</v>
      </c>
      <c r="P113" s="15">
        <v>-1.1000000000000001</v>
      </c>
      <c r="Q113" s="15">
        <v>-1.3</v>
      </c>
      <c r="R113" s="15">
        <v>-0.9</v>
      </c>
      <c r="S113" s="15">
        <v>-1.8</v>
      </c>
      <c r="T113" s="15">
        <v>-3.4</v>
      </c>
      <c r="U113" s="15">
        <v>-5.0999999999999996</v>
      </c>
      <c r="V113" s="15">
        <v>0</v>
      </c>
      <c r="X113" s="5"/>
      <c r="Y113" s="5"/>
      <c r="Z113" s="5"/>
      <c r="AA113" s="5"/>
    </row>
    <row r="114" spans="1:27" ht="10.5" x14ac:dyDescent="0.2">
      <c r="A114" s="14" t="s">
        <v>1310</v>
      </c>
      <c r="B114" s="16">
        <v>0.12102</v>
      </c>
      <c r="C114" s="16">
        <v>0.16318299999999999</v>
      </c>
      <c r="D114" s="16">
        <v>0.23435300000000001</v>
      </c>
      <c r="E114" s="16">
        <v>0.27368300000000001</v>
      </c>
      <c r="F114" s="16">
        <v>0.43894499999999997</v>
      </c>
      <c r="G114" s="16">
        <v>0.51457900000000001</v>
      </c>
      <c r="H114" s="16">
        <v>0.37642500000000001</v>
      </c>
      <c r="I114" s="16">
        <v>0.37131500000000001</v>
      </c>
      <c r="J114" s="16">
        <v>0.68732800000000005</v>
      </c>
      <c r="K114" s="16">
        <v>0.61297199999999996</v>
      </c>
      <c r="L114" s="16">
        <v>0.39390399999999998</v>
      </c>
      <c r="M114" s="16">
        <v>0.44924999999999998</v>
      </c>
      <c r="N114" s="16">
        <v>0.569774</v>
      </c>
      <c r="O114" s="16">
        <v>0.45084999999999997</v>
      </c>
      <c r="P114" s="16">
        <v>0.36963499999999999</v>
      </c>
      <c r="Q114" s="16">
        <v>0.70626900000000004</v>
      </c>
      <c r="R114" s="16">
        <v>4.6967359999999996</v>
      </c>
      <c r="S114" s="16">
        <v>6.3506819999999999</v>
      </c>
      <c r="T114" s="16">
        <v>6.6070000000000002</v>
      </c>
      <c r="U114" s="16">
        <v>6.9969999999999999</v>
      </c>
      <c r="V114" s="16">
        <v>6.7629999999999999</v>
      </c>
      <c r="X114" s="14" t="s">
        <v>1310</v>
      </c>
      <c r="Y114" s="16"/>
      <c r="Z114" s="16">
        <f>U114</f>
        <v>6.9969999999999999</v>
      </c>
      <c r="AA114" s="16">
        <v>6.7629999999999999</v>
      </c>
    </row>
    <row r="115" spans="1:27" x14ac:dyDescent="0.2">
      <c r="A115" s="5"/>
      <c r="B115" s="5"/>
      <c r="C115" s="5"/>
      <c r="D115" s="5"/>
      <c r="E115" s="5"/>
      <c r="F115" s="5"/>
      <c r="G115" s="5"/>
      <c r="H115" s="5"/>
      <c r="I115" s="5"/>
      <c r="J115" s="5"/>
      <c r="K115" s="5"/>
      <c r="L115" s="5"/>
      <c r="M115" s="5"/>
      <c r="N115" s="5"/>
      <c r="O115" s="5"/>
      <c r="P115" s="5"/>
      <c r="Q115" s="5"/>
      <c r="R115" s="5"/>
      <c r="S115" s="5"/>
      <c r="T115" s="5"/>
      <c r="U115" s="5"/>
      <c r="V115" s="5"/>
      <c r="X115" s="5"/>
      <c r="Y115" s="5"/>
      <c r="Z115" s="5"/>
      <c r="AA115" s="5"/>
    </row>
    <row r="116" spans="1:27" x14ac:dyDescent="0.2">
      <c r="A116" s="5" t="s">
        <v>1311</v>
      </c>
      <c r="B116" s="15">
        <v>0</v>
      </c>
      <c r="C116" s="15">
        <v>8.6479999999999994E-3</v>
      </c>
      <c r="D116" s="15">
        <v>3.1809999999999998E-3</v>
      </c>
      <c r="E116" s="15">
        <v>0</v>
      </c>
      <c r="F116" s="15">
        <v>0</v>
      </c>
      <c r="G116" s="15">
        <v>0</v>
      </c>
      <c r="H116" s="15">
        <v>0</v>
      </c>
      <c r="I116" s="15">
        <v>1.3240670000000001</v>
      </c>
      <c r="J116" s="15">
        <v>6.7756999999999998E-2</v>
      </c>
      <c r="K116" s="15">
        <v>6.7756999999999998E-2</v>
      </c>
      <c r="L116" s="15">
        <v>6.7756999999999998E-2</v>
      </c>
      <c r="M116" s="15">
        <v>6.7756999999999998E-2</v>
      </c>
      <c r="N116" s="15">
        <v>6.7756999999999998E-2</v>
      </c>
      <c r="O116" s="15">
        <v>6.7756999999999998E-2</v>
      </c>
      <c r="P116" s="15">
        <v>6.7756999999999998E-2</v>
      </c>
      <c r="Q116" s="15">
        <v>5.0000000000000004E-6</v>
      </c>
      <c r="R116" s="15">
        <v>5.0000000000000004E-6</v>
      </c>
      <c r="S116" s="15">
        <v>5.0000000000000004E-6</v>
      </c>
      <c r="T116" s="15">
        <v>0</v>
      </c>
      <c r="U116" s="15">
        <v>0</v>
      </c>
      <c r="V116" s="15">
        <v>0</v>
      </c>
      <c r="X116" s="5"/>
      <c r="Y116" s="5"/>
      <c r="Z116" s="5"/>
      <c r="AA116" s="5"/>
    </row>
    <row r="117" spans="1:27" x14ac:dyDescent="0.2">
      <c r="A117" s="5" t="s">
        <v>1312</v>
      </c>
      <c r="B117" s="15">
        <v>0</v>
      </c>
      <c r="C117" s="15">
        <v>0</v>
      </c>
      <c r="D117" s="15">
        <v>0</v>
      </c>
      <c r="E117" s="15">
        <v>0</v>
      </c>
      <c r="F117" s="15">
        <v>0</v>
      </c>
      <c r="G117" s="15">
        <v>0</v>
      </c>
      <c r="H117" s="15">
        <v>0.46426400000000001</v>
      </c>
      <c r="I117" s="15">
        <v>0</v>
      </c>
      <c r="J117" s="15">
        <v>0</v>
      </c>
      <c r="K117" s="15">
        <v>0</v>
      </c>
      <c r="L117" s="15">
        <v>0</v>
      </c>
      <c r="M117" s="15">
        <v>0</v>
      </c>
      <c r="N117" s="15">
        <v>0</v>
      </c>
      <c r="O117" s="15">
        <v>0</v>
      </c>
      <c r="P117" s="15">
        <v>0</v>
      </c>
      <c r="Q117" s="15">
        <v>0</v>
      </c>
      <c r="R117" s="15">
        <v>0</v>
      </c>
      <c r="S117" s="15">
        <v>0</v>
      </c>
      <c r="T117" s="15">
        <v>0</v>
      </c>
      <c r="U117" s="15">
        <v>0</v>
      </c>
      <c r="V117" s="15">
        <v>0</v>
      </c>
      <c r="X117" s="5"/>
      <c r="Y117" s="5"/>
      <c r="Z117" s="5"/>
      <c r="AA117" s="5"/>
    </row>
    <row r="118" spans="1:27" x14ac:dyDescent="0.2">
      <c r="A118" s="5" t="s">
        <v>1313</v>
      </c>
      <c r="B118" s="15">
        <v>5.5529999999999998E-3</v>
      </c>
      <c r="C118" s="15">
        <v>0</v>
      </c>
      <c r="D118" s="15">
        <v>0</v>
      </c>
      <c r="E118" s="15">
        <v>0</v>
      </c>
      <c r="F118" s="15">
        <v>0</v>
      </c>
      <c r="G118" s="15">
        <v>0</v>
      </c>
      <c r="H118" s="15">
        <v>0</v>
      </c>
      <c r="I118" s="15">
        <v>0</v>
      </c>
      <c r="J118" s="15">
        <v>0</v>
      </c>
      <c r="K118" s="15">
        <v>0</v>
      </c>
      <c r="L118" s="15">
        <v>0</v>
      </c>
      <c r="M118" s="15">
        <v>0</v>
      </c>
      <c r="N118" s="15">
        <v>0</v>
      </c>
      <c r="O118" s="15">
        <v>0</v>
      </c>
      <c r="P118" s="15">
        <v>0</v>
      </c>
      <c r="Q118" s="15">
        <v>0</v>
      </c>
      <c r="R118" s="15">
        <v>0</v>
      </c>
      <c r="S118" s="15">
        <v>0.40571000000000002</v>
      </c>
      <c r="T118" s="15">
        <v>0.52300000000000002</v>
      </c>
      <c r="U118" s="15">
        <v>0.45800000000000002</v>
      </c>
      <c r="V118" s="15">
        <v>0.63200000000000001</v>
      </c>
      <c r="X118" s="5" t="s">
        <v>1313</v>
      </c>
      <c r="Y118" s="15"/>
      <c r="Z118" s="15">
        <f t="shared" ref="Z118:Z121" si="15">U118</f>
        <v>0.45800000000000002</v>
      </c>
      <c r="AA118" s="15">
        <v>0.63200000000000001</v>
      </c>
    </row>
    <row r="119" spans="1:27" x14ac:dyDescent="0.2">
      <c r="A119" s="5" t="s">
        <v>1314</v>
      </c>
      <c r="B119" s="15">
        <v>0</v>
      </c>
      <c r="C119" s="15">
        <v>0</v>
      </c>
      <c r="D119" s="15">
        <v>0</v>
      </c>
      <c r="E119" s="15">
        <v>0</v>
      </c>
      <c r="F119" s="15">
        <v>0</v>
      </c>
      <c r="G119" s="15">
        <v>0</v>
      </c>
      <c r="H119" s="15">
        <v>0</v>
      </c>
      <c r="I119" s="15">
        <v>0</v>
      </c>
      <c r="J119" s="15">
        <v>0</v>
      </c>
      <c r="K119" s="15">
        <v>0</v>
      </c>
      <c r="L119" s="15">
        <v>0</v>
      </c>
      <c r="M119" s="15">
        <v>0</v>
      </c>
      <c r="N119" s="15">
        <v>0</v>
      </c>
      <c r="O119" s="15">
        <v>0</v>
      </c>
      <c r="P119" s="15">
        <v>0</v>
      </c>
      <c r="Q119" s="15">
        <v>0</v>
      </c>
      <c r="R119" s="15">
        <v>0</v>
      </c>
      <c r="S119" s="15">
        <v>0.68274400000000002</v>
      </c>
      <c r="T119" s="15">
        <v>0.53500000000000003</v>
      </c>
      <c r="U119" s="15">
        <v>0.67800000000000005</v>
      </c>
      <c r="V119" s="15">
        <v>0.52200000000000002</v>
      </c>
      <c r="X119" s="5" t="s">
        <v>1314</v>
      </c>
      <c r="Y119" s="15"/>
      <c r="Z119" s="15">
        <f t="shared" si="15"/>
        <v>0.67800000000000005</v>
      </c>
      <c r="AA119" s="15">
        <v>0.52200000000000002</v>
      </c>
    </row>
    <row r="120" spans="1:27" x14ac:dyDescent="0.2">
      <c r="A120" s="5" t="s">
        <v>1315</v>
      </c>
      <c r="B120" s="15">
        <v>0</v>
      </c>
      <c r="C120" s="15">
        <v>0</v>
      </c>
      <c r="D120" s="15">
        <v>0</v>
      </c>
      <c r="E120" s="15">
        <v>0</v>
      </c>
      <c r="F120" s="15">
        <v>0</v>
      </c>
      <c r="G120" s="15">
        <v>0</v>
      </c>
      <c r="H120" s="15">
        <v>0</v>
      </c>
      <c r="I120" s="15">
        <v>0</v>
      </c>
      <c r="J120" s="15">
        <v>0</v>
      </c>
      <c r="K120" s="15">
        <v>0</v>
      </c>
      <c r="L120" s="15">
        <v>0</v>
      </c>
      <c r="M120" s="15">
        <v>0</v>
      </c>
      <c r="N120" s="15">
        <v>0</v>
      </c>
      <c r="O120" s="15">
        <v>0</v>
      </c>
      <c r="P120" s="15">
        <v>0</v>
      </c>
      <c r="Q120" s="15">
        <v>0</v>
      </c>
      <c r="R120" s="15">
        <v>0</v>
      </c>
      <c r="S120" s="15">
        <v>0</v>
      </c>
      <c r="T120" s="15">
        <v>0</v>
      </c>
      <c r="U120" s="15">
        <v>0</v>
      </c>
      <c r="V120" s="15">
        <v>0</v>
      </c>
      <c r="X120" s="5" t="s">
        <v>1315</v>
      </c>
      <c r="Y120" s="15"/>
      <c r="Z120" s="15">
        <f t="shared" si="15"/>
        <v>0</v>
      </c>
      <c r="AA120" s="15">
        <v>0</v>
      </c>
    </row>
    <row r="121" spans="1:27" ht="10.5" x14ac:dyDescent="0.2">
      <c r="A121" s="14" t="s">
        <v>926</v>
      </c>
      <c r="B121" s="18">
        <v>0.87109300000000001</v>
      </c>
      <c r="C121" s="18">
        <v>1.529817</v>
      </c>
      <c r="D121" s="18">
        <v>2.7256200000000002</v>
      </c>
      <c r="E121" s="18">
        <v>4.8052229999999998</v>
      </c>
      <c r="F121" s="18">
        <v>6.4106769999999997</v>
      </c>
      <c r="G121" s="18">
        <v>7.8873119999999997</v>
      </c>
      <c r="H121" s="18">
        <v>18.844840999999999</v>
      </c>
      <c r="I121" s="18">
        <v>13.524371</v>
      </c>
      <c r="J121" s="18">
        <v>16.479471</v>
      </c>
      <c r="K121" s="18">
        <v>16.629996999999999</v>
      </c>
      <c r="L121" s="18">
        <v>16.401205000000001</v>
      </c>
      <c r="M121" s="18">
        <v>26.363873000000002</v>
      </c>
      <c r="N121" s="18">
        <v>31.146056999999999</v>
      </c>
      <c r="O121" s="18">
        <v>35.168306999999999</v>
      </c>
      <c r="P121" s="18">
        <v>45.045062000000001</v>
      </c>
      <c r="Q121" s="18">
        <v>59.769829999999999</v>
      </c>
      <c r="R121" s="18">
        <v>91.570687000000007</v>
      </c>
      <c r="S121" s="18">
        <v>107.21559999999999</v>
      </c>
      <c r="T121" s="18">
        <v>150.06100000000001</v>
      </c>
      <c r="U121" s="18">
        <v>207.37899999999999</v>
      </c>
      <c r="V121" s="18">
        <v>180.19300000000001</v>
      </c>
      <c r="X121" s="14" t="s">
        <v>926</v>
      </c>
      <c r="Y121" s="18"/>
      <c r="Z121" s="18">
        <f t="shared" si="15"/>
        <v>207.37899999999999</v>
      </c>
      <c r="AA121" s="18">
        <v>180.19300000000001</v>
      </c>
    </row>
    <row r="122" spans="1:27" x14ac:dyDescent="0.2">
      <c r="A122" s="5"/>
      <c r="B122" s="5"/>
      <c r="C122" s="5"/>
      <c r="D122" s="5"/>
      <c r="E122" s="5"/>
      <c r="F122" s="5"/>
      <c r="G122" s="5"/>
      <c r="H122" s="5"/>
      <c r="I122" s="5"/>
      <c r="J122" s="5"/>
      <c r="K122" s="5"/>
      <c r="L122" s="5"/>
      <c r="M122" s="5"/>
      <c r="N122" s="5"/>
      <c r="O122" s="5"/>
      <c r="P122" s="5"/>
      <c r="Q122" s="5"/>
      <c r="R122" s="5"/>
      <c r="S122" s="5"/>
      <c r="T122" s="5"/>
      <c r="U122" s="5"/>
      <c r="V122" s="5"/>
      <c r="X122" s="5"/>
      <c r="Y122" s="5"/>
      <c r="Z122" s="5"/>
      <c r="AA122" s="5"/>
    </row>
    <row r="123" spans="1:27" ht="10.5" x14ac:dyDescent="0.2">
      <c r="A123" s="14" t="s">
        <v>1316</v>
      </c>
      <c r="B123" s="5"/>
      <c r="C123" s="5"/>
      <c r="D123" s="5"/>
      <c r="E123" s="5"/>
      <c r="F123" s="5"/>
      <c r="G123" s="5"/>
      <c r="H123" s="5"/>
      <c r="I123" s="5"/>
      <c r="J123" s="5"/>
      <c r="K123" s="5"/>
      <c r="L123" s="5"/>
      <c r="M123" s="5"/>
      <c r="N123" s="5"/>
      <c r="O123" s="5"/>
      <c r="P123" s="5"/>
      <c r="Q123" s="5"/>
      <c r="R123" s="5"/>
      <c r="S123" s="5"/>
      <c r="T123" s="5"/>
      <c r="U123" s="5"/>
      <c r="V123" s="5"/>
      <c r="X123" s="14" t="s">
        <v>1316</v>
      </c>
      <c r="Y123" s="5"/>
      <c r="Z123" s="5"/>
      <c r="AA123" s="5"/>
    </row>
    <row r="124" spans="1:27" x14ac:dyDescent="0.2">
      <c r="A124" s="5" t="s">
        <v>1317</v>
      </c>
      <c r="B124" s="15">
        <v>0.35725400000000002</v>
      </c>
      <c r="C124" s="15">
        <v>0.64165099999999997</v>
      </c>
      <c r="D124" s="15">
        <v>0.84644900000000001</v>
      </c>
      <c r="E124" s="15">
        <v>1.806764</v>
      </c>
      <c r="F124" s="15">
        <v>1.9277230000000001</v>
      </c>
      <c r="G124" s="15">
        <v>2.87216</v>
      </c>
      <c r="H124" s="15">
        <v>8.2267469999999996</v>
      </c>
      <c r="I124" s="15">
        <v>6.4727439999999996</v>
      </c>
      <c r="J124" s="15">
        <v>8.6378350000000008</v>
      </c>
      <c r="K124" s="15">
        <v>6.2647449999999996</v>
      </c>
      <c r="L124" s="15">
        <v>6.1344760000000003</v>
      </c>
      <c r="M124" s="15">
        <v>8.4206529999999997</v>
      </c>
      <c r="N124" s="15">
        <v>9.0096220000000002</v>
      </c>
      <c r="O124" s="15">
        <v>9.0551239999999993</v>
      </c>
      <c r="P124" s="15">
        <v>14.693125999999999</v>
      </c>
      <c r="Q124" s="15">
        <v>15.396705000000001</v>
      </c>
      <c r="R124" s="15">
        <v>21.918330999999998</v>
      </c>
      <c r="S124" s="15">
        <v>34.619874000000003</v>
      </c>
      <c r="T124" s="15">
        <v>48.082000000000001</v>
      </c>
      <c r="U124" s="15">
        <v>71.212999999999994</v>
      </c>
      <c r="V124" s="15">
        <v>72.552000000000007</v>
      </c>
      <c r="X124" s="5" t="s">
        <v>1317</v>
      </c>
      <c r="Y124" s="15"/>
      <c r="Z124" s="15">
        <f t="shared" ref="Z124:Z131" si="16">U124</f>
        <v>71.212999999999994</v>
      </c>
      <c r="AA124" s="15">
        <v>72.552000000000007</v>
      </c>
    </row>
    <row r="125" spans="1:27" x14ac:dyDescent="0.2">
      <c r="A125" s="5" t="s">
        <v>1318</v>
      </c>
      <c r="B125" s="15">
        <v>6.9551000000000002E-2</v>
      </c>
      <c r="C125" s="15">
        <v>0.20605399999999999</v>
      </c>
      <c r="D125" s="15">
        <v>0.26805099999999998</v>
      </c>
      <c r="E125" s="15">
        <v>0.75743799999999994</v>
      </c>
      <c r="F125" s="15">
        <v>0.41249799999999998</v>
      </c>
      <c r="G125" s="15">
        <v>0.58334799999999998</v>
      </c>
      <c r="H125" s="15">
        <v>4.0366900000000001</v>
      </c>
      <c r="I125" s="15">
        <v>1.805013</v>
      </c>
      <c r="J125" s="15">
        <v>2.4582519999999999</v>
      </c>
      <c r="K125" s="15">
        <v>2.9420449999999998</v>
      </c>
      <c r="L125" s="15">
        <v>3.7519230000000001</v>
      </c>
      <c r="M125" s="15">
        <v>5.3300700000000001</v>
      </c>
      <c r="N125" s="15">
        <v>6.4722200000000001</v>
      </c>
      <c r="O125" s="15">
        <v>7.249517</v>
      </c>
      <c r="P125" s="15">
        <v>10.202825000000001</v>
      </c>
      <c r="Q125" s="15">
        <v>13.395632000000001</v>
      </c>
      <c r="R125" s="15">
        <v>21.381882999999998</v>
      </c>
      <c r="S125" s="15">
        <v>18.518591000000001</v>
      </c>
      <c r="T125" s="15">
        <v>23.454999999999998</v>
      </c>
      <c r="U125" s="15">
        <v>32.57</v>
      </c>
      <c r="V125" s="15">
        <v>31.812999999999999</v>
      </c>
      <c r="X125" s="5" t="s">
        <v>1318</v>
      </c>
      <c r="Y125" s="15"/>
      <c r="Z125" s="15">
        <f t="shared" si="16"/>
        <v>32.57</v>
      </c>
      <c r="AA125" s="15">
        <v>31.812999999999999</v>
      </c>
    </row>
    <row r="126" spans="1:27" x14ac:dyDescent="0.2">
      <c r="A126" s="5" t="s">
        <v>1319</v>
      </c>
      <c r="B126" s="15">
        <v>0.155836</v>
      </c>
      <c r="C126" s="15">
        <v>5.1921000000000002E-2</v>
      </c>
      <c r="D126" s="15">
        <v>0.13408600000000001</v>
      </c>
      <c r="E126" s="15">
        <v>0.76854299999999998</v>
      </c>
      <c r="F126" s="15">
        <v>2.0069279999999998</v>
      </c>
      <c r="G126" s="15">
        <v>1.98132</v>
      </c>
      <c r="H126" s="15">
        <v>3.3769550000000002</v>
      </c>
      <c r="I126" s="15">
        <v>0</v>
      </c>
      <c r="J126" s="15">
        <v>0</v>
      </c>
      <c r="K126" s="15">
        <v>3.7735439999999998</v>
      </c>
      <c r="L126" s="15">
        <v>1.5757490000000001</v>
      </c>
      <c r="M126" s="15">
        <v>5.14846</v>
      </c>
      <c r="N126" s="15">
        <v>4.8169110000000002</v>
      </c>
      <c r="O126" s="15">
        <v>3.0357430000000001</v>
      </c>
      <c r="P126" s="15">
        <v>5.3846129999999999</v>
      </c>
      <c r="Q126" s="15">
        <v>3.0738530000000002</v>
      </c>
      <c r="R126" s="15">
        <v>2.1777609999999998</v>
      </c>
      <c r="S126" s="15">
        <v>0</v>
      </c>
      <c r="T126" s="15">
        <v>0</v>
      </c>
      <c r="U126" s="15">
        <v>0</v>
      </c>
      <c r="V126" s="15">
        <v>0</v>
      </c>
      <c r="X126" s="5"/>
      <c r="Y126" s="15"/>
      <c r="Z126" s="15">
        <f t="shared" si="16"/>
        <v>0</v>
      </c>
      <c r="AA126" s="15"/>
    </row>
    <row r="127" spans="1:27" x14ac:dyDescent="0.2">
      <c r="A127" s="5" t="s">
        <v>1320</v>
      </c>
      <c r="B127" s="15">
        <v>8.685E-3</v>
      </c>
      <c r="C127" s="15">
        <v>1.958E-2</v>
      </c>
      <c r="D127" s="15">
        <v>2.3283999999999999E-2</v>
      </c>
      <c r="E127" s="15">
        <v>2.1787999999999998E-2</v>
      </c>
      <c r="F127" s="15">
        <v>1.2765E-2</v>
      </c>
      <c r="G127" s="15">
        <v>1.8190000000000001E-2</v>
      </c>
      <c r="H127" s="15">
        <v>9.4280000000000006E-3</v>
      </c>
      <c r="I127" s="15">
        <v>3.1419999999999998E-3</v>
      </c>
      <c r="J127" s="15">
        <v>0</v>
      </c>
      <c r="K127" s="15">
        <v>0</v>
      </c>
      <c r="L127" s="15">
        <v>0</v>
      </c>
      <c r="M127" s="15">
        <v>0</v>
      </c>
      <c r="N127" s="15">
        <v>0</v>
      </c>
      <c r="O127" s="15">
        <v>0</v>
      </c>
      <c r="P127" s="15">
        <v>0</v>
      </c>
      <c r="Q127" s="15">
        <v>0</v>
      </c>
      <c r="R127" s="15">
        <v>0</v>
      </c>
      <c r="S127" s="15">
        <v>0</v>
      </c>
      <c r="T127" s="15">
        <v>0</v>
      </c>
      <c r="U127" s="15">
        <v>0</v>
      </c>
      <c r="V127" s="15">
        <v>0</v>
      </c>
      <c r="X127" s="5" t="s">
        <v>1321</v>
      </c>
      <c r="Y127" s="15"/>
      <c r="Z127" s="15">
        <f t="shared" si="16"/>
        <v>0</v>
      </c>
      <c r="AA127" s="15">
        <v>2.456</v>
      </c>
    </row>
    <row r="128" spans="1:27" x14ac:dyDescent="0.2">
      <c r="A128" s="5" t="s">
        <v>1321</v>
      </c>
      <c r="B128" s="15">
        <v>7.2849999999999998E-3</v>
      </c>
      <c r="C128" s="15">
        <v>3.6878000000000001E-2</v>
      </c>
      <c r="D128" s="15">
        <v>0.117018</v>
      </c>
      <c r="E128" s="15">
        <v>0.24107899999999999</v>
      </c>
      <c r="F128" s="15">
        <v>0.30737799999999998</v>
      </c>
      <c r="G128" s="15">
        <v>0.23452899999999999</v>
      </c>
      <c r="H128" s="15">
        <v>0.45753300000000002</v>
      </c>
      <c r="I128" s="15">
        <v>0.52647299999999997</v>
      </c>
      <c r="J128" s="15">
        <v>0.61730399999999996</v>
      </c>
      <c r="K128" s="15">
        <v>0.40362900000000002</v>
      </c>
      <c r="L128" s="15">
        <v>0.57026600000000005</v>
      </c>
      <c r="M128" s="15">
        <v>0.70172199999999996</v>
      </c>
      <c r="N128" s="15">
        <v>0.83848800000000001</v>
      </c>
      <c r="O128" s="15">
        <v>0.804234</v>
      </c>
      <c r="P128" s="15">
        <v>1.5117910000000001</v>
      </c>
      <c r="Q128" s="15">
        <v>2.8626130000000001</v>
      </c>
      <c r="R128" s="15">
        <v>4.391534</v>
      </c>
      <c r="S128" s="15">
        <v>5.6338489999999997</v>
      </c>
      <c r="T128" s="15">
        <v>3.2589999999999999</v>
      </c>
      <c r="U128" s="15">
        <v>3.51</v>
      </c>
      <c r="V128" s="15">
        <v>2.456</v>
      </c>
      <c r="X128" s="5" t="s">
        <v>1322</v>
      </c>
      <c r="Y128" s="15"/>
      <c r="Z128" s="15">
        <f t="shared" si="16"/>
        <v>3.51</v>
      </c>
      <c r="AA128" s="15">
        <v>4.4130000000000003</v>
      </c>
    </row>
    <row r="129" spans="1:27" x14ac:dyDescent="0.2">
      <c r="A129" s="5" t="s">
        <v>1322</v>
      </c>
      <c r="B129" s="15">
        <v>0</v>
      </c>
      <c r="C129" s="15">
        <v>0</v>
      </c>
      <c r="D129" s="15">
        <v>0</v>
      </c>
      <c r="E129" s="15">
        <v>0</v>
      </c>
      <c r="F129" s="15">
        <v>0</v>
      </c>
      <c r="G129" s="15">
        <v>0</v>
      </c>
      <c r="H129" s="15">
        <v>0</v>
      </c>
      <c r="I129" s="15">
        <v>0</v>
      </c>
      <c r="J129" s="15">
        <v>0</v>
      </c>
      <c r="K129" s="15">
        <v>0</v>
      </c>
      <c r="L129" s="15">
        <v>0</v>
      </c>
      <c r="M129" s="15">
        <v>0</v>
      </c>
      <c r="N129" s="15">
        <v>0</v>
      </c>
      <c r="O129" s="15">
        <v>0</v>
      </c>
      <c r="P129" s="15">
        <v>0</v>
      </c>
      <c r="Q129" s="15">
        <v>0</v>
      </c>
      <c r="R129" s="15">
        <v>0</v>
      </c>
      <c r="S129" s="15">
        <v>0</v>
      </c>
      <c r="T129" s="15">
        <v>2.9660000000000002</v>
      </c>
      <c r="U129" s="15">
        <v>4.2699999999999996</v>
      </c>
      <c r="V129" s="15">
        <v>4.4130000000000003</v>
      </c>
      <c r="Z129" s="2">
        <f t="shared" si="16"/>
        <v>4.2699999999999996</v>
      </c>
    </row>
    <row r="130" spans="1:27" x14ac:dyDescent="0.2">
      <c r="A130" s="5" t="s">
        <v>1323</v>
      </c>
      <c r="B130" s="15">
        <v>0.22906399999999999</v>
      </c>
      <c r="C130" s="15">
        <v>0.40316400000000002</v>
      </c>
      <c r="D130" s="15">
        <v>0.86856999999999995</v>
      </c>
      <c r="E130" s="15">
        <v>0.22897600000000001</v>
      </c>
      <c r="F130" s="15">
        <v>0.41524</v>
      </c>
      <c r="G130" s="15">
        <v>0.38337100000000002</v>
      </c>
      <c r="H130" s="15">
        <v>0.124108</v>
      </c>
      <c r="I130" s="15">
        <v>1.697122</v>
      </c>
      <c r="J130" s="15">
        <v>6.7752000000000007E-2</v>
      </c>
      <c r="K130" s="15">
        <v>6.7752000000000007E-2</v>
      </c>
      <c r="L130" s="15">
        <v>6.7752000000000007E-2</v>
      </c>
      <c r="M130" s="15">
        <v>6.7752000000000007E-2</v>
      </c>
      <c r="N130" s="15">
        <v>8.1401000000000001E-2</v>
      </c>
      <c r="O130" s="15">
        <v>6.7752000000000007E-2</v>
      </c>
      <c r="P130" s="15">
        <v>6.7752000000000007E-2</v>
      </c>
      <c r="Q130" s="15">
        <v>0</v>
      </c>
      <c r="R130" s="15">
        <v>0</v>
      </c>
      <c r="S130" s="15">
        <v>5.9499999999999997E-2</v>
      </c>
      <c r="T130" s="15">
        <v>0</v>
      </c>
      <c r="U130" s="15">
        <v>0</v>
      </c>
      <c r="V130" s="15">
        <v>0</v>
      </c>
      <c r="X130" s="5" t="s">
        <v>1323</v>
      </c>
      <c r="Y130" s="15"/>
      <c r="Z130" s="15">
        <f t="shared" si="16"/>
        <v>0</v>
      </c>
      <c r="AA130" s="15">
        <v>0</v>
      </c>
    </row>
    <row r="131" spans="1:27" ht="10.5" x14ac:dyDescent="0.2">
      <c r="A131" s="14" t="s">
        <v>1085</v>
      </c>
      <c r="B131" s="16">
        <v>0.82767500000000005</v>
      </c>
      <c r="C131" s="16">
        <v>1.359248</v>
      </c>
      <c r="D131" s="16">
        <v>2.2574580000000002</v>
      </c>
      <c r="E131" s="16">
        <v>3.8245879999999999</v>
      </c>
      <c r="F131" s="16">
        <v>5.0825319999999996</v>
      </c>
      <c r="G131" s="16">
        <v>6.0729179999999996</v>
      </c>
      <c r="H131" s="16">
        <v>16.231460999999999</v>
      </c>
      <c r="I131" s="16">
        <v>10.504493999999999</v>
      </c>
      <c r="J131" s="16">
        <v>11.781143</v>
      </c>
      <c r="K131" s="16">
        <v>13.451715</v>
      </c>
      <c r="L131" s="16">
        <v>12.100166</v>
      </c>
      <c r="M131" s="16">
        <v>19.668657</v>
      </c>
      <c r="N131" s="16">
        <v>21.218641999999999</v>
      </c>
      <c r="O131" s="16">
        <v>20.21237</v>
      </c>
      <c r="P131" s="16">
        <v>31.860106999999999</v>
      </c>
      <c r="Q131" s="16">
        <v>34.728802999999999</v>
      </c>
      <c r="R131" s="16">
        <v>49.869509000000001</v>
      </c>
      <c r="S131" s="16">
        <v>58.831814000000001</v>
      </c>
      <c r="T131" s="16">
        <v>77.762</v>
      </c>
      <c r="U131" s="16">
        <v>111.563</v>
      </c>
      <c r="V131" s="16">
        <v>111.23399999999999</v>
      </c>
      <c r="X131" s="14" t="s">
        <v>1085</v>
      </c>
      <c r="Y131" s="16"/>
      <c r="Z131" s="16">
        <f t="shared" si="16"/>
        <v>111.563</v>
      </c>
      <c r="AA131" s="16">
        <v>111.23399999999999</v>
      </c>
    </row>
    <row r="132" spans="1:27" x14ac:dyDescent="0.2">
      <c r="A132" s="5"/>
      <c r="B132" s="5"/>
      <c r="C132" s="5"/>
      <c r="D132" s="5"/>
      <c r="E132" s="5"/>
      <c r="F132" s="5"/>
      <c r="G132" s="5"/>
      <c r="H132" s="5"/>
      <c r="I132" s="5"/>
      <c r="J132" s="5"/>
      <c r="K132" s="5"/>
      <c r="L132" s="5"/>
      <c r="M132" s="5"/>
      <c r="N132" s="5"/>
      <c r="O132" s="5"/>
      <c r="P132" s="5"/>
      <c r="Q132" s="5"/>
      <c r="R132" s="5"/>
      <c r="S132" s="5"/>
      <c r="T132" s="5"/>
      <c r="U132" s="5"/>
      <c r="V132" s="5"/>
      <c r="X132" s="5"/>
      <c r="Y132" s="5"/>
      <c r="Z132" s="5"/>
      <c r="AA132" s="5"/>
    </row>
    <row r="133" spans="1:27" x14ac:dyDescent="0.2">
      <c r="A133" s="5" t="s">
        <v>1324</v>
      </c>
      <c r="B133" s="15">
        <v>3.4849999999999998E-3</v>
      </c>
      <c r="C133" s="15">
        <v>2.2771E-2</v>
      </c>
      <c r="D133" s="15">
        <v>1.5523E-2</v>
      </c>
      <c r="E133" s="15">
        <v>2.1527999999999999E-2</v>
      </c>
      <c r="F133" s="15">
        <v>8.7620000000000007E-3</v>
      </c>
      <c r="G133" s="15">
        <v>1.257E-2</v>
      </c>
      <c r="H133" s="15">
        <v>3.1419999999999998E-3</v>
      </c>
      <c r="I133" s="15">
        <v>0</v>
      </c>
      <c r="J133" s="15">
        <v>0</v>
      </c>
      <c r="K133" s="15">
        <v>0</v>
      </c>
      <c r="L133" s="15">
        <v>0</v>
      </c>
      <c r="M133" s="15">
        <v>0</v>
      </c>
      <c r="N133" s="15">
        <v>0</v>
      </c>
      <c r="O133" s="15">
        <v>0</v>
      </c>
      <c r="P133" s="15">
        <v>0</v>
      </c>
      <c r="Q133" s="15">
        <v>0</v>
      </c>
      <c r="R133" s="15">
        <v>0</v>
      </c>
      <c r="S133" s="15">
        <v>0</v>
      </c>
      <c r="T133" s="15">
        <v>0</v>
      </c>
      <c r="U133" s="15">
        <v>0</v>
      </c>
      <c r="V133" s="15">
        <v>0</v>
      </c>
      <c r="X133" s="5"/>
      <c r="Y133" s="5"/>
      <c r="Z133" s="5"/>
      <c r="AA133" s="5"/>
    </row>
    <row r="134" spans="1:27" x14ac:dyDescent="0.2">
      <c r="A134" s="5" t="s">
        <v>1325</v>
      </c>
      <c r="B134" s="15">
        <v>0</v>
      </c>
      <c r="C134" s="15">
        <v>0</v>
      </c>
      <c r="D134" s="15">
        <v>0</v>
      </c>
      <c r="E134" s="15">
        <v>0</v>
      </c>
      <c r="F134" s="15">
        <v>0</v>
      </c>
      <c r="G134" s="15">
        <v>0</v>
      </c>
      <c r="H134" s="15">
        <v>3.6166999999999998E-2</v>
      </c>
      <c r="I134" s="15">
        <v>1.5911999999999999E-2</v>
      </c>
      <c r="J134" s="15">
        <v>1.5165E-2</v>
      </c>
      <c r="K134" s="15">
        <v>2.9441999999999999E-2</v>
      </c>
      <c r="L134" s="15">
        <v>0</v>
      </c>
      <c r="M134" s="15">
        <v>2.1310000000000001E-3</v>
      </c>
      <c r="N134" s="15">
        <v>1.9248999999999999E-2</v>
      </c>
      <c r="O134" s="15">
        <v>2.0806000000000002E-2</v>
      </c>
      <c r="P134" s="15">
        <v>1.8121999999999999E-2</v>
      </c>
      <c r="Q134" s="15">
        <v>7.463E-3</v>
      </c>
      <c r="R134" s="15">
        <v>0</v>
      </c>
      <c r="S134" s="15">
        <v>0</v>
      </c>
      <c r="T134" s="15">
        <v>0</v>
      </c>
      <c r="U134" s="15">
        <v>0</v>
      </c>
      <c r="V134" s="15">
        <v>0</v>
      </c>
      <c r="X134" s="5"/>
      <c r="Y134" s="5"/>
      <c r="Z134" s="5"/>
      <c r="AA134" s="5"/>
    </row>
    <row r="135" spans="1:27" x14ac:dyDescent="0.2">
      <c r="A135" s="5" t="s">
        <v>1326</v>
      </c>
      <c r="B135" s="15">
        <v>0</v>
      </c>
      <c r="C135" s="15">
        <v>0</v>
      </c>
      <c r="D135" s="15">
        <v>0</v>
      </c>
      <c r="E135" s="15">
        <v>0</v>
      </c>
      <c r="F135" s="15">
        <v>0</v>
      </c>
      <c r="G135" s="15">
        <v>0</v>
      </c>
      <c r="H135" s="15">
        <v>0</v>
      </c>
      <c r="I135" s="15">
        <v>0</v>
      </c>
      <c r="J135" s="15">
        <v>0</v>
      </c>
      <c r="K135" s="15">
        <v>0</v>
      </c>
      <c r="L135" s="15">
        <v>0</v>
      </c>
      <c r="M135" s="15">
        <v>0</v>
      </c>
      <c r="N135" s="15">
        <v>0</v>
      </c>
      <c r="O135" s="15">
        <v>0</v>
      </c>
      <c r="P135" s="15">
        <v>0</v>
      </c>
      <c r="Q135" s="15">
        <v>0</v>
      </c>
      <c r="R135" s="15">
        <v>0.41649999999999998</v>
      </c>
      <c r="S135" s="15">
        <v>0</v>
      </c>
      <c r="T135" s="15">
        <v>0</v>
      </c>
      <c r="U135" s="15">
        <v>0</v>
      </c>
      <c r="V135" s="15">
        <v>0</v>
      </c>
      <c r="X135" s="5" t="s">
        <v>1326</v>
      </c>
      <c r="Y135" s="15"/>
      <c r="Z135" s="15">
        <f t="shared" ref="Z135:Z136" si="17">U135</f>
        <v>0</v>
      </c>
      <c r="AA135" s="15">
        <v>0</v>
      </c>
    </row>
    <row r="136" spans="1:27" ht="10.5" x14ac:dyDescent="0.2">
      <c r="A136" s="14" t="s">
        <v>932</v>
      </c>
      <c r="B136" s="16">
        <v>0.83116000000000001</v>
      </c>
      <c r="C136" s="16">
        <v>1.3820190000000001</v>
      </c>
      <c r="D136" s="16">
        <v>2.2729810000000001</v>
      </c>
      <c r="E136" s="16">
        <v>3.8461159999999999</v>
      </c>
      <c r="F136" s="16">
        <v>5.0912940000000004</v>
      </c>
      <c r="G136" s="16">
        <v>6.0854879999999998</v>
      </c>
      <c r="H136" s="16">
        <v>16.270769999999999</v>
      </c>
      <c r="I136" s="16">
        <v>10.520405999999999</v>
      </c>
      <c r="J136" s="16">
        <v>11.796308</v>
      </c>
      <c r="K136" s="16">
        <v>13.481157</v>
      </c>
      <c r="L136" s="16">
        <v>12.100166</v>
      </c>
      <c r="M136" s="16">
        <v>19.670788000000002</v>
      </c>
      <c r="N136" s="16">
        <v>21.237891000000001</v>
      </c>
      <c r="O136" s="16">
        <v>20.233176</v>
      </c>
      <c r="P136" s="16">
        <v>31.878229000000001</v>
      </c>
      <c r="Q136" s="16">
        <v>34.736266000000001</v>
      </c>
      <c r="R136" s="16">
        <v>50.286009</v>
      </c>
      <c r="S136" s="16">
        <v>58.831814000000001</v>
      </c>
      <c r="T136" s="16">
        <v>77.762</v>
      </c>
      <c r="U136" s="16">
        <v>111.563</v>
      </c>
      <c r="V136" s="16">
        <v>111.23399999999999</v>
      </c>
      <c r="X136" s="14" t="s">
        <v>932</v>
      </c>
      <c r="Y136" s="16"/>
      <c r="Z136" s="16">
        <f t="shared" si="17"/>
        <v>111.563</v>
      </c>
      <c r="AA136" s="16">
        <v>111.23399999999999</v>
      </c>
    </row>
    <row r="137" spans="1:27" x14ac:dyDescent="0.2">
      <c r="A137" s="5"/>
      <c r="B137" s="5"/>
      <c r="C137" s="5"/>
      <c r="D137" s="5"/>
      <c r="E137" s="5"/>
      <c r="F137" s="5"/>
      <c r="G137" s="5"/>
      <c r="H137" s="5"/>
      <c r="I137" s="5"/>
      <c r="J137" s="5"/>
      <c r="K137" s="5"/>
      <c r="L137" s="5"/>
      <c r="M137" s="5"/>
      <c r="N137" s="5"/>
      <c r="O137" s="5"/>
      <c r="P137" s="5"/>
      <c r="Q137" s="5"/>
      <c r="R137" s="5"/>
      <c r="S137" s="5"/>
      <c r="T137" s="5"/>
      <c r="U137" s="5"/>
      <c r="V137" s="5"/>
      <c r="X137" s="5"/>
      <c r="Y137" s="5"/>
      <c r="Z137" s="5"/>
      <c r="AA137" s="5"/>
    </row>
    <row r="138" spans="1:27" x14ac:dyDescent="0.2">
      <c r="A138" s="5" t="s">
        <v>1327</v>
      </c>
      <c r="B138" s="15">
        <v>2.1874999999999999E-2</v>
      </c>
      <c r="C138" s="15">
        <v>2.1874999999999999E-2</v>
      </c>
      <c r="D138" s="15">
        <v>2.1874999999999999E-2</v>
      </c>
      <c r="E138" s="15">
        <v>2.1874999999999999E-2</v>
      </c>
      <c r="F138" s="15">
        <v>2.1874999999999999E-2</v>
      </c>
      <c r="G138" s="15">
        <v>2.1874999999999999E-2</v>
      </c>
      <c r="H138" s="15">
        <v>5.9205000000000001E-2</v>
      </c>
      <c r="I138" s="15">
        <v>5.9205000000000001E-2</v>
      </c>
      <c r="J138" s="15">
        <v>5.9205000000000001E-2</v>
      </c>
      <c r="K138" s="15">
        <v>6.1037000000000001E-2</v>
      </c>
      <c r="L138" s="15">
        <v>6.105E-2</v>
      </c>
      <c r="M138" s="15">
        <v>6.105E-2</v>
      </c>
      <c r="N138" s="15">
        <v>6.1185999999999997E-2</v>
      </c>
      <c r="O138" s="15">
        <v>6.1244E-2</v>
      </c>
      <c r="P138" s="15">
        <v>6.1310000000000003E-2</v>
      </c>
      <c r="Q138" s="15">
        <v>6.1310000000000003E-2</v>
      </c>
      <c r="R138" s="15">
        <v>6.2742999999999993E-2</v>
      </c>
      <c r="S138" s="15">
        <v>6.4922999999999995E-2</v>
      </c>
      <c r="T138" s="15">
        <v>9.5000000000000001E-2</v>
      </c>
      <c r="U138" s="15">
        <v>9.8000000000000004E-2</v>
      </c>
      <c r="V138" s="15">
        <v>9.9000000000000005E-2</v>
      </c>
      <c r="X138" s="5" t="s">
        <v>1327</v>
      </c>
      <c r="Y138" s="15"/>
      <c r="Z138" s="15">
        <f t="shared" ref="Z138:Z143" si="18">U138</f>
        <v>9.8000000000000004E-2</v>
      </c>
      <c r="AA138" s="15">
        <v>9.9000000000000005E-2</v>
      </c>
    </row>
    <row r="139" spans="1:27" x14ac:dyDescent="0.2">
      <c r="A139" s="5" t="s">
        <v>1328</v>
      </c>
      <c r="B139" s="15">
        <v>0</v>
      </c>
      <c r="C139" s="15">
        <v>0</v>
      </c>
      <c r="D139" s="15">
        <v>0</v>
      </c>
      <c r="E139" s="15">
        <v>0</v>
      </c>
      <c r="F139" s="15">
        <v>0</v>
      </c>
      <c r="G139" s="15">
        <v>0</v>
      </c>
      <c r="H139" s="15">
        <v>0</v>
      </c>
      <c r="I139" s="15">
        <v>0</v>
      </c>
      <c r="J139" s="15">
        <v>0</v>
      </c>
      <c r="K139" s="15">
        <v>5.6799000000000002E-2</v>
      </c>
      <c r="L139" s="15">
        <v>5.7393E-2</v>
      </c>
      <c r="M139" s="15">
        <v>5.7393E-2</v>
      </c>
      <c r="N139" s="15">
        <v>5.7393E-2</v>
      </c>
      <c r="O139" s="15">
        <v>5.7393E-2</v>
      </c>
      <c r="P139" s="15">
        <v>5.7393E-2</v>
      </c>
      <c r="Q139" s="15">
        <v>5.7393E-2</v>
      </c>
      <c r="R139" s="15">
        <v>0.22967000000000001</v>
      </c>
      <c r="S139" s="15">
        <v>1.52023</v>
      </c>
      <c r="T139" s="15">
        <v>2.8650000000000002</v>
      </c>
      <c r="U139" s="15">
        <v>3.9420000000000002</v>
      </c>
      <c r="V139" s="15">
        <v>4.4550000000000001</v>
      </c>
      <c r="X139" s="5" t="s">
        <v>1328</v>
      </c>
      <c r="Y139" s="15"/>
      <c r="Z139" s="15">
        <f t="shared" si="18"/>
        <v>3.9420000000000002</v>
      </c>
      <c r="AA139" s="15">
        <v>4.4550000000000001</v>
      </c>
    </row>
    <row r="140" spans="1:27" x14ac:dyDescent="0.2">
      <c r="A140" s="5" t="s">
        <v>1329</v>
      </c>
      <c r="B140" s="15">
        <v>1.2985999999999999E-2</v>
      </c>
      <c r="C140" s="15">
        <v>9.7427E-2</v>
      </c>
      <c r="D140" s="15">
        <v>0.30810700000000002</v>
      </c>
      <c r="E140" s="15">
        <v>0.54004399999999997</v>
      </c>
      <c r="F140" s="15">
        <v>0.73727900000000002</v>
      </c>
      <c r="G140" s="15">
        <v>0.99973800000000002</v>
      </c>
      <c r="H140" s="15">
        <v>1.354136</v>
      </c>
      <c r="I140" s="15">
        <v>1.7875300000000001</v>
      </c>
      <c r="J140" s="15">
        <v>4.623958</v>
      </c>
      <c r="K140" s="15">
        <v>5.4431099999999999</v>
      </c>
      <c r="L140" s="15">
        <v>6.5947019999999998</v>
      </c>
      <c r="M140" s="15">
        <v>8.9867480000000004</v>
      </c>
      <c r="N140" s="15">
        <v>12.976862000000001</v>
      </c>
      <c r="O140" s="15">
        <v>18.003281999999999</v>
      </c>
      <c r="P140" s="15">
        <v>16.064364999999999</v>
      </c>
      <c r="Q140" s="15">
        <v>27.754709999999999</v>
      </c>
      <c r="R140" s="15">
        <v>43.626691000000001</v>
      </c>
      <c r="S140" s="15">
        <v>48.235165000000002</v>
      </c>
      <c r="T140" s="15">
        <v>70.808000000000007</v>
      </c>
      <c r="U140" s="15">
        <v>95.77</v>
      </c>
      <c r="V140" s="15">
        <v>67.935000000000002</v>
      </c>
      <c r="X140" s="5" t="s">
        <v>1329</v>
      </c>
      <c r="Y140" s="15"/>
      <c r="Z140" s="15">
        <f t="shared" si="18"/>
        <v>95.77</v>
      </c>
      <c r="AA140" s="15">
        <v>67.935000000000002</v>
      </c>
    </row>
    <row r="141" spans="1:27" x14ac:dyDescent="0.2">
      <c r="A141" s="5" t="s">
        <v>1330</v>
      </c>
      <c r="B141" s="15">
        <v>0</v>
      </c>
      <c r="C141" s="15">
        <v>0</v>
      </c>
      <c r="D141" s="15">
        <v>0</v>
      </c>
      <c r="E141" s="15">
        <v>0</v>
      </c>
      <c r="F141" s="15">
        <v>0</v>
      </c>
      <c r="G141" s="15">
        <v>0</v>
      </c>
      <c r="H141" s="15">
        <v>0</v>
      </c>
      <c r="I141" s="15">
        <v>0</v>
      </c>
      <c r="J141" s="15">
        <v>0</v>
      </c>
      <c r="K141" s="15">
        <v>-2.4</v>
      </c>
      <c r="L141" s="15">
        <v>-2.4</v>
      </c>
      <c r="M141" s="15">
        <v>-2.4</v>
      </c>
      <c r="N141" s="15">
        <v>-3.2</v>
      </c>
      <c r="O141" s="15">
        <v>-3.2</v>
      </c>
      <c r="P141" s="15">
        <v>-3</v>
      </c>
      <c r="Q141" s="15">
        <v>-2.8</v>
      </c>
      <c r="R141" s="15">
        <v>-2.6</v>
      </c>
      <c r="S141" s="15">
        <v>-1.4</v>
      </c>
      <c r="T141" s="15">
        <v>-1.5</v>
      </c>
      <c r="U141" s="15">
        <v>-4</v>
      </c>
      <c r="V141" s="15">
        <v>-3.5</v>
      </c>
      <c r="X141" s="5" t="s">
        <v>1330</v>
      </c>
      <c r="Y141" s="15"/>
      <c r="Z141" s="15">
        <f t="shared" si="18"/>
        <v>-4</v>
      </c>
      <c r="AA141" s="15">
        <v>-3.5</v>
      </c>
    </row>
    <row r="142" spans="1:27" x14ac:dyDescent="0.2">
      <c r="A142" s="5" t="s">
        <v>1331</v>
      </c>
      <c r="B142" s="15">
        <v>3.5000000000000001E-3</v>
      </c>
      <c r="C142" s="15">
        <v>3.5000000000000001E-3</v>
      </c>
      <c r="D142" s="15">
        <v>3.5000000000000001E-3</v>
      </c>
      <c r="E142" s="15">
        <v>3.5000000000000001E-3</v>
      </c>
      <c r="F142" s="15">
        <v>3.5000000000000001E-3</v>
      </c>
      <c r="G142" s="15">
        <v>3.5000000000000001E-3</v>
      </c>
      <c r="H142" s="15">
        <v>1.16073</v>
      </c>
      <c r="I142" s="15">
        <v>1.15723</v>
      </c>
      <c r="J142" s="15">
        <v>0</v>
      </c>
      <c r="K142" s="15">
        <v>0</v>
      </c>
      <c r="L142" s="15">
        <v>0</v>
      </c>
      <c r="M142" s="15">
        <v>0</v>
      </c>
      <c r="N142" s="15">
        <v>0</v>
      </c>
      <c r="O142" s="15">
        <v>0</v>
      </c>
      <c r="P142" s="15">
        <v>0</v>
      </c>
      <c r="Q142" s="15">
        <v>0</v>
      </c>
      <c r="R142" s="15">
        <v>0</v>
      </c>
      <c r="S142" s="15">
        <v>0</v>
      </c>
      <c r="T142" s="15">
        <v>0</v>
      </c>
      <c r="U142" s="15">
        <v>0</v>
      </c>
      <c r="V142" s="15">
        <v>0</v>
      </c>
      <c r="X142" s="5" t="s">
        <v>1331</v>
      </c>
      <c r="Y142" s="15"/>
      <c r="Z142" s="15">
        <f t="shared" si="18"/>
        <v>0</v>
      </c>
      <c r="AA142" s="15">
        <v>0</v>
      </c>
    </row>
    <row r="143" spans="1:27" ht="10.5" x14ac:dyDescent="0.2">
      <c r="A143" s="14" t="s">
        <v>1332</v>
      </c>
      <c r="B143" s="16">
        <v>3.8360999999999999E-2</v>
      </c>
      <c r="C143" s="16">
        <v>0.12280199999999999</v>
      </c>
      <c r="D143" s="16">
        <v>0.333482</v>
      </c>
      <c r="E143" s="16">
        <v>0.565419</v>
      </c>
      <c r="F143" s="16">
        <v>0.76265400000000005</v>
      </c>
      <c r="G143" s="16">
        <v>1.0251129999999999</v>
      </c>
      <c r="H143" s="16">
        <v>2.574071</v>
      </c>
      <c r="I143" s="16">
        <v>3.003965</v>
      </c>
      <c r="J143" s="16">
        <v>4.6831630000000004</v>
      </c>
      <c r="K143" s="16">
        <v>3.1488399999999999</v>
      </c>
      <c r="L143" s="16">
        <v>4.3010390000000003</v>
      </c>
      <c r="M143" s="16">
        <v>6.693085</v>
      </c>
      <c r="N143" s="16">
        <v>9.9081659999999996</v>
      </c>
      <c r="O143" s="16">
        <v>14.935131</v>
      </c>
      <c r="P143" s="16">
        <v>13.166833</v>
      </c>
      <c r="Q143" s="16">
        <v>25.033563999999998</v>
      </c>
      <c r="R143" s="16">
        <v>41.284678</v>
      </c>
      <c r="S143" s="16">
        <v>48.383786000000001</v>
      </c>
      <c r="T143" s="16">
        <v>72.299000000000007</v>
      </c>
      <c r="U143" s="16">
        <v>95.816000000000003</v>
      </c>
      <c r="V143" s="16">
        <v>68.959000000000003</v>
      </c>
      <c r="X143" s="14" t="s">
        <v>1332</v>
      </c>
      <c r="Y143" s="16"/>
      <c r="Z143" s="16">
        <f t="shared" si="18"/>
        <v>95.816000000000003</v>
      </c>
      <c r="AA143" s="16">
        <v>68.959000000000003</v>
      </c>
    </row>
    <row r="144" spans="1:27" x14ac:dyDescent="0.2">
      <c r="A144" s="5"/>
      <c r="B144" s="5"/>
      <c r="C144" s="5"/>
      <c r="D144" s="5"/>
      <c r="E144" s="5"/>
      <c r="F144" s="5"/>
      <c r="G144" s="5"/>
      <c r="H144" s="5"/>
      <c r="I144" s="5"/>
      <c r="J144" s="5"/>
      <c r="K144" s="5"/>
      <c r="L144" s="5"/>
      <c r="M144" s="5"/>
      <c r="N144" s="5"/>
      <c r="O144" s="5"/>
      <c r="P144" s="5"/>
      <c r="Q144" s="5"/>
      <c r="R144" s="5"/>
      <c r="S144" s="5"/>
      <c r="T144" s="5"/>
      <c r="U144" s="5"/>
      <c r="V144" s="5"/>
      <c r="X144" s="5"/>
      <c r="Y144" s="5"/>
      <c r="Z144" s="5"/>
      <c r="AA144" s="5"/>
    </row>
    <row r="145" spans="1:27" x14ac:dyDescent="0.2">
      <c r="A145" s="5" t="s">
        <v>1087</v>
      </c>
      <c r="B145" s="15">
        <v>1.572E-3</v>
      </c>
      <c r="C145" s="15">
        <v>2.4996000000000001E-2</v>
      </c>
      <c r="D145" s="15">
        <v>0.119157</v>
      </c>
      <c r="E145" s="15">
        <v>0.39368799999999998</v>
      </c>
      <c r="F145" s="15">
        <v>0.55672900000000003</v>
      </c>
      <c r="G145" s="15">
        <v>0.77671100000000004</v>
      </c>
      <c r="H145" s="15">
        <v>0</v>
      </c>
      <c r="I145" s="15">
        <v>0</v>
      </c>
      <c r="J145" s="15">
        <v>0</v>
      </c>
      <c r="K145" s="15">
        <v>0</v>
      </c>
      <c r="L145" s="15">
        <v>0</v>
      </c>
      <c r="M145" s="15">
        <v>0</v>
      </c>
      <c r="N145" s="15">
        <v>0</v>
      </c>
      <c r="O145" s="15">
        <v>0</v>
      </c>
      <c r="P145" s="15">
        <v>0</v>
      </c>
      <c r="Q145" s="15">
        <v>0</v>
      </c>
      <c r="R145" s="15">
        <v>0</v>
      </c>
      <c r="S145" s="15">
        <v>0</v>
      </c>
      <c r="T145" s="15">
        <v>0</v>
      </c>
      <c r="U145" s="15">
        <v>0</v>
      </c>
      <c r="V145" s="15">
        <v>0</v>
      </c>
      <c r="X145" s="5"/>
      <c r="Y145" s="5"/>
      <c r="Z145" s="5"/>
      <c r="AA145" s="5"/>
    </row>
    <row r="146" spans="1:27" x14ac:dyDescent="0.2">
      <c r="A146" s="5"/>
      <c r="B146" s="5"/>
      <c r="C146" s="5"/>
      <c r="D146" s="5"/>
      <c r="E146" s="5"/>
      <c r="F146" s="5"/>
      <c r="G146" s="5"/>
      <c r="H146" s="5"/>
      <c r="I146" s="5"/>
      <c r="J146" s="5"/>
      <c r="K146" s="5"/>
      <c r="L146" s="5"/>
      <c r="M146" s="5"/>
      <c r="N146" s="5"/>
      <c r="O146" s="5"/>
      <c r="P146" s="5"/>
      <c r="Q146" s="5"/>
      <c r="R146" s="5"/>
      <c r="S146" s="5"/>
      <c r="T146" s="5"/>
      <c r="U146" s="5"/>
      <c r="V146" s="5"/>
      <c r="X146" s="5"/>
      <c r="Y146" s="5"/>
      <c r="Z146" s="5"/>
      <c r="AA146" s="5"/>
    </row>
    <row r="147" spans="1:27" ht="10.5" x14ac:dyDescent="0.2">
      <c r="A147" s="14" t="s">
        <v>1333</v>
      </c>
      <c r="B147" s="24">
        <v>3.9933000000000003E-2</v>
      </c>
      <c r="C147" s="24">
        <v>0.14779800000000001</v>
      </c>
      <c r="D147" s="24">
        <v>0.45263900000000001</v>
      </c>
      <c r="E147" s="24">
        <v>0.95910700000000004</v>
      </c>
      <c r="F147" s="24">
        <v>1.319383</v>
      </c>
      <c r="G147" s="24">
        <v>1.8018240000000001</v>
      </c>
      <c r="H147" s="24">
        <v>2.574071</v>
      </c>
      <c r="I147" s="24">
        <v>3.003965</v>
      </c>
      <c r="J147" s="24">
        <v>4.6831630000000004</v>
      </c>
      <c r="K147" s="24">
        <v>3.1488399999999999</v>
      </c>
      <c r="L147" s="24">
        <v>4.3010390000000003</v>
      </c>
      <c r="M147" s="24">
        <v>6.693085</v>
      </c>
      <c r="N147" s="24">
        <v>9.9081659999999996</v>
      </c>
      <c r="O147" s="24">
        <v>14.935131</v>
      </c>
      <c r="P147" s="24">
        <v>13.166833</v>
      </c>
      <c r="Q147" s="24">
        <v>25.033563999999998</v>
      </c>
      <c r="R147" s="24">
        <v>41.284678</v>
      </c>
      <c r="S147" s="24">
        <v>48.383786000000001</v>
      </c>
      <c r="T147" s="24">
        <v>72.299000000000007</v>
      </c>
      <c r="U147" s="24">
        <v>95.816000000000003</v>
      </c>
      <c r="V147" s="24">
        <v>68.959000000000003</v>
      </c>
      <c r="X147" s="14" t="s">
        <v>1333</v>
      </c>
      <c r="Y147" s="24"/>
      <c r="Z147" s="24">
        <f t="shared" ref="Z147:Z158" si="19">U147</f>
        <v>95.816000000000003</v>
      </c>
      <c r="AA147" s="24">
        <v>68.959000000000003</v>
      </c>
    </row>
    <row r="148" spans="1:27" x14ac:dyDescent="0.2">
      <c r="A148" s="5"/>
      <c r="B148" s="5"/>
      <c r="C148" s="5"/>
      <c r="D148" s="5"/>
      <c r="E148" s="5"/>
      <c r="F148" s="5"/>
      <c r="G148" s="5"/>
      <c r="H148" s="5"/>
      <c r="I148" s="5"/>
      <c r="J148" s="5"/>
      <c r="K148" s="5"/>
      <c r="L148" s="5"/>
      <c r="M148" s="5"/>
      <c r="N148" s="5"/>
      <c r="O148" s="5"/>
      <c r="P148" s="5"/>
      <c r="Q148" s="5"/>
      <c r="R148" s="5"/>
      <c r="S148" s="5"/>
      <c r="T148" s="5"/>
      <c r="U148" s="5"/>
      <c r="V148" s="5"/>
      <c r="X148" s="5"/>
      <c r="Y148" s="5"/>
      <c r="Z148" s="5"/>
      <c r="AA148" s="5"/>
    </row>
    <row r="149" spans="1:27" ht="10.5" x14ac:dyDescent="0.2">
      <c r="A149" s="14" t="s">
        <v>1334</v>
      </c>
      <c r="B149" s="25">
        <v>0.87109300000000001</v>
      </c>
      <c r="C149" s="25">
        <v>1.529817</v>
      </c>
      <c r="D149" s="25">
        <v>2.7256200000000002</v>
      </c>
      <c r="E149" s="25">
        <v>4.8052229999999998</v>
      </c>
      <c r="F149" s="25">
        <v>6.4106769999999997</v>
      </c>
      <c r="G149" s="25">
        <v>7.8873119999999997</v>
      </c>
      <c r="H149" s="25">
        <v>18.844840999999999</v>
      </c>
      <c r="I149" s="25">
        <v>13.524371</v>
      </c>
      <c r="J149" s="25">
        <v>16.479471</v>
      </c>
      <c r="K149" s="25">
        <v>16.629996999999999</v>
      </c>
      <c r="L149" s="25">
        <v>16.401205000000001</v>
      </c>
      <c r="M149" s="25">
        <v>26.363873000000002</v>
      </c>
      <c r="N149" s="25">
        <v>31.146056999999999</v>
      </c>
      <c r="O149" s="25">
        <v>35.168306999999999</v>
      </c>
      <c r="P149" s="25">
        <v>45.045062000000001</v>
      </c>
      <c r="Q149" s="25">
        <v>59.769829999999999</v>
      </c>
      <c r="R149" s="25">
        <v>91.570687000000007</v>
      </c>
      <c r="S149" s="25">
        <v>107.21559999999999</v>
      </c>
      <c r="T149" s="25">
        <v>150.06100000000001</v>
      </c>
      <c r="U149" s="25">
        <v>207.37899999999999</v>
      </c>
      <c r="V149" s="25">
        <v>180.19300000000001</v>
      </c>
      <c r="X149" s="14" t="s">
        <v>1334</v>
      </c>
      <c r="Y149" s="25"/>
      <c r="Z149" s="25">
        <f t="shared" si="19"/>
        <v>207.37899999999999</v>
      </c>
      <c r="AA149" s="25">
        <v>180.19300000000001</v>
      </c>
    </row>
    <row r="150" spans="1:27" x14ac:dyDescent="0.2">
      <c r="A150" s="5"/>
      <c r="B150" s="5"/>
      <c r="C150" s="5"/>
      <c r="D150" s="5"/>
      <c r="E150" s="5"/>
      <c r="F150" s="5"/>
      <c r="G150" s="5"/>
      <c r="H150" s="5"/>
      <c r="I150" s="5"/>
      <c r="J150" s="5"/>
      <c r="K150" s="5"/>
      <c r="L150" s="5"/>
      <c r="M150" s="5"/>
      <c r="N150" s="5"/>
      <c r="O150" s="5"/>
      <c r="P150" s="5"/>
      <c r="Q150" s="5"/>
      <c r="R150" s="5"/>
      <c r="S150" s="5"/>
      <c r="T150" s="5"/>
      <c r="U150" s="5"/>
      <c r="V150" s="5"/>
      <c r="X150" s="5"/>
      <c r="Y150" s="5"/>
      <c r="Z150" s="5"/>
      <c r="AA150" s="5"/>
    </row>
    <row r="151" spans="1:27" ht="10.5" x14ac:dyDescent="0.2">
      <c r="A151" s="14" t="s">
        <v>1267</v>
      </c>
      <c r="B151" s="5"/>
      <c r="C151" s="5"/>
      <c r="D151" s="5"/>
      <c r="E151" s="5"/>
      <c r="F151" s="5"/>
      <c r="G151" s="5"/>
      <c r="H151" s="5"/>
      <c r="I151" s="5"/>
      <c r="J151" s="5"/>
      <c r="K151" s="5"/>
      <c r="L151" s="5"/>
      <c r="M151" s="5"/>
      <c r="N151" s="5"/>
      <c r="O151" s="5"/>
      <c r="P151" s="5"/>
      <c r="Q151" s="5"/>
      <c r="R151" s="5"/>
      <c r="S151" s="5"/>
      <c r="T151" s="5"/>
      <c r="U151" s="5"/>
      <c r="V151" s="5"/>
      <c r="X151" s="14" t="s">
        <v>1267</v>
      </c>
      <c r="Y151" s="5"/>
      <c r="Z151" s="5"/>
      <c r="AA151" s="5"/>
    </row>
    <row r="152" spans="1:27" x14ac:dyDescent="0.2">
      <c r="A152" s="5" t="s">
        <v>1335</v>
      </c>
      <c r="B152" s="15">
        <v>0.05</v>
      </c>
      <c r="C152" s="15">
        <v>0.05</v>
      </c>
      <c r="D152" s="15">
        <v>0.05</v>
      </c>
      <c r="E152" s="15">
        <v>0.05</v>
      </c>
      <c r="F152" s="15">
        <v>0.05</v>
      </c>
      <c r="G152" s="15">
        <v>0.05</v>
      </c>
      <c r="H152" s="15">
        <v>5.9204999999999997</v>
      </c>
      <c r="I152" s="15">
        <v>5.9204999999999997</v>
      </c>
      <c r="J152" s="15">
        <v>5.9204999999999997</v>
      </c>
      <c r="K152" s="15">
        <v>6.1036999999999999</v>
      </c>
      <c r="L152" s="15">
        <v>6.1049150000000001</v>
      </c>
      <c r="M152" s="15">
        <v>6.1050000000000004</v>
      </c>
      <c r="N152" s="15">
        <v>6.1185999999999998</v>
      </c>
      <c r="O152" s="15">
        <v>6.1244059999999996</v>
      </c>
      <c r="P152" s="15">
        <v>6.1310209999999996</v>
      </c>
      <c r="Q152" s="15">
        <v>6.1310209999999996</v>
      </c>
      <c r="R152" s="15">
        <v>6.2742630000000004</v>
      </c>
      <c r="S152" s="15">
        <v>6.4922630000000003</v>
      </c>
      <c r="T152" s="15" t="s">
        <v>52</v>
      </c>
      <c r="U152" s="15" t="s">
        <v>52</v>
      </c>
      <c r="V152" s="15">
        <v>195.934867</v>
      </c>
      <c r="X152" s="5" t="s">
        <v>1335</v>
      </c>
      <c r="Y152" s="15"/>
      <c r="Z152" s="15" t="str">
        <f t="shared" si="19"/>
        <v>NA</v>
      </c>
      <c r="AA152" s="15">
        <v>195.934867</v>
      </c>
    </row>
    <row r="153" spans="1:27" x14ac:dyDescent="0.2">
      <c r="A153" s="5" t="s">
        <v>1336</v>
      </c>
      <c r="B153" s="15">
        <v>0.05</v>
      </c>
      <c r="C153" s="15">
        <v>0.05</v>
      </c>
      <c r="D153" s="15">
        <v>0.05</v>
      </c>
      <c r="E153" s="15">
        <v>0.05</v>
      </c>
      <c r="F153" s="15">
        <v>0.05</v>
      </c>
      <c r="G153" s="15">
        <v>0.05</v>
      </c>
      <c r="H153" s="15">
        <v>5.9204999999999997</v>
      </c>
      <c r="I153" s="15">
        <v>5.9204999999999997</v>
      </c>
      <c r="J153" s="15">
        <v>5.9204999999999997</v>
      </c>
      <c r="K153" s="15">
        <v>6.1036999999999999</v>
      </c>
      <c r="L153" s="15">
        <v>6.1049150000000001</v>
      </c>
      <c r="M153" s="15">
        <v>6.1050000000000004</v>
      </c>
      <c r="N153" s="15">
        <v>6.1185999999999998</v>
      </c>
      <c r="O153" s="15">
        <v>6.1244059999999996</v>
      </c>
      <c r="P153" s="15">
        <v>6.1310209999999996</v>
      </c>
      <c r="Q153" s="15">
        <v>6.1310209999999996</v>
      </c>
      <c r="R153" s="15">
        <v>6.2742630000000004</v>
      </c>
      <c r="S153" s="15">
        <v>6.4922630000000003</v>
      </c>
      <c r="T153" s="15" t="s">
        <v>52</v>
      </c>
      <c r="U153" s="15" t="s">
        <v>52</v>
      </c>
      <c r="V153" s="15">
        <v>195.93481499999999</v>
      </c>
      <c r="X153" s="5" t="s">
        <v>1336</v>
      </c>
      <c r="Y153" s="15"/>
      <c r="Z153" s="15" t="str">
        <f t="shared" si="19"/>
        <v>NA</v>
      </c>
      <c r="AA153" s="15">
        <v>195.93481499999999</v>
      </c>
    </row>
    <row r="154" spans="1:27" x14ac:dyDescent="0.2">
      <c r="A154" s="5" t="s">
        <v>1337</v>
      </c>
      <c r="B154" s="19">
        <v>0.76722000000000001</v>
      </c>
      <c r="C154" s="19">
        <v>2.4560399999999998</v>
      </c>
      <c r="D154" s="19">
        <v>6.6696400000000002</v>
      </c>
      <c r="E154" s="19">
        <v>11.30838</v>
      </c>
      <c r="F154" s="19">
        <v>15.253080000000001</v>
      </c>
      <c r="G154" s="19">
        <v>20.50226</v>
      </c>
      <c r="H154" s="19">
        <v>0.43477199999999999</v>
      </c>
      <c r="I154" s="19">
        <v>0.50738300000000003</v>
      </c>
      <c r="J154" s="19">
        <v>0.79100800000000004</v>
      </c>
      <c r="K154" s="19">
        <v>0.51588999999999996</v>
      </c>
      <c r="L154" s="19">
        <v>0.70452000000000004</v>
      </c>
      <c r="M154" s="19">
        <v>1.096328</v>
      </c>
      <c r="N154" s="19">
        <v>1.619351</v>
      </c>
      <c r="O154" s="19">
        <v>2.438625</v>
      </c>
      <c r="P154" s="19">
        <v>2.1475749999999998</v>
      </c>
      <c r="Q154" s="19">
        <v>4.0830979999999997</v>
      </c>
      <c r="R154" s="19">
        <v>6.5800039999999997</v>
      </c>
      <c r="S154" s="19">
        <v>7.4525300000000003</v>
      </c>
      <c r="T154" s="19" t="s">
        <v>52</v>
      </c>
      <c r="U154" s="19" t="s">
        <v>52</v>
      </c>
      <c r="V154" s="19">
        <v>0.35194799999999998</v>
      </c>
      <c r="X154" s="5" t="s">
        <v>1337</v>
      </c>
      <c r="Y154" s="19"/>
      <c r="Z154" s="19" t="str">
        <f t="shared" si="19"/>
        <v>NA</v>
      </c>
      <c r="AA154" s="19">
        <v>0.35194799999999998</v>
      </c>
    </row>
    <row r="155" spans="1:27" x14ac:dyDescent="0.2">
      <c r="A155" s="5" t="s">
        <v>1338</v>
      </c>
      <c r="B155" s="15">
        <v>3.2807999999999997E-2</v>
      </c>
      <c r="C155" s="15">
        <v>0.12280199999999999</v>
      </c>
      <c r="D155" s="15">
        <v>0.333482</v>
      </c>
      <c r="E155" s="15">
        <v>0.565419</v>
      </c>
      <c r="F155" s="15">
        <v>0.76265400000000005</v>
      </c>
      <c r="G155" s="15">
        <v>1.0251129999999999</v>
      </c>
      <c r="H155" s="15">
        <v>2.109807</v>
      </c>
      <c r="I155" s="15">
        <v>3.003965</v>
      </c>
      <c r="J155" s="15">
        <v>4.6831630000000004</v>
      </c>
      <c r="K155" s="15">
        <v>3.1488399999999999</v>
      </c>
      <c r="L155" s="15">
        <v>4.3010390000000003</v>
      </c>
      <c r="M155" s="15">
        <v>6.693085</v>
      </c>
      <c r="N155" s="15">
        <v>9.9081659999999996</v>
      </c>
      <c r="O155" s="15">
        <v>14.935131</v>
      </c>
      <c r="P155" s="15">
        <v>13.166833</v>
      </c>
      <c r="Q155" s="15">
        <v>25.033563999999998</v>
      </c>
      <c r="R155" s="15">
        <v>41.284678</v>
      </c>
      <c r="S155" s="15">
        <v>47.978076000000001</v>
      </c>
      <c r="T155" s="15">
        <v>71.775999999999996</v>
      </c>
      <c r="U155" s="15">
        <v>95.358000000000004</v>
      </c>
      <c r="V155" s="15">
        <v>68.326999999999998</v>
      </c>
      <c r="X155" s="5" t="s">
        <v>1338</v>
      </c>
      <c r="Y155" s="15"/>
      <c r="Z155" s="15">
        <f t="shared" si="19"/>
        <v>95.358000000000004</v>
      </c>
      <c r="AA155" s="15">
        <v>68.326999999999998</v>
      </c>
    </row>
    <row r="156" spans="1:27" x14ac:dyDescent="0.2">
      <c r="A156" s="5" t="s">
        <v>1339</v>
      </c>
      <c r="B156" s="19">
        <v>0.65615999999999997</v>
      </c>
      <c r="C156" s="19">
        <v>2.4560399999999998</v>
      </c>
      <c r="D156" s="19">
        <v>6.6696400000000002</v>
      </c>
      <c r="E156" s="19">
        <v>11.30838</v>
      </c>
      <c r="F156" s="19">
        <v>15.253080000000001</v>
      </c>
      <c r="G156" s="19">
        <v>20.50226</v>
      </c>
      <c r="H156" s="19">
        <v>0.35635600000000001</v>
      </c>
      <c r="I156" s="19">
        <v>0.50738300000000003</v>
      </c>
      <c r="J156" s="19">
        <v>0.79100800000000004</v>
      </c>
      <c r="K156" s="19">
        <v>0.51588999999999996</v>
      </c>
      <c r="L156" s="19">
        <v>0.70452000000000004</v>
      </c>
      <c r="M156" s="19">
        <v>1.096328</v>
      </c>
      <c r="N156" s="19">
        <v>1.619351</v>
      </c>
      <c r="O156" s="19">
        <v>2.438625</v>
      </c>
      <c r="P156" s="19">
        <v>2.1475749999999998</v>
      </c>
      <c r="Q156" s="19">
        <v>4.0830979999999997</v>
      </c>
      <c r="R156" s="19">
        <v>6.5800039999999997</v>
      </c>
      <c r="S156" s="19">
        <v>7.3900379999999997</v>
      </c>
      <c r="T156" s="19" t="s">
        <v>52</v>
      </c>
      <c r="U156" s="19" t="s">
        <v>52</v>
      </c>
      <c r="V156" s="19">
        <v>0.34872300000000001</v>
      </c>
      <c r="X156" s="5" t="s">
        <v>1339</v>
      </c>
      <c r="Y156" s="19"/>
      <c r="Z156" s="19" t="str">
        <f t="shared" si="19"/>
        <v>NA</v>
      </c>
      <c r="AA156" s="19">
        <v>0.34872300000000001</v>
      </c>
    </row>
    <row r="157" spans="1:27" x14ac:dyDescent="0.2">
      <c r="A157" s="5" t="s">
        <v>1340</v>
      </c>
      <c r="B157" s="15">
        <v>0.16800599999999999</v>
      </c>
      <c r="C157" s="15">
        <v>9.4271999999999995E-2</v>
      </c>
      <c r="D157" s="15">
        <v>0.17289299999999999</v>
      </c>
      <c r="E157" s="15">
        <v>0.811859</v>
      </c>
      <c r="F157" s="15">
        <v>2.0284550000000001</v>
      </c>
      <c r="G157" s="15">
        <v>2.0120800000000001</v>
      </c>
      <c r="H157" s="15">
        <v>3.3895249999999999</v>
      </c>
      <c r="I157" s="15">
        <v>3.1419999999999998E-3</v>
      </c>
      <c r="J157" s="15">
        <v>0</v>
      </c>
      <c r="K157" s="15">
        <v>3.7735439999999998</v>
      </c>
      <c r="L157" s="15">
        <v>1.5757490000000001</v>
      </c>
      <c r="M157" s="15">
        <v>5.14846</v>
      </c>
      <c r="N157" s="15">
        <v>4.8169110000000002</v>
      </c>
      <c r="O157" s="15">
        <v>3.0357430000000001</v>
      </c>
      <c r="P157" s="15">
        <v>5.3846129999999999</v>
      </c>
      <c r="Q157" s="15">
        <v>3.0738530000000002</v>
      </c>
      <c r="R157" s="15">
        <v>2.1777609999999998</v>
      </c>
      <c r="S157" s="15">
        <v>0</v>
      </c>
      <c r="T157" s="15">
        <v>0</v>
      </c>
      <c r="U157" s="15">
        <v>0</v>
      </c>
      <c r="V157" s="15">
        <v>0</v>
      </c>
      <c r="X157" s="5" t="s">
        <v>1340</v>
      </c>
      <c r="Y157" s="15"/>
      <c r="Z157" s="15">
        <f t="shared" si="19"/>
        <v>0</v>
      </c>
      <c r="AA157" s="15">
        <v>0</v>
      </c>
    </row>
    <row r="158" spans="1:27" x14ac:dyDescent="0.2">
      <c r="A158" s="5" t="s">
        <v>66</v>
      </c>
      <c r="B158" s="15">
        <v>0.167937</v>
      </c>
      <c r="C158" s="15">
        <v>4.8318E-2</v>
      </c>
      <c r="D158" s="15">
        <v>7.0968000000000003E-2</v>
      </c>
      <c r="E158" s="15">
        <v>0.80469900000000005</v>
      </c>
      <c r="F158" s="15">
        <v>2.0070290000000002</v>
      </c>
      <c r="G158" s="15">
        <v>2.00339</v>
      </c>
      <c r="H158" s="15">
        <v>3.3874309999999999</v>
      </c>
      <c r="I158" s="15">
        <v>-1.4</v>
      </c>
      <c r="J158" s="15">
        <v>-1.8</v>
      </c>
      <c r="K158" s="15">
        <v>1.7210270000000001</v>
      </c>
      <c r="L158" s="15">
        <v>1.573423</v>
      </c>
      <c r="M158" s="15">
        <v>-0.9</v>
      </c>
      <c r="N158" s="15">
        <v>-5.6</v>
      </c>
      <c r="O158" s="15">
        <v>-10.6</v>
      </c>
      <c r="P158" s="15">
        <v>-8.3000000000000007</v>
      </c>
      <c r="Q158" s="15">
        <v>-5.9</v>
      </c>
      <c r="R158" s="15">
        <v>-10.1</v>
      </c>
      <c r="S158" s="15">
        <v>-8.6999999999999993</v>
      </c>
      <c r="T158" s="15">
        <v>-37.700000000000003</v>
      </c>
      <c r="U158" s="15">
        <v>-74.599999999999994</v>
      </c>
      <c r="V158" s="15">
        <v>-54.9</v>
      </c>
      <c r="X158" s="5" t="s">
        <v>66</v>
      </c>
      <c r="Y158" s="15"/>
      <c r="Z158" s="15">
        <f t="shared" si="19"/>
        <v>-74.599999999999994</v>
      </c>
      <c r="AA158" s="15">
        <v>-54.9</v>
      </c>
    </row>
    <row r="159" spans="1:27" x14ac:dyDescent="0.2">
      <c r="A159" s="5" t="s">
        <v>1341</v>
      </c>
      <c r="B159" s="15" t="s">
        <v>52</v>
      </c>
      <c r="C159" s="15" t="s">
        <v>52</v>
      </c>
      <c r="D159" s="15" t="s">
        <v>52</v>
      </c>
      <c r="E159" s="15" t="s">
        <v>52</v>
      </c>
      <c r="F159" s="15" t="s">
        <v>52</v>
      </c>
      <c r="G159" s="15" t="s">
        <v>52</v>
      </c>
      <c r="H159" s="15">
        <v>1.037296</v>
      </c>
      <c r="I159" s="15">
        <v>0.93635199999999996</v>
      </c>
      <c r="J159" s="15">
        <v>1.262432</v>
      </c>
      <c r="K159" s="15">
        <v>2.214464</v>
      </c>
      <c r="L159" s="15">
        <v>1.92</v>
      </c>
      <c r="M159" s="15">
        <v>1.8273440000000001</v>
      </c>
      <c r="N159" s="15">
        <v>1.92</v>
      </c>
      <c r="O159" s="15">
        <v>2.840128</v>
      </c>
      <c r="P159" s="15">
        <v>2.758864</v>
      </c>
      <c r="Q159" s="15">
        <v>3.7248800000000002</v>
      </c>
      <c r="R159" s="15">
        <v>7.9044800000000004</v>
      </c>
      <c r="S159" s="15">
        <v>1.37192</v>
      </c>
      <c r="T159" s="15">
        <v>3.1840000000000002</v>
      </c>
      <c r="U159" s="15">
        <v>4.008</v>
      </c>
      <c r="V159" s="15" t="s">
        <v>52</v>
      </c>
      <c r="X159" s="5"/>
      <c r="Y159" s="15"/>
      <c r="Z159" s="15"/>
      <c r="AA159" s="15"/>
    </row>
    <row r="160" spans="1:27" x14ac:dyDescent="0.2">
      <c r="A160" s="5" t="s">
        <v>1342</v>
      </c>
      <c r="B160" s="15">
        <v>1.572E-3</v>
      </c>
      <c r="C160" s="15">
        <v>2.4996000000000001E-2</v>
      </c>
      <c r="D160" s="15">
        <v>0.119157</v>
      </c>
      <c r="E160" s="15">
        <v>0.39368799999999998</v>
      </c>
      <c r="F160" s="15">
        <v>0.55672900000000003</v>
      </c>
      <c r="G160" s="15">
        <v>0.77671100000000004</v>
      </c>
      <c r="H160" s="15" t="s">
        <v>52</v>
      </c>
      <c r="I160" s="15" t="s">
        <v>52</v>
      </c>
      <c r="J160" s="15" t="s">
        <v>52</v>
      </c>
      <c r="K160" s="15" t="s">
        <v>52</v>
      </c>
      <c r="L160" s="15" t="s">
        <v>52</v>
      </c>
      <c r="M160" s="15" t="s">
        <v>52</v>
      </c>
      <c r="N160" s="15" t="s">
        <v>52</v>
      </c>
      <c r="O160" s="15" t="s">
        <v>52</v>
      </c>
      <c r="P160" s="15" t="s">
        <v>52</v>
      </c>
      <c r="Q160" s="15" t="s">
        <v>52</v>
      </c>
      <c r="R160" s="15" t="s">
        <v>52</v>
      </c>
      <c r="S160" s="15" t="s">
        <v>52</v>
      </c>
      <c r="T160" s="15" t="s">
        <v>52</v>
      </c>
      <c r="U160" s="15" t="s">
        <v>52</v>
      </c>
      <c r="V160" s="15" t="s">
        <v>52</v>
      </c>
      <c r="X160" s="5"/>
      <c r="Y160" s="15"/>
      <c r="Z160" s="15"/>
      <c r="AA160" s="15"/>
    </row>
    <row r="161" spans="1:255" x14ac:dyDescent="0.2">
      <c r="A161" s="5" t="s">
        <v>1343</v>
      </c>
      <c r="B161" s="20" t="s">
        <v>52</v>
      </c>
      <c r="C161" s="20" t="s">
        <v>52</v>
      </c>
      <c r="D161" s="20" t="s">
        <v>52</v>
      </c>
      <c r="E161" s="20" t="s">
        <v>52</v>
      </c>
      <c r="F161" s="20" t="s">
        <v>52</v>
      </c>
      <c r="G161" s="20" t="s">
        <v>52</v>
      </c>
      <c r="H161" s="20" t="s">
        <v>52</v>
      </c>
      <c r="I161" s="20" t="s">
        <v>52</v>
      </c>
      <c r="J161" s="20" t="s">
        <v>52</v>
      </c>
      <c r="K161" s="20" t="s">
        <v>52</v>
      </c>
      <c r="L161" s="20" t="s">
        <v>52</v>
      </c>
      <c r="M161" s="20" t="s">
        <v>52</v>
      </c>
      <c r="N161" s="20" t="s">
        <v>52</v>
      </c>
      <c r="O161" s="20" t="s">
        <v>52</v>
      </c>
      <c r="P161" s="20" t="s">
        <v>52</v>
      </c>
      <c r="Q161" s="20" t="s">
        <v>52</v>
      </c>
      <c r="R161" s="20" t="s">
        <v>52</v>
      </c>
      <c r="S161" s="20" t="s">
        <v>52</v>
      </c>
      <c r="T161" s="20" t="s">
        <v>52</v>
      </c>
      <c r="U161" s="20" t="s">
        <v>52</v>
      </c>
      <c r="V161" s="20" t="s">
        <v>52</v>
      </c>
      <c r="X161" s="5"/>
      <c r="Y161" s="15"/>
      <c r="Z161" s="15"/>
      <c r="AA161" s="15"/>
    </row>
    <row r="162" spans="1:255" x14ac:dyDescent="0.2">
      <c r="A162" s="5" t="s">
        <v>1344</v>
      </c>
      <c r="B162" s="15">
        <v>0.155582</v>
      </c>
      <c r="C162" s="15">
        <v>5.4738000000000002E-2</v>
      </c>
      <c r="D162" s="15">
        <v>6.3941999999999999E-2</v>
      </c>
      <c r="E162" s="15">
        <v>4.6998999999999999E-2</v>
      </c>
      <c r="F162" s="15">
        <v>0.17154</v>
      </c>
      <c r="G162" s="15">
        <v>0.33513799999999999</v>
      </c>
      <c r="H162" s="15">
        <v>1.279763</v>
      </c>
      <c r="I162" s="15">
        <v>0.28871599999999997</v>
      </c>
      <c r="J162" s="15">
        <v>0.24516399999999999</v>
      </c>
      <c r="K162" s="15">
        <v>0.25069599999999997</v>
      </c>
      <c r="L162" s="15">
        <v>0.17116600000000001</v>
      </c>
      <c r="M162" s="15">
        <v>0.403391</v>
      </c>
      <c r="N162" s="15">
        <v>0.40257500000000002</v>
      </c>
      <c r="O162" s="15">
        <v>0.26390200000000003</v>
      </c>
      <c r="P162" s="15">
        <v>0.83121500000000004</v>
      </c>
      <c r="Q162" s="15">
        <v>1.0403690000000001</v>
      </c>
      <c r="R162" s="15">
        <v>2.0073970000000001</v>
      </c>
      <c r="S162" s="15">
        <v>4.2788599999999999</v>
      </c>
      <c r="T162" s="15">
        <v>4.4809999999999999</v>
      </c>
      <c r="U162" s="15">
        <v>2.6520000000000001</v>
      </c>
      <c r="V162" s="15" t="s">
        <v>52</v>
      </c>
      <c r="X162" s="5"/>
      <c r="Y162" s="15"/>
      <c r="Z162" s="15"/>
      <c r="AA162" s="15"/>
    </row>
    <row r="163" spans="1:255" x14ac:dyDescent="0.2">
      <c r="A163" s="5" t="s">
        <v>1345</v>
      </c>
      <c r="B163" s="15" t="s">
        <v>52</v>
      </c>
      <c r="C163" s="15" t="s">
        <v>52</v>
      </c>
      <c r="D163" s="15" t="s">
        <v>52</v>
      </c>
      <c r="E163" s="15" t="s">
        <v>52</v>
      </c>
      <c r="F163" s="15" t="s">
        <v>52</v>
      </c>
      <c r="G163" s="15" t="s">
        <v>52</v>
      </c>
      <c r="H163" s="15" t="s">
        <v>52</v>
      </c>
      <c r="I163" s="15" t="s">
        <v>52</v>
      </c>
      <c r="J163" s="15" t="s">
        <v>52</v>
      </c>
      <c r="K163" s="15" t="s">
        <v>52</v>
      </c>
      <c r="L163" s="15" t="s">
        <v>52</v>
      </c>
      <c r="M163" s="15" t="s">
        <v>52</v>
      </c>
      <c r="N163" s="15" t="s">
        <v>52</v>
      </c>
      <c r="O163" s="15" t="s">
        <v>52</v>
      </c>
      <c r="P163" s="15" t="s">
        <v>52</v>
      </c>
      <c r="Q163" s="15" t="s">
        <v>52</v>
      </c>
      <c r="R163" s="15">
        <v>3.1965409999999999</v>
      </c>
      <c r="S163" s="15">
        <v>3.890844</v>
      </c>
      <c r="T163" s="15">
        <v>4.1139999999999999</v>
      </c>
      <c r="U163" s="15">
        <v>4.3769999999999998</v>
      </c>
      <c r="V163" s="15" t="s">
        <v>52</v>
      </c>
      <c r="X163" s="5"/>
      <c r="Y163" s="15"/>
      <c r="Z163" s="15"/>
      <c r="AA163" s="15"/>
    </row>
    <row r="164" spans="1:255" x14ac:dyDescent="0.2">
      <c r="A164" s="5" t="s">
        <v>1346</v>
      </c>
      <c r="B164" s="15">
        <v>0.25605</v>
      </c>
      <c r="C164" s="15">
        <v>0.31191400000000002</v>
      </c>
      <c r="D164" s="15">
        <v>0.43658400000000003</v>
      </c>
      <c r="E164" s="15">
        <v>0.53384399999999999</v>
      </c>
      <c r="F164" s="15">
        <v>0.77440900000000001</v>
      </c>
      <c r="G164" s="15">
        <v>1.0021409999999999</v>
      </c>
      <c r="H164" s="15">
        <v>1.021703</v>
      </c>
      <c r="I164" s="15">
        <v>0.85298799999999997</v>
      </c>
      <c r="J164" s="15">
        <v>1.3523529999999999</v>
      </c>
      <c r="K164" s="15">
        <v>1.394747</v>
      </c>
      <c r="L164" s="15">
        <v>0.81395600000000001</v>
      </c>
      <c r="M164" s="15">
        <v>0.94522499999999998</v>
      </c>
      <c r="N164" s="15">
        <v>1.1550879999999999</v>
      </c>
      <c r="O164" s="15">
        <v>1.2976939999999999</v>
      </c>
      <c r="P164" s="15">
        <v>1.429818</v>
      </c>
      <c r="Q164" s="15">
        <v>1.9844580000000001</v>
      </c>
      <c r="R164" s="15">
        <v>2.3720840000000001</v>
      </c>
      <c r="S164" s="15">
        <v>4.2449849999999998</v>
      </c>
      <c r="T164" s="15">
        <v>5.843</v>
      </c>
      <c r="U164" s="15">
        <v>7.718</v>
      </c>
      <c r="V164" s="15" t="s">
        <v>52</v>
      </c>
      <c r="X164" s="5"/>
      <c r="Y164" s="15"/>
      <c r="Z164" s="15"/>
      <c r="AA164" s="15"/>
    </row>
    <row r="165" spans="1:255" x14ac:dyDescent="0.2">
      <c r="A165" s="5" t="s">
        <v>1347</v>
      </c>
      <c r="B165" s="26" t="s">
        <v>52</v>
      </c>
      <c r="C165" s="26" t="s">
        <v>52</v>
      </c>
      <c r="D165" s="26" t="s">
        <v>52</v>
      </c>
      <c r="E165" s="26" t="s">
        <v>52</v>
      </c>
      <c r="F165" s="26" t="s">
        <v>52</v>
      </c>
      <c r="G165" s="26" t="s">
        <v>52</v>
      </c>
      <c r="H165" s="26" t="s">
        <v>52</v>
      </c>
      <c r="I165" s="26">
        <v>102</v>
      </c>
      <c r="J165" s="26">
        <v>110</v>
      </c>
      <c r="K165" s="26">
        <v>127</v>
      </c>
      <c r="L165" s="26">
        <v>125</v>
      </c>
      <c r="M165" s="26">
        <v>143</v>
      </c>
      <c r="N165" s="26">
        <v>167</v>
      </c>
      <c r="O165" s="26">
        <v>199</v>
      </c>
      <c r="P165" s="26">
        <v>244</v>
      </c>
      <c r="Q165" s="26">
        <v>333</v>
      </c>
      <c r="R165" s="26">
        <v>387</v>
      </c>
      <c r="S165" s="26">
        <v>558</v>
      </c>
      <c r="T165" s="26">
        <v>673</v>
      </c>
      <c r="U165" s="26">
        <v>794</v>
      </c>
      <c r="V165" s="26" t="s">
        <v>52</v>
      </c>
      <c r="X165" s="5"/>
      <c r="Y165" s="15"/>
      <c r="Z165" s="15"/>
      <c r="AA165" s="15"/>
    </row>
    <row r="166" spans="1:255" x14ac:dyDescent="0.2">
      <c r="A166" s="5" t="s">
        <v>1348</v>
      </c>
      <c r="B166" s="15" t="s">
        <v>52</v>
      </c>
      <c r="C166" s="15" t="s">
        <v>52</v>
      </c>
      <c r="D166" s="15" t="s">
        <v>52</v>
      </c>
      <c r="E166" s="15" t="s">
        <v>52</v>
      </c>
      <c r="F166" s="15" t="s">
        <v>52</v>
      </c>
      <c r="G166" s="15" t="s">
        <v>52</v>
      </c>
      <c r="H166" s="15" t="s">
        <v>52</v>
      </c>
      <c r="I166" s="15" t="s">
        <v>52</v>
      </c>
      <c r="J166" s="15" t="s">
        <v>52</v>
      </c>
      <c r="K166" s="15" t="s">
        <v>52</v>
      </c>
      <c r="L166" s="15" t="s">
        <v>52</v>
      </c>
      <c r="M166" s="15" t="s">
        <v>52</v>
      </c>
      <c r="N166" s="15" t="s">
        <v>52</v>
      </c>
      <c r="O166" s="15" t="s">
        <v>52</v>
      </c>
      <c r="P166" s="15" t="s">
        <v>52</v>
      </c>
      <c r="Q166" s="15" t="s">
        <v>52</v>
      </c>
      <c r="R166" s="15" t="s">
        <v>52</v>
      </c>
      <c r="S166" s="15">
        <v>1.554041</v>
      </c>
      <c r="T166" s="15">
        <v>1.6739999999999999</v>
      </c>
      <c r="U166" s="15">
        <v>1.008</v>
      </c>
      <c r="V166" s="15">
        <v>0.85299999999999998</v>
      </c>
      <c r="X166" s="5" t="s">
        <v>1348</v>
      </c>
      <c r="Y166" s="15"/>
      <c r="Z166" s="15">
        <f t="shared" ref="Z166" si="20">U166</f>
        <v>1.008</v>
      </c>
      <c r="AA166" s="15">
        <v>0.85299999999999998</v>
      </c>
    </row>
    <row r="167" spans="1:255" x14ac:dyDescent="0.2">
      <c r="A167" s="5" t="s">
        <v>1277</v>
      </c>
      <c r="B167" s="22">
        <v>35706</v>
      </c>
      <c r="C167" s="22">
        <v>36220</v>
      </c>
      <c r="D167" s="22">
        <v>36586</v>
      </c>
      <c r="E167" s="22">
        <v>36949</v>
      </c>
      <c r="F167" s="22">
        <v>37319</v>
      </c>
      <c r="G167" s="22">
        <v>37683</v>
      </c>
      <c r="H167" s="22">
        <v>37683</v>
      </c>
      <c r="I167" s="22">
        <v>38412</v>
      </c>
      <c r="J167" s="22">
        <v>38875</v>
      </c>
      <c r="K167" s="22">
        <v>39270</v>
      </c>
      <c r="L167" s="22">
        <v>39601</v>
      </c>
      <c r="M167" s="22">
        <v>39961</v>
      </c>
      <c r="N167" s="22">
        <v>40290</v>
      </c>
      <c r="O167" s="22">
        <v>40666</v>
      </c>
      <c r="P167" s="22">
        <v>41031</v>
      </c>
      <c r="Q167" s="22">
        <v>41402</v>
      </c>
      <c r="R167" s="22">
        <v>41752</v>
      </c>
      <c r="S167" s="22">
        <v>41969</v>
      </c>
      <c r="T167" s="22">
        <v>42296</v>
      </c>
      <c r="U167" s="22">
        <v>42296</v>
      </c>
      <c r="V167" s="22">
        <v>42446</v>
      </c>
      <c r="X167" s="5" t="s">
        <v>1277</v>
      </c>
      <c r="Y167" s="20"/>
      <c r="Z167" s="22"/>
      <c r="AA167" s="22">
        <v>42446</v>
      </c>
    </row>
    <row r="168" spans="1:255" x14ac:dyDescent="0.2">
      <c r="A168" s="5" t="s">
        <v>1278</v>
      </c>
      <c r="B168" s="20" t="s">
        <v>1279</v>
      </c>
      <c r="C168" s="20" t="s">
        <v>1279</v>
      </c>
      <c r="D168" s="20" t="s">
        <v>1279</v>
      </c>
      <c r="E168" s="20" t="s">
        <v>1279</v>
      </c>
      <c r="F168" s="20" t="s">
        <v>1279</v>
      </c>
      <c r="G168" s="20" t="s">
        <v>1279</v>
      </c>
      <c r="H168" s="20" t="s">
        <v>1280</v>
      </c>
      <c r="I168" s="20" t="s">
        <v>1279</v>
      </c>
      <c r="J168" s="20" t="s">
        <v>1281</v>
      </c>
      <c r="K168" s="20" t="s">
        <v>1279</v>
      </c>
      <c r="L168" s="20" t="s">
        <v>1279</v>
      </c>
      <c r="M168" s="20" t="s">
        <v>1279</v>
      </c>
      <c r="N168" s="20" t="s">
        <v>1279</v>
      </c>
      <c r="O168" s="20" t="s">
        <v>1279</v>
      </c>
      <c r="P168" s="20" t="s">
        <v>1279</v>
      </c>
      <c r="Q168" s="20" t="s">
        <v>1279</v>
      </c>
      <c r="R168" s="20" t="s">
        <v>1281</v>
      </c>
      <c r="S168" s="20" t="s">
        <v>1281</v>
      </c>
      <c r="T168" s="20" t="s">
        <v>1281</v>
      </c>
      <c r="U168" s="20" t="s">
        <v>1280</v>
      </c>
      <c r="V168" s="20" t="s">
        <v>1280</v>
      </c>
      <c r="X168" s="5" t="s">
        <v>1278</v>
      </c>
      <c r="Y168" s="20"/>
      <c r="Z168" s="20"/>
      <c r="AA168" s="20" t="s">
        <v>1280</v>
      </c>
    </row>
    <row r="169" spans="1:255" x14ac:dyDescent="0.2">
      <c r="A169" s="5" t="s">
        <v>1282</v>
      </c>
      <c r="B169" s="20" t="s">
        <v>1284</v>
      </c>
      <c r="C169" s="20" t="s">
        <v>1284</v>
      </c>
      <c r="D169" s="20" t="s">
        <v>1284</v>
      </c>
      <c r="E169" s="20" t="s">
        <v>1284</v>
      </c>
      <c r="F169" s="20" t="s">
        <v>1284</v>
      </c>
      <c r="G169" s="20" t="s">
        <v>1284</v>
      </c>
      <c r="H169" s="20" t="s">
        <v>1284</v>
      </c>
      <c r="I169" s="20" t="s">
        <v>1284</v>
      </c>
      <c r="J169" s="20" t="s">
        <v>1284</v>
      </c>
      <c r="K169" s="20" t="s">
        <v>1284</v>
      </c>
      <c r="L169" s="20" t="s">
        <v>1284</v>
      </c>
      <c r="M169" s="20" t="s">
        <v>1284</v>
      </c>
      <c r="N169" s="20" t="s">
        <v>1284</v>
      </c>
      <c r="O169" s="20" t="s">
        <v>1284</v>
      </c>
      <c r="P169" s="20" t="s">
        <v>1284</v>
      </c>
      <c r="Q169" s="20" t="s">
        <v>1284</v>
      </c>
      <c r="R169" s="20" t="s">
        <v>1284</v>
      </c>
      <c r="S169" s="20" t="s">
        <v>1284</v>
      </c>
      <c r="T169" s="20" t="s">
        <v>1284</v>
      </c>
      <c r="U169" s="20" t="s">
        <v>1284</v>
      </c>
      <c r="V169" s="20" t="s">
        <v>1284</v>
      </c>
      <c r="X169" s="5" t="s">
        <v>1282</v>
      </c>
      <c r="Y169" s="20"/>
      <c r="Z169" s="20"/>
      <c r="AA169" s="20" t="s">
        <v>1284</v>
      </c>
    </row>
    <row r="170" spans="1:255" x14ac:dyDescent="0.2">
      <c r="A170" s="5"/>
      <c r="B170" s="5"/>
      <c r="C170" s="5"/>
      <c r="D170" s="5"/>
      <c r="E170" s="5"/>
      <c r="F170" s="5"/>
      <c r="G170" s="5"/>
      <c r="H170" s="5"/>
      <c r="I170" s="5"/>
      <c r="J170" s="5"/>
      <c r="K170" s="5"/>
      <c r="L170" s="5"/>
      <c r="M170" s="5"/>
      <c r="N170" s="5"/>
      <c r="O170" s="5"/>
      <c r="P170" s="5"/>
      <c r="Q170" s="5"/>
      <c r="R170" s="5"/>
      <c r="S170" s="5"/>
      <c r="T170" s="5"/>
      <c r="U170" s="5"/>
      <c r="V170" s="5"/>
      <c r="X170" s="5"/>
      <c r="Y170" s="5"/>
      <c r="Z170" s="5"/>
      <c r="AA170" s="5"/>
    </row>
    <row r="171" spans="1:255" x14ac:dyDescent="0.2">
      <c r="A171" s="8" t="s">
        <v>1102</v>
      </c>
      <c r="B171" s="8"/>
      <c r="C171" s="8"/>
      <c r="D171" s="8"/>
      <c r="E171" s="8"/>
      <c r="F171" s="8"/>
      <c r="G171" s="8"/>
      <c r="H171" s="8"/>
      <c r="I171" s="8"/>
      <c r="J171" s="8"/>
      <c r="K171" s="8"/>
      <c r="L171" s="8"/>
      <c r="M171" s="8"/>
      <c r="N171" s="8"/>
      <c r="O171" s="8"/>
      <c r="P171" s="8"/>
      <c r="Q171" s="8"/>
      <c r="R171" s="8"/>
      <c r="S171" s="8"/>
      <c r="T171" s="8"/>
      <c r="U171" s="8"/>
      <c r="V171" s="5"/>
      <c r="W171" s="9"/>
      <c r="X171" s="8" t="s">
        <v>1102</v>
      </c>
      <c r="Y171" s="8"/>
      <c r="Z171" s="8"/>
      <c r="AA171" s="8"/>
      <c r="AE171" s="9"/>
      <c r="AF171" s="9"/>
      <c r="AG171" s="9"/>
      <c r="AH171" s="9"/>
      <c r="AI171" s="9"/>
      <c r="AJ171" s="9"/>
      <c r="AK171" s="9"/>
      <c r="AL171" s="9"/>
      <c r="AM171" s="9"/>
      <c r="AN171" s="9"/>
      <c r="AO171" s="9"/>
      <c r="AP171" s="9"/>
      <c r="AQ171" s="9"/>
      <c r="AR171" s="9"/>
      <c r="AS171" s="9"/>
      <c r="AT171" s="9"/>
      <c r="AU171" s="9"/>
      <c r="AV171" s="9"/>
      <c r="AW171" s="9"/>
      <c r="AX171" s="9"/>
      <c r="AY171" s="9"/>
      <c r="AZ171" s="9"/>
      <c r="BA171" s="9"/>
      <c r="BB171" s="9"/>
      <c r="BC171" s="9"/>
      <c r="BD171" s="9"/>
      <c r="BE171" s="9"/>
      <c r="BF171" s="9"/>
      <c r="BG171" s="9"/>
      <c r="BH171" s="9"/>
      <c r="BI171" s="9"/>
      <c r="BJ171" s="9"/>
      <c r="BK171" s="9"/>
      <c r="BL171" s="9"/>
      <c r="BM171" s="9"/>
      <c r="BN171" s="9"/>
      <c r="BO171" s="9"/>
      <c r="BP171" s="9"/>
      <c r="BQ171" s="9"/>
      <c r="BR171" s="9"/>
      <c r="BS171" s="9"/>
      <c r="BT171" s="9"/>
      <c r="BU171" s="9"/>
      <c r="BV171" s="9"/>
      <c r="BW171" s="9"/>
      <c r="BX171" s="9"/>
      <c r="BY171" s="9"/>
      <c r="BZ171" s="9"/>
      <c r="CA171" s="9"/>
      <c r="CB171" s="9"/>
      <c r="CC171" s="9"/>
      <c r="CD171" s="9"/>
      <c r="CE171" s="9"/>
      <c r="CF171" s="9"/>
      <c r="CG171" s="9"/>
      <c r="CH171" s="9"/>
      <c r="CI171" s="9"/>
      <c r="CJ171" s="9"/>
      <c r="CK171" s="9"/>
      <c r="CL171" s="9"/>
      <c r="CM171" s="9"/>
      <c r="CN171" s="9"/>
      <c r="CO171" s="9"/>
      <c r="CP171" s="9"/>
      <c r="CQ171" s="9"/>
      <c r="CR171" s="9"/>
      <c r="CS171" s="9"/>
      <c r="CT171" s="9"/>
      <c r="CU171" s="9"/>
      <c r="CV171" s="9"/>
      <c r="CW171" s="9"/>
      <c r="CX171" s="9"/>
      <c r="CY171" s="9"/>
      <c r="CZ171" s="9"/>
      <c r="DA171" s="9"/>
      <c r="DB171" s="9"/>
      <c r="DC171" s="9"/>
      <c r="DD171" s="9"/>
      <c r="DE171" s="9"/>
      <c r="DF171" s="9"/>
      <c r="DG171" s="9"/>
      <c r="DH171" s="9"/>
      <c r="DI171" s="9"/>
      <c r="DJ171" s="9"/>
      <c r="DK171" s="9"/>
      <c r="DL171" s="9"/>
      <c r="DM171" s="9"/>
      <c r="DN171" s="9"/>
      <c r="DO171" s="9"/>
      <c r="DP171" s="9"/>
      <c r="DQ171" s="9"/>
      <c r="DR171" s="9"/>
      <c r="DS171" s="9"/>
      <c r="DT171" s="9"/>
      <c r="DU171" s="9"/>
      <c r="DV171" s="9"/>
      <c r="DW171" s="9"/>
      <c r="DX171" s="9"/>
      <c r="DY171" s="9"/>
      <c r="DZ171" s="9"/>
      <c r="EA171" s="9"/>
      <c r="EB171" s="9"/>
      <c r="EC171" s="9"/>
      <c r="ED171" s="9"/>
      <c r="EE171" s="9"/>
      <c r="EF171" s="9"/>
      <c r="EG171" s="9"/>
      <c r="EH171" s="9"/>
      <c r="EI171" s="9"/>
      <c r="EJ171" s="9"/>
      <c r="EK171" s="9"/>
      <c r="EL171" s="9"/>
      <c r="EM171" s="9"/>
      <c r="EN171" s="9"/>
      <c r="EO171" s="9"/>
      <c r="EP171" s="9"/>
      <c r="EQ171" s="9"/>
      <c r="ER171" s="9"/>
      <c r="ES171" s="9"/>
      <c r="ET171" s="9"/>
      <c r="EU171" s="9"/>
      <c r="EV171" s="9"/>
      <c r="EW171" s="9"/>
      <c r="EX171" s="9"/>
      <c r="EY171" s="9"/>
      <c r="EZ171" s="9"/>
      <c r="FA171" s="9"/>
      <c r="FB171" s="9"/>
      <c r="FC171" s="9"/>
      <c r="FD171" s="9"/>
      <c r="FE171" s="9"/>
      <c r="FF171" s="9"/>
      <c r="FG171" s="9"/>
      <c r="FH171" s="9"/>
      <c r="FI171" s="9"/>
      <c r="FJ171" s="9"/>
      <c r="FK171" s="9"/>
      <c r="FL171" s="9"/>
      <c r="FM171" s="9"/>
      <c r="FN171" s="9"/>
      <c r="FO171" s="9"/>
      <c r="FP171" s="9"/>
      <c r="FQ171" s="9"/>
      <c r="FR171" s="9"/>
      <c r="FS171" s="9"/>
      <c r="FT171" s="9"/>
      <c r="FU171" s="9"/>
      <c r="FV171" s="9"/>
      <c r="FW171" s="9"/>
      <c r="FX171" s="9"/>
      <c r="FY171" s="9"/>
      <c r="FZ171" s="9"/>
      <c r="GA171" s="9"/>
      <c r="GB171" s="9"/>
      <c r="GC171" s="9"/>
      <c r="GD171" s="9"/>
      <c r="GE171" s="9"/>
      <c r="GF171" s="9"/>
      <c r="GG171" s="9"/>
      <c r="GH171" s="9"/>
      <c r="GI171" s="9"/>
      <c r="GJ171" s="9"/>
      <c r="GK171" s="9"/>
      <c r="GL171" s="9"/>
      <c r="GM171" s="9"/>
      <c r="GN171" s="9"/>
      <c r="GO171" s="9"/>
      <c r="GP171" s="9"/>
      <c r="GQ171" s="9"/>
      <c r="GR171" s="9"/>
      <c r="GS171" s="9"/>
      <c r="GT171" s="9"/>
      <c r="GU171" s="9"/>
      <c r="GV171" s="9"/>
      <c r="GW171" s="9"/>
      <c r="GX171" s="9"/>
      <c r="GY171" s="9"/>
      <c r="GZ171" s="9"/>
      <c r="HA171" s="9"/>
      <c r="HB171" s="9"/>
      <c r="HC171" s="9"/>
      <c r="HD171" s="9"/>
      <c r="HE171" s="9"/>
      <c r="HF171" s="9"/>
      <c r="HG171" s="9"/>
      <c r="HH171" s="9"/>
      <c r="HI171" s="9"/>
      <c r="HJ171" s="9"/>
      <c r="HK171" s="9"/>
      <c r="HL171" s="9"/>
      <c r="HM171" s="9"/>
      <c r="HN171" s="9"/>
      <c r="HO171" s="9"/>
      <c r="HP171" s="9"/>
      <c r="HQ171" s="9"/>
      <c r="HR171" s="9"/>
      <c r="HS171" s="9"/>
      <c r="HT171" s="9"/>
      <c r="HU171" s="9"/>
      <c r="HV171" s="9"/>
      <c r="HW171" s="9"/>
      <c r="HX171" s="9"/>
      <c r="HY171" s="9"/>
      <c r="HZ171" s="9"/>
      <c r="IA171" s="9"/>
      <c r="IB171" s="9"/>
      <c r="IC171" s="9"/>
      <c r="ID171" s="9"/>
      <c r="IE171" s="9"/>
      <c r="IF171" s="9"/>
      <c r="IG171" s="9"/>
      <c r="IH171" s="9"/>
      <c r="II171" s="9"/>
      <c r="IJ171" s="9"/>
      <c r="IK171" s="9"/>
      <c r="IL171" s="9"/>
      <c r="IM171" s="9"/>
      <c r="IN171" s="9"/>
      <c r="IO171" s="9"/>
      <c r="IP171" s="9"/>
      <c r="IQ171" s="9"/>
      <c r="IR171" s="9"/>
      <c r="IS171" s="9"/>
      <c r="IT171" s="9"/>
      <c r="IU171" s="9"/>
    </row>
    <row r="172" spans="1:255" ht="31.5" x14ac:dyDescent="0.25">
      <c r="A172" s="10" t="s">
        <v>1011</v>
      </c>
      <c r="B172" s="11" t="s">
        <v>1153</v>
      </c>
      <c r="C172" s="11" t="s">
        <v>1013</v>
      </c>
      <c r="D172" s="11" t="s">
        <v>1014</v>
      </c>
      <c r="E172" s="11" t="s">
        <v>1015</v>
      </c>
      <c r="F172" s="11" t="s">
        <v>1016</v>
      </c>
      <c r="G172" s="11" t="s">
        <v>1017</v>
      </c>
      <c r="H172" s="11" t="s">
        <v>1018</v>
      </c>
      <c r="I172" s="11" t="s">
        <v>1019</v>
      </c>
      <c r="J172" s="11" t="s">
        <v>1222</v>
      </c>
      <c r="K172" s="11" t="s">
        <v>1021</v>
      </c>
      <c r="L172" s="11" t="s">
        <v>1223</v>
      </c>
      <c r="M172" s="11" t="s">
        <v>1023</v>
      </c>
      <c r="N172" s="11" t="s">
        <v>1024</v>
      </c>
      <c r="O172" s="11" t="s">
        <v>1025</v>
      </c>
      <c r="P172" s="11" t="s">
        <v>1026</v>
      </c>
      <c r="Q172" s="11" t="s">
        <v>1027</v>
      </c>
      <c r="R172" s="11" t="s">
        <v>1224</v>
      </c>
      <c r="S172" s="11" t="s">
        <v>1225</v>
      </c>
      <c r="T172" s="11" t="s">
        <v>1226</v>
      </c>
      <c r="U172" s="11" t="s">
        <v>1031</v>
      </c>
      <c r="V172" s="5"/>
      <c r="X172" s="10" t="s">
        <v>1011</v>
      </c>
      <c r="Y172" s="11" t="s">
        <v>1227</v>
      </c>
      <c r="Z172" s="11" t="s">
        <v>1228</v>
      </c>
      <c r="AA172" s="11" t="s">
        <v>1229</v>
      </c>
      <c r="AD172" s="9"/>
    </row>
    <row r="173" spans="1:255" x14ac:dyDescent="0.2">
      <c r="A173" s="12" t="s">
        <v>1035</v>
      </c>
      <c r="B173" s="13" t="s">
        <v>88</v>
      </c>
      <c r="C173" s="13" t="s">
        <v>88</v>
      </c>
      <c r="D173" s="13" t="s">
        <v>88</v>
      </c>
      <c r="E173" s="13" t="s">
        <v>88</v>
      </c>
      <c r="F173" s="13" t="s">
        <v>88</v>
      </c>
      <c r="G173" s="13" t="s">
        <v>88</v>
      </c>
      <c r="H173" s="13" t="s">
        <v>88</v>
      </c>
      <c r="I173" s="13" t="s">
        <v>88</v>
      </c>
      <c r="J173" s="13" t="s">
        <v>88</v>
      </c>
      <c r="K173" s="13" t="s">
        <v>88</v>
      </c>
      <c r="L173" s="13" t="s">
        <v>88</v>
      </c>
      <c r="M173" s="13" t="s">
        <v>88</v>
      </c>
      <c r="N173" s="13" t="s">
        <v>88</v>
      </c>
      <c r="O173" s="13" t="s">
        <v>88</v>
      </c>
      <c r="P173" s="13" t="s">
        <v>88</v>
      </c>
      <c r="Q173" s="13" t="s">
        <v>88</v>
      </c>
      <c r="R173" s="13" t="s">
        <v>88</v>
      </c>
      <c r="S173" s="13" t="s">
        <v>88</v>
      </c>
      <c r="T173" s="13" t="s">
        <v>88</v>
      </c>
      <c r="U173" s="13" t="s">
        <v>88</v>
      </c>
      <c r="V173" s="5"/>
      <c r="X173" s="12" t="s">
        <v>1035</v>
      </c>
      <c r="Y173" s="13" t="s">
        <v>88</v>
      </c>
      <c r="Z173" s="13" t="s">
        <v>88</v>
      </c>
      <c r="AA173" s="13" t="s">
        <v>88</v>
      </c>
    </row>
    <row r="174" spans="1:255" ht="10.5" x14ac:dyDescent="0.2">
      <c r="A174" s="14" t="s">
        <v>1230</v>
      </c>
      <c r="B174" s="5"/>
      <c r="C174" s="5"/>
      <c r="D174" s="5"/>
      <c r="E174" s="5"/>
      <c r="F174" s="5"/>
      <c r="G174" s="5"/>
      <c r="H174" s="5"/>
      <c r="I174" s="5"/>
      <c r="J174" s="5"/>
      <c r="K174" s="5"/>
      <c r="L174" s="5"/>
      <c r="M174" s="5"/>
      <c r="N174" s="5"/>
      <c r="O174" s="5"/>
      <c r="P174" s="5"/>
      <c r="Q174" s="5"/>
      <c r="R174" s="5"/>
      <c r="S174" s="5"/>
      <c r="T174" s="5"/>
      <c r="U174" s="5"/>
      <c r="V174" s="5"/>
      <c r="X174" s="14" t="s">
        <v>1230</v>
      </c>
      <c r="Y174" s="5"/>
      <c r="Z174" s="5"/>
      <c r="AA174" s="5"/>
    </row>
    <row r="175" spans="1:255" ht="10.5" x14ac:dyDescent="0.2">
      <c r="A175" s="14" t="s">
        <v>161</v>
      </c>
      <c r="B175" s="17">
        <v>0</v>
      </c>
      <c r="C175" s="17">
        <v>8.4441000000000002E-2</v>
      </c>
      <c r="D175" s="17">
        <v>0.21068000000000001</v>
      </c>
      <c r="E175" s="17">
        <v>0.28825699999999999</v>
      </c>
      <c r="F175" s="17">
        <v>0.19723499999999999</v>
      </c>
      <c r="G175" s="17">
        <v>0.262459</v>
      </c>
      <c r="H175" s="17">
        <v>0.65844400000000003</v>
      </c>
      <c r="I175" s="17">
        <v>1.1775009999999999</v>
      </c>
      <c r="J175" s="17">
        <v>1.679198</v>
      </c>
      <c r="K175" s="17">
        <v>0.81915099999999996</v>
      </c>
      <c r="L175" s="17">
        <v>0.80801699999999999</v>
      </c>
      <c r="M175" s="17">
        <v>2.0670459999999999</v>
      </c>
      <c r="N175" s="17">
        <v>3.9223560000000002</v>
      </c>
      <c r="O175" s="17">
        <v>5.14642</v>
      </c>
      <c r="P175" s="17">
        <v>7.0617850000000004</v>
      </c>
      <c r="Q175" s="17">
        <v>11.534307999999999</v>
      </c>
      <c r="R175" s="17">
        <v>17.196116</v>
      </c>
      <c r="S175" s="17">
        <v>20.585726999999999</v>
      </c>
      <c r="T175" s="17">
        <v>27.352</v>
      </c>
      <c r="U175" s="17">
        <v>31.117000000000001</v>
      </c>
      <c r="V175" s="5"/>
      <c r="X175" s="14" t="s">
        <v>161</v>
      </c>
      <c r="Y175" s="17">
        <v>13.548</v>
      </c>
      <c r="Z175" s="17">
        <f>U175-Y175</f>
        <v>17.569000000000003</v>
      </c>
      <c r="AA175" s="17">
        <v>11.933</v>
      </c>
    </row>
    <row r="176" spans="1:255" x14ac:dyDescent="0.2">
      <c r="A176" s="5" t="s">
        <v>1235</v>
      </c>
      <c r="B176" s="15">
        <v>2.5026E-2</v>
      </c>
      <c r="C176" s="15">
        <v>3.8841000000000001E-2</v>
      </c>
      <c r="D176" s="15">
        <v>5.4002000000000001E-2</v>
      </c>
      <c r="E176" s="15">
        <v>6.4930000000000002E-2</v>
      </c>
      <c r="F176" s="15">
        <v>8.3861000000000005E-2</v>
      </c>
      <c r="G176" s="15">
        <v>0.15209800000000001</v>
      </c>
      <c r="H176" s="15">
        <v>0.217893</v>
      </c>
      <c r="I176" s="15">
        <v>0.14410100000000001</v>
      </c>
      <c r="J176" s="15">
        <v>0.18634500000000001</v>
      </c>
      <c r="K176" s="15">
        <v>0.215922</v>
      </c>
      <c r="L176" s="15">
        <v>0.173344</v>
      </c>
      <c r="M176" s="15">
        <v>9.1423000000000004E-2</v>
      </c>
      <c r="N176" s="15">
        <v>0.10013900000000001</v>
      </c>
      <c r="O176" s="15">
        <v>0.27379599999999998</v>
      </c>
      <c r="P176" s="15">
        <v>0.27246100000000001</v>
      </c>
      <c r="Q176" s="15">
        <v>0.23738699999999999</v>
      </c>
      <c r="R176" s="15">
        <v>0.47457500000000002</v>
      </c>
      <c r="S176" s="15">
        <v>1.0683819999999999</v>
      </c>
      <c r="T176" s="15">
        <v>1.5649999999999999</v>
      </c>
      <c r="U176" s="15">
        <v>1.794</v>
      </c>
      <c r="V176" s="5"/>
      <c r="X176" s="5" t="s">
        <v>1235</v>
      </c>
      <c r="Y176" s="15">
        <v>0.89</v>
      </c>
      <c r="Z176" s="15">
        <f t="shared" ref="Z176:Z178" si="21">U176-Y176</f>
        <v>0.90400000000000003</v>
      </c>
      <c r="AA176" s="15">
        <v>0.92</v>
      </c>
    </row>
    <row r="177" spans="1:29" x14ac:dyDescent="0.2">
      <c r="A177" s="5" t="s">
        <v>1236</v>
      </c>
      <c r="B177" s="15">
        <v>0</v>
      </c>
      <c r="C177" s="15">
        <v>0</v>
      </c>
      <c r="D177" s="15">
        <v>0</v>
      </c>
      <c r="E177" s="15">
        <v>0</v>
      </c>
      <c r="F177" s="15">
        <v>0</v>
      </c>
      <c r="G177" s="15">
        <v>0</v>
      </c>
      <c r="H177" s="15">
        <v>5.1584999999999999E-2</v>
      </c>
      <c r="I177" s="15">
        <v>0</v>
      </c>
      <c r="J177" s="15">
        <v>0</v>
      </c>
      <c r="K177" s="15">
        <v>0</v>
      </c>
      <c r="L177" s="15">
        <v>0</v>
      </c>
      <c r="M177" s="15">
        <v>0</v>
      </c>
      <c r="N177" s="15">
        <v>0</v>
      </c>
      <c r="O177" s="15">
        <v>0</v>
      </c>
      <c r="P177" s="15">
        <v>0</v>
      </c>
      <c r="Q177" s="15">
        <v>0</v>
      </c>
      <c r="R177" s="15">
        <v>0</v>
      </c>
      <c r="S177" s="15">
        <v>0</v>
      </c>
      <c r="T177" s="15">
        <v>0</v>
      </c>
      <c r="U177" s="15">
        <v>0</v>
      </c>
      <c r="V177" s="5"/>
      <c r="X177" s="5" t="s">
        <v>1236</v>
      </c>
      <c r="Y177" s="15">
        <v>0.16300000000000001</v>
      </c>
      <c r="Z177" s="15">
        <f t="shared" si="21"/>
        <v>-0.16300000000000001</v>
      </c>
      <c r="AA177" s="15">
        <v>0.161</v>
      </c>
    </row>
    <row r="178" spans="1:29" ht="10.5" x14ac:dyDescent="0.2">
      <c r="A178" s="14" t="s">
        <v>1349</v>
      </c>
      <c r="B178" s="16">
        <v>2.5026E-2</v>
      </c>
      <c r="C178" s="16">
        <v>3.8841000000000001E-2</v>
      </c>
      <c r="D178" s="16">
        <v>5.4002000000000001E-2</v>
      </c>
      <c r="E178" s="16">
        <v>6.4930000000000002E-2</v>
      </c>
      <c r="F178" s="16">
        <v>8.3861000000000005E-2</v>
      </c>
      <c r="G178" s="16">
        <v>0.15209800000000001</v>
      </c>
      <c r="H178" s="16">
        <v>0.269478</v>
      </c>
      <c r="I178" s="16">
        <v>0.14410100000000001</v>
      </c>
      <c r="J178" s="16">
        <v>0.18634500000000001</v>
      </c>
      <c r="K178" s="16">
        <v>0.215922</v>
      </c>
      <c r="L178" s="16">
        <v>0.173344</v>
      </c>
      <c r="M178" s="16">
        <v>9.1423000000000004E-2</v>
      </c>
      <c r="N178" s="16">
        <v>0.10013900000000001</v>
      </c>
      <c r="O178" s="16">
        <v>0.27379599999999998</v>
      </c>
      <c r="P178" s="16">
        <v>0.27246100000000001</v>
      </c>
      <c r="Q178" s="16">
        <v>0.23738699999999999</v>
      </c>
      <c r="R178" s="16">
        <v>0.47457500000000002</v>
      </c>
      <c r="S178" s="16">
        <v>1.0683819999999999</v>
      </c>
      <c r="T178" s="16">
        <v>1.5649999999999999</v>
      </c>
      <c r="U178" s="16">
        <v>1.794</v>
      </c>
      <c r="V178" s="5"/>
      <c r="X178" s="14" t="s">
        <v>1349</v>
      </c>
      <c r="Y178" s="16">
        <v>1.0529999999999999</v>
      </c>
      <c r="Z178" s="16">
        <f t="shared" si="21"/>
        <v>0.7410000000000001</v>
      </c>
      <c r="AA178" s="16">
        <v>1.081</v>
      </c>
    </row>
    <row r="179" spans="1:29" x14ac:dyDescent="0.2">
      <c r="A179" s="5"/>
      <c r="B179" s="5"/>
      <c r="C179" s="5"/>
      <c r="D179" s="5"/>
      <c r="E179" s="5"/>
      <c r="F179" s="5"/>
      <c r="G179" s="5"/>
      <c r="H179" s="5"/>
      <c r="I179" s="5"/>
      <c r="J179" s="5"/>
      <c r="K179" s="5"/>
      <c r="L179" s="5"/>
      <c r="M179" s="5"/>
      <c r="N179" s="5"/>
      <c r="O179" s="5"/>
      <c r="P179" s="5"/>
      <c r="Q179" s="5"/>
      <c r="R179" s="5"/>
      <c r="S179" s="5"/>
      <c r="T179" s="5"/>
      <c r="U179" s="5"/>
      <c r="V179" s="5"/>
      <c r="X179" s="5"/>
      <c r="Y179" s="5"/>
      <c r="Z179" s="5"/>
      <c r="AA179" s="5"/>
    </row>
    <row r="180" spans="1:29" x14ac:dyDescent="0.2">
      <c r="A180" s="5" t="s">
        <v>1350</v>
      </c>
      <c r="B180" s="15">
        <v>8.3300000000000006E-3</v>
      </c>
      <c r="C180" s="15">
        <v>5.5529999999999998E-3</v>
      </c>
      <c r="D180" s="15">
        <v>0</v>
      </c>
      <c r="E180" s="15">
        <v>0</v>
      </c>
      <c r="F180" s="15">
        <v>0</v>
      </c>
      <c r="G180" s="15">
        <v>0</v>
      </c>
      <c r="H180" s="15">
        <v>0</v>
      </c>
      <c r="I180" s="15">
        <v>0</v>
      </c>
      <c r="J180" s="15">
        <v>0</v>
      </c>
      <c r="K180" s="15">
        <v>0</v>
      </c>
      <c r="L180" s="15">
        <v>0</v>
      </c>
      <c r="M180" s="15">
        <v>0</v>
      </c>
      <c r="N180" s="15">
        <v>0</v>
      </c>
      <c r="O180" s="15">
        <v>0</v>
      </c>
      <c r="P180" s="15">
        <v>0</v>
      </c>
      <c r="Q180" s="15">
        <v>0</v>
      </c>
      <c r="R180" s="15">
        <v>0</v>
      </c>
      <c r="S180" s="15">
        <v>9.8325999999999997E-2</v>
      </c>
      <c r="T180" s="15">
        <v>0.21299999999999999</v>
      </c>
      <c r="U180" s="15">
        <v>0.35299999999999998</v>
      </c>
      <c r="V180" s="5"/>
      <c r="X180" s="5"/>
      <c r="Y180" s="5"/>
      <c r="Z180" s="5"/>
      <c r="AA180" s="5"/>
    </row>
    <row r="181" spans="1:29" x14ac:dyDescent="0.2">
      <c r="A181" s="5" t="s">
        <v>1351</v>
      </c>
      <c r="B181" s="15">
        <v>0</v>
      </c>
      <c r="C181" s="15">
        <v>0</v>
      </c>
      <c r="D181" s="15">
        <v>3.003E-3</v>
      </c>
      <c r="E181" s="15">
        <v>2.5000000000000001E-4</v>
      </c>
      <c r="F181" s="15">
        <v>1.436E-3</v>
      </c>
      <c r="G181" s="15">
        <v>0</v>
      </c>
      <c r="H181" s="15">
        <v>0</v>
      </c>
      <c r="I181" s="15">
        <v>5.483E-3</v>
      </c>
      <c r="J181" s="15">
        <v>3.7680000000000001E-3</v>
      </c>
      <c r="K181" s="15">
        <v>0</v>
      </c>
      <c r="L181" s="15">
        <v>0</v>
      </c>
      <c r="M181" s="15">
        <v>0</v>
      </c>
      <c r="N181" s="15">
        <v>9.0790000000000003E-3</v>
      </c>
      <c r="O181" s="15">
        <v>0</v>
      </c>
      <c r="P181" s="15">
        <v>0</v>
      </c>
      <c r="Q181" s="15">
        <v>0</v>
      </c>
      <c r="R181" s="15">
        <v>2.8476999999999999E-2</v>
      </c>
      <c r="S181" s="15">
        <v>0</v>
      </c>
      <c r="T181" s="15">
        <v>0</v>
      </c>
      <c r="U181" s="15">
        <v>2.8000000000000001E-2</v>
      </c>
      <c r="V181" s="5"/>
      <c r="X181" s="5" t="s">
        <v>1351</v>
      </c>
      <c r="Y181" s="15">
        <v>0</v>
      </c>
      <c r="Z181" s="15">
        <f>U181-Y181</f>
        <v>2.8000000000000001E-2</v>
      </c>
      <c r="AA181" s="15">
        <v>0</v>
      </c>
    </row>
    <row r="182" spans="1:29" x14ac:dyDescent="0.2">
      <c r="A182" s="5" t="s">
        <v>1352</v>
      </c>
      <c r="B182" s="15">
        <v>0</v>
      </c>
      <c r="C182" s="15">
        <v>0</v>
      </c>
      <c r="D182" s="15">
        <v>3.0980000000000001E-3</v>
      </c>
      <c r="E182" s="15">
        <v>0</v>
      </c>
      <c r="F182" s="15">
        <v>0</v>
      </c>
      <c r="G182" s="15">
        <v>0</v>
      </c>
      <c r="H182" s="15">
        <v>0</v>
      </c>
      <c r="I182" s="15">
        <v>0</v>
      </c>
      <c r="J182" s="15">
        <v>0</v>
      </c>
      <c r="K182" s="15">
        <v>0</v>
      </c>
      <c r="L182" s="15">
        <v>0</v>
      </c>
      <c r="M182" s="15">
        <v>0</v>
      </c>
      <c r="N182" s="15">
        <v>0</v>
      </c>
      <c r="O182" s="15">
        <v>0</v>
      </c>
      <c r="P182" s="15">
        <v>0</v>
      </c>
      <c r="Q182" s="15">
        <v>0</v>
      </c>
      <c r="R182" s="15">
        <v>0</v>
      </c>
      <c r="S182" s="15">
        <v>0</v>
      </c>
      <c r="T182" s="15">
        <v>0</v>
      </c>
      <c r="U182" s="15">
        <v>0</v>
      </c>
      <c r="V182" s="5"/>
      <c r="X182" s="5"/>
      <c r="Y182" s="15"/>
      <c r="Z182" s="15"/>
      <c r="AA182" s="15"/>
    </row>
    <row r="183" spans="1:29" x14ac:dyDescent="0.2">
      <c r="A183" s="5" t="s">
        <v>1353</v>
      </c>
      <c r="B183" s="15">
        <v>0</v>
      </c>
      <c r="C183" s="15">
        <v>0</v>
      </c>
      <c r="D183" s="15">
        <v>0</v>
      </c>
      <c r="E183" s="15">
        <v>0</v>
      </c>
      <c r="F183" s="15">
        <v>0</v>
      </c>
      <c r="G183" s="15">
        <v>0</v>
      </c>
      <c r="H183" s="15">
        <v>0</v>
      </c>
      <c r="I183" s="15">
        <v>0</v>
      </c>
      <c r="J183" s="15">
        <v>0</v>
      </c>
      <c r="K183" s="15">
        <v>0</v>
      </c>
      <c r="L183" s="15">
        <v>0.34357500000000002</v>
      </c>
      <c r="M183" s="15">
        <v>0.32500000000000001</v>
      </c>
      <c r="N183" s="15">
        <v>6.7757999999999999E-2</v>
      </c>
      <c r="O183" s="15">
        <v>0</v>
      </c>
      <c r="P183" s="15">
        <v>0</v>
      </c>
      <c r="Q183" s="15">
        <v>0.15603700000000001</v>
      </c>
      <c r="R183" s="15">
        <v>0.915798</v>
      </c>
      <c r="S183" s="15">
        <v>0.73489099999999996</v>
      </c>
      <c r="T183" s="15">
        <v>0</v>
      </c>
      <c r="U183" s="15">
        <v>5.0000000000000001E-3</v>
      </c>
      <c r="V183" s="5"/>
      <c r="X183" s="5" t="s">
        <v>1353</v>
      </c>
      <c r="Y183" s="15">
        <v>1E-3</v>
      </c>
      <c r="Z183" s="15">
        <f t="shared" ref="Z183:Z189" si="22">U183-Y183</f>
        <v>4.0000000000000001E-3</v>
      </c>
      <c r="AA183" s="15">
        <v>0.189</v>
      </c>
    </row>
    <row r="184" spans="1:29" x14ac:dyDescent="0.2">
      <c r="A184" s="5" t="s">
        <v>1354</v>
      </c>
      <c r="B184" s="15">
        <v>1.1073E-2</v>
      </c>
      <c r="C184" s="15">
        <v>9.7524E-2</v>
      </c>
      <c r="D184" s="15">
        <v>0.27015400000000001</v>
      </c>
      <c r="E184" s="15">
        <v>0.48831799999999997</v>
      </c>
      <c r="F184" s="15">
        <v>0.33627600000000002</v>
      </c>
      <c r="G184" s="15">
        <v>0.57836799999999999</v>
      </c>
      <c r="H184" s="15">
        <v>0.52527599999999997</v>
      </c>
      <c r="I184" s="15">
        <v>0.47937000000000002</v>
      </c>
      <c r="J184" s="15">
        <v>0.314419</v>
      </c>
      <c r="K184" s="15">
        <v>0.32797799999999999</v>
      </c>
      <c r="L184" s="15">
        <v>0.50448400000000004</v>
      </c>
      <c r="M184" s="15">
        <v>1.2665919999999999</v>
      </c>
      <c r="N184" s="15">
        <v>1.815083</v>
      </c>
      <c r="O184" s="15">
        <v>2.253587</v>
      </c>
      <c r="P184" s="15">
        <v>2.9709699999999999</v>
      </c>
      <c r="Q184" s="15">
        <v>4.7553840000000003</v>
      </c>
      <c r="R184" s="15">
        <v>5.0939909999999999</v>
      </c>
      <c r="S184" s="15">
        <v>1.225395</v>
      </c>
      <c r="T184" s="15">
        <v>-2.2000000000000002</v>
      </c>
      <c r="U184" s="15">
        <v>1.1459999999999999</v>
      </c>
      <c r="V184" s="5"/>
      <c r="X184" s="5" t="s">
        <v>1354</v>
      </c>
      <c r="Y184" s="15">
        <v>-0.3</v>
      </c>
      <c r="Z184" s="15">
        <f t="shared" si="22"/>
        <v>1.446</v>
      </c>
      <c r="AA184" s="15">
        <v>-0.9</v>
      </c>
    </row>
    <row r="185" spans="1:29" x14ac:dyDescent="0.2">
      <c r="A185" s="5" t="s">
        <v>1355</v>
      </c>
      <c r="B185" s="15">
        <v>-0.2</v>
      </c>
      <c r="C185" s="15">
        <v>-0.7</v>
      </c>
      <c r="D185" s="15">
        <v>-1.1000000000000001</v>
      </c>
      <c r="E185" s="15">
        <v>-2.1</v>
      </c>
      <c r="F185" s="15">
        <v>-1.3</v>
      </c>
      <c r="G185" s="15">
        <v>-1.3</v>
      </c>
      <c r="H185" s="15">
        <v>-9.9</v>
      </c>
      <c r="I185" s="15">
        <v>6.5610359999999996</v>
      </c>
      <c r="J185" s="15">
        <v>-3.5</v>
      </c>
      <c r="K185" s="15">
        <v>-2.2999999999999998</v>
      </c>
      <c r="L185" s="15">
        <v>-2.2000000000000002</v>
      </c>
      <c r="M185" s="15">
        <v>-3.6</v>
      </c>
      <c r="N185" s="15">
        <v>-1.1000000000000001</v>
      </c>
      <c r="O185" s="15">
        <v>-1</v>
      </c>
      <c r="P185" s="15">
        <v>-9.3000000000000007</v>
      </c>
      <c r="Q185" s="15">
        <v>-18.899999999999999</v>
      </c>
      <c r="R185" s="15">
        <v>-22.1</v>
      </c>
      <c r="S185" s="15">
        <v>-13.5</v>
      </c>
      <c r="T185" s="15">
        <v>-12.4</v>
      </c>
      <c r="U185" s="15">
        <v>-22.4</v>
      </c>
      <c r="V185" s="5"/>
      <c r="X185" s="5" t="s">
        <v>1355</v>
      </c>
      <c r="Y185" s="15">
        <v>-12.1</v>
      </c>
      <c r="Z185" s="15">
        <f t="shared" si="22"/>
        <v>-10.299999999999999</v>
      </c>
      <c r="AA185" s="15">
        <v>6.7060000000000004</v>
      </c>
    </row>
    <row r="186" spans="1:29" x14ac:dyDescent="0.2">
      <c r="A186" s="5" t="s">
        <v>1356</v>
      </c>
      <c r="B186" s="15">
        <v>0</v>
      </c>
      <c r="C186" s="15">
        <v>0.100844</v>
      </c>
      <c r="D186" s="15">
        <v>0</v>
      </c>
      <c r="E186" s="15">
        <v>1.6943E-2</v>
      </c>
      <c r="F186" s="15">
        <v>-0.1</v>
      </c>
      <c r="G186" s="15">
        <v>-0.2</v>
      </c>
      <c r="H186" s="15">
        <v>-1.1000000000000001</v>
      </c>
      <c r="I186" s="15">
        <v>0.99104700000000001</v>
      </c>
      <c r="J186" s="15">
        <v>4.3552E-2</v>
      </c>
      <c r="K186" s="15">
        <v>0</v>
      </c>
      <c r="L186" s="15">
        <v>7.9530000000000003E-2</v>
      </c>
      <c r="M186" s="15">
        <v>-0.2</v>
      </c>
      <c r="N186" s="15">
        <v>8.1599999999999999E-4</v>
      </c>
      <c r="O186" s="15">
        <v>0.13867299999999999</v>
      </c>
      <c r="P186" s="15">
        <v>-0.6</v>
      </c>
      <c r="Q186" s="15">
        <v>-0.2</v>
      </c>
      <c r="R186" s="15">
        <v>-0.9</v>
      </c>
      <c r="S186" s="15">
        <v>-2.2999999999999998</v>
      </c>
      <c r="T186" s="15">
        <v>-0.2</v>
      </c>
      <c r="U186" s="15">
        <v>1.83</v>
      </c>
      <c r="V186" s="5"/>
      <c r="X186" s="5" t="s">
        <v>1356</v>
      </c>
      <c r="Y186" s="15">
        <v>2.2440000000000002</v>
      </c>
      <c r="Z186" s="15">
        <f t="shared" si="22"/>
        <v>-0.41400000000000015</v>
      </c>
      <c r="AA186" s="15">
        <v>-1.3</v>
      </c>
    </row>
    <row r="187" spans="1:29" x14ac:dyDescent="0.2">
      <c r="A187" s="5" t="s">
        <v>1357</v>
      </c>
      <c r="B187" s="15">
        <v>0.21904799999999999</v>
      </c>
      <c r="C187" s="15">
        <v>0.59499999999999997</v>
      </c>
      <c r="D187" s="15">
        <v>0.73174700000000004</v>
      </c>
      <c r="E187" s="15">
        <v>0.804728</v>
      </c>
      <c r="F187" s="15">
        <v>0</v>
      </c>
      <c r="G187" s="15">
        <v>1.083418</v>
      </c>
      <c r="H187" s="15">
        <v>8.8393650000000008</v>
      </c>
      <c r="I187" s="15">
        <v>-4</v>
      </c>
      <c r="J187" s="15">
        <v>1.18896</v>
      </c>
      <c r="K187" s="15">
        <v>-1.9</v>
      </c>
      <c r="L187" s="15">
        <v>0.67960900000000002</v>
      </c>
      <c r="M187" s="15">
        <v>3.8643239999999999</v>
      </c>
      <c r="N187" s="15">
        <v>1.7447680000000001</v>
      </c>
      <c r="O187" s="15">
        <v>0.80915000000000004</v>
      </c>
      <c r="P187" s="15">
        <v>8.59131</v>
      </c>
      <c r="Q187" s="15">
        <v>3.8963860000000001</v>
      </c>
      <c r="R187" s="15">
        <v>13.493892000000001</v>
      </c>
      <c r="S187" s="15">
        <v>9.6823390000000007</v>
      </c>
      <c r="T187" s="15">
        <v>21.352</v>
      </c>
      <c r="U187" s="15">
        <v>33.563000000000002</v>
      </c>
      <c r="V187" s="5"/>
      <c r="X187" s="5" t="s">
        <v>1357</v>
      </c>
      <c r="Y187" s="15">
        <v>5.0389999999999997</v>
      </c>
      <c r="Z187" s="15">
        <f t="shared" si="22"/>
        <v>28.524000000000001</v>
      </c>
      <c r="AA187" s="15">
        <v>0.72499999999999998</v>
      </c>
      <c r="AC187" s="9"/>
    </row>
    <row r="188" spans="1:29" x14ac:dyDescent="0.2">
      <c r="A188" s="5" t="s">
        <v>1358</v>
      </c>
      <c r="B188" s="15">
        <v>0</v>
      </c>
      <c r="C188" s="15">
        <v>0</v>
      </c>
      <c r="D188" s="15">
        <v>0</v>
      </c>
      <c r="E188" s="15">
        <v>0</v>
      </c>
      <c r="F188" s="15">
        <v>0</v>
      </c>
      <c r="G188" s="15">
        <v>0</v>
      </c>
      <c r="H188" s="15">
        <v>0</v>
      </c>
      <c r="I188" s="15">
        <v>0</v>
      </c>
      <c r="J188" s="15">
        <v>0</v>
      </c>
      <c r="K188" s="15">
        <v>0</v>
      </c>
      <c r="L188" s="15">
        <v>0</v>
      </c>
      <c r="M188" s="15">
        <v>0</v>
      </c>
      <c r="N188" s="15">
        <v>0</v>
      </c>
      <c r="O188" s="15">
        <v>0</v>
      </c>
      <c r="P188" s="15">
        <v>0</v>
      </c>
      <c r="Q188" s="15">
        <v>0</v>
      </c>
      <c r="R188" s="15">
        <v>0.41649999999999998</v>
      </c>
      <c r="S188" s="15">
        <v>0</v>
      </c>
      <c r="T188" s="15">
        <v>0</v>
      </c>
      <c r="U188" s="15">
        <v>0</v>
      </c>
      <c r="V188" s="5"/>
      <c r="X188" s="5" t="s">
        <v>1358</v>
      </c>
      <c r="Y188" s="15">
        <v>0</v>
      </c>
      <c r="Z188" s="15">
        <f t="shared" si="22"/>
        <v>0</v>
      </c>
      <c r="AA188" s="15">
        <v>0</v>
      </c>
    </row>
    <row r="189" spans="1:29" ht="10.5" x14ac:dyDescent="0.2">
      <c r="A189" s="14" t="s">
        <v>1213</v>
      </c>
      <c r="B189" s="16">
        <v>3.0365E-2</v>
      </c>
      <c r="C189" s="16">
        <v>0.25338500000000003</v>
      </c>
      <c r="D189" s="16">
        <v>0.191555</v>
      </c>
      <c r="E189" s="16">
        <v>-0.5</v>
      </c>
      <c r="F189" s="16">
        <v>-0.8</v>
      </c>
      <c r="G189" s="16">
        <v>0.66260600000000003</v>
      </c>
      <c r="H189" s="16">
        <v>-0.7</v>
      </c>
      <c r="I189" s="16">
        <v>5.3384619999999998</v>
      </c>
      <c r="J189" s="16">
        <v>-0.1</v>
      </c>
      <c r="K189" s="16">
        <v>-2.9</v>
      </c>
      <c r="L189" s="16">
        <v>0.41661599999999999</v>
      </c>
      <c r="M189" s="16">
        <v>3.800249</v>
      </c>
      <c r="N189" s="16">
        <v>6.5251669999999997</v>
      </c>
      <c r="O189" s="16">
        <v>7.5729470000000001</v>
      </c>
      <c r="P189" s="16">
        <v>8.9406809999999997</v>
      </c>
      <c r="Q189" s="16">
        <v>1.458502</v>
      </c>
      <c r="R189" s="16">
        <v>14.596748</v>
      </c>
      <c r="S189" s="16">
        <v>17.656744</v>
      </c>
      <c r="T189" s="16">
        <v>35.673000000000002</v>
      </c>
      <c r="U189" s="16">
        <v>47.411000000000001</v>
      </c>
      <c r="V189" s="5"/>
      <c r="X189" s="14" t="s">
        <v>1213</v>
      </c>
      <c r="Y189" s="16">
        <v>9.5549999999999997</v>
      </c>
      <c r="Z189" s="16">
        <f t="shared" si="22"/>
        <v>37.856000000000002</v>
      </c>
      <c r="AA189" s="16">
        <v>18.497</v>
      </c>
    </row>
    <row r="190" spans="1:29" x14ac:dyDescent="0.2">
      <c r="A190" s="5"/>
      <c r="B190" s="5"/>
      <c r="C190" s="5"/>
      <c r="D190" s="5"/>
      <c r="E190" s="5"/>
      <c r="F190" s="5"/>
      <c r="G190" s="5"/>
      <c r="H190" s="5"/>
      <c r="I190" s="5"/>
      <c r="J190" s="5"/>
      <c r="K190" s="5"/>
      <c r="L190" s="5"/>
      <c r="M190" s="5"/>
      <c r="N190" s="5"/>
      <c r="O190" s="5"/>
      <c r="P190" s="5"/>
      <c r="Q190" s="5"/>
      <c r="R190" s="5"/>
      <c r="S190" s="5"/>
      <c r="T190" s="5"/>
      <c r="U190" s="5"/>
      <c r="V190" s="5"/>
      <c r="X190" s="5"/>
      <c r="Y190" s="5"/>
      <c r="Z190" s="5"/>
      <c r="AA190" s="5"/>
    </row>
    <row r="191" spans="1:29" x14ac:dyDescent="0.2">
      <c r="A191" s="5" t="s">
        <v>1359</v>
      </c>
      <c r="B191" s="15">
        <v>0</v>
      </c>
      <c r="C191" s="15">
        <v>0</v>
      </c>
      <c r="D191" s="15">
        <v>-0.1</v>
      </c>
      <c r="E191" s="15">
        <v>-0.1</v>
      </c>
      <c r="F191" s="15">
        <v>-0.3</v>
      </c>
      <c r="G191" s="15">
        <v>-0.2</v>
      </c>
      <c r="H191" s="15">
        <v>-0.1</v>
      </c>
      <c r="I191" s="15">
        <v>-0.1</v>
      </c>
      <c r="J191" s="15">
        <v>-0.5</v>
      </c>
      <c r="K191" s="15">
        <v>-0.3</v>
      </c>
      <c r="L191" s="15">
        <v>-0.1</v>
      </c>
      <c r="M191" s="15">
        <v>-0.1</v>
      </c>
      <c r="N191" s="15">
        <v>-0.2</v>
      </c>
      <c r="O191" s="15">
        <v>-0.2</v>
      </c>
      <c r="P191" s="15">
        <v>-0.2</v>
      </c>
      <c r="Q191" s="15">
        <v>-0.6</v>
      </c>
      <c r="R191" s="15">
        <v>-4.5</v>
      </c>
      <c r="S191" s="15">
        <v>-2.7</v>
      </c>
      <c r="T191" s="15">
        <v>-1.8</v>
      </c>
      <c r="U191" s="15">
        <v>-2.2000000000000002</v>
      </c>
      <c r="V191" s="5"/>
      <c r="X191" s="5" t="s">
        <v>1359</v>
      </c>
      <c r="Y191" s="15">
        <v>-1.3</v>
      </c>
      <c r="Z191" s="15">
        <f t="shared" ref="Z191:Z199" si="23">U191-Y191</f>
        <v>-0.90000000000000013</v>
      </c>
      <c r="AA191" s="15">
        <v>-0.7</v>
      </c>
    </row>
    <row r="192" spans="1:29" x14ac:dyDescent="0.2">
      <c r="A192" s="5" t="s">
        <v>1360</v>
      </c>
      <c r="B192" s="15">
        <v>0</v>
      </c>
      <c r="C192" s="15">
        <v>5.1999999999999998E-3</v>
      </c>
      <c r="D192" s="15">
        <v>0</v>
      </c>
      <c r="E192" s="15">
        <v>4.7499999999999999E-3</v>
      </c>
      <c r="F192" s="15">
        <v>6.8999999999999999E-3</v>
      </c>
      <c r="G192" s="15">
        <v>0</v>
      </c>
      <c r="H192" s="15">
        <v>0</v>
      </c>
      <c r="I192" s="15">
        <v>5.0000000000000001E-3</v>
      </c>
      <c r="J192" s="15">
        <v>0</v>
      </c>
      <c r="K192" s="15">
        <v>0.1298</v>
      </c>
      <c r="L192" s="15">
        <v>0.153313</v>
      </c>
      <c r="M192" s="15">
        <v>0</v>
      </c>
      <c r="N192" s="15">
        <v>0</v>
      </c>
      <c r="O192" s="15">
        <v>1.38E-2</v>
      </c>
      <c r="P192" s="15">
        <v>8.0447000000000005E-2</v>
      </c>
      <c r="Q192" s="15">
        <v>7.4799999999999997E-3</v>
      </c>
      <c r="R192" s="15">
        <v>6.4999999999999997E-3</v>
      </c>
      <c r="S192" s="15">
        <v>0</v>
      </c>
      <c r="T192" s="15">
        <v>0</v>
      </c>
      <c r="U192" s="15">
        <v>4.0000000000000001E-3</v>
      </c>
      <c r="V192" s="5"/>
      <c r="X192" s="5" t="s">
        <v>1360</v>
      </c>
      <c r="Y192" s="15">
        <v>0</v>
      </c>
      <c r="Z192" s="15">
        <f t="shared" si="23"/>
        <v>4.0000000000000001E-3</v>
      </c>
      <c r="AA192" s="15">
        <v>6.0000000000000001E-3</v>
      </c>
    </row>
    <row r="193" spans="1:28" x14ac:dyDescent="0.2">
      <c r="A193" s="5" t="s">
        <v>171</v>
      </c>
      <c r="B193" s="15">
        <v>0</v>
      </c>
      <c r="C193" s="15">
        <v>0</v>
      </c>
      <c r="D193" s="15">
        <v>0</v>
      </c>
      <c r="E193" s="15">
        <v>0</v>
      </c>
      <c r="F193" s="15">
        <v>0</v>
      </c>
      <c r="G193" s="15">
        <v>0</v>
      </c>
      <c r="H193" s="15">
        <v>-0.1</v>
      </c>
      <c r="I193" s="15">
        <v>0</v>
      </c>
      <c r="J193" s="15">
        <v>0</v>
      </c>
      <c r="K193" s="15">
        <v>0</v>
      </c>
      <c r="L193" s="15">
        <v>0</v>
      </c>
      <c r="M193" s="15">
        <v>0</v>
      </c>
      <c r="N193" s="15">
        <v>0</v>
      </c>
      <c r="O193" s="15">
        <v>0</v>
      </c>
      <c r="P193" s="15">
        <v>0</v>
      </c>
      <c r="Q193" s="15">
        <v>0</v>
      </c>
      <c r="R193" s="15">
        <v>0</v>
      </c>
      <c r="S193" s="15">
        <v>0</v>
      </c>
      <c r="T193" s="15">
        <v>0</v>
      </c>
      <c r="U193" s="15">
        <v>0</v>
      </c>
      <c r="V193" s="5"/>
      <c r="X193" s="5" t="s">
        <v>171</v>
      </c>
      <c r="Y193" s="15">
        <v>0</v>
      </c>
      <c r="Z193" s="15">
        <f t="shared" si="23"/>
        <v>0</v>
      </c>
      <c r="AA193" s="15">
        <v>0</v>
      </c>
    </row>
    <row r="194" spans="1:28" x14ac:dyDescent="0.2">
      <c r="A194" s="5" t="s">
        <v>1361</v>
      </c>
      <c r="B194" s="15">
        <v>0</v>
      </c>
      <c r="C194" s="15">
        <v>0</v>
      </c>
      <c r="D194" s="15">
        <v>0</v>
      </c>
      <c r="E194" s="15">
        <v>0</v>
      </c>
      <c r="F194" s="15">
        <v>0</v>
      </c>
      <c r="G194" s="15">
        <v>0</v>
      </c>
      <c r="H194" s="15">
        <v>1.001E-2</v>
      </c>
      <c r="I194" s="15">
        <v>0</v>
      </c>
      <c r="J194" s="15">
        <v>0</v>
      </c>
      <c r="K194" s="15">
        <v>0</v>
      </c>
      <c r="L194" s="15">
        <v>0</v>
      </c>
      <c r="M194" s="15">
        <v>0</v>
      </c>
      <c r="N194" s="15">
        <v>0</v>
      </c>
      <c r="O194" s="15">
        <v>0</v>
      </c>
      <c r="P194" s="15">
        <v>0</v>
      </c>
      <c r="Q194" s="15">
        <v>0</v>
      </c>
      <c r="R194" s="15">
        <v>0</v>
      </c>
      <c r="S194" s="15">
        <v>0</v>
      </c>
      <c r="T194" s="15">
        <v>0</v>
      </c>
      <c r="U194" s="15">
        <v>0</v>
      </c>
      <c r="V194" s="5"/>
      <c r="X194" s="5" t="s">
        <v>1361</v>
      </c>
      <c r="Y194" s="15">
        <v>0</v>
      </c>
      <c r="Z194" s="15">
        <f t="shared" si="23"/>
        <v>0</v>
      </c>
      <c r="AA194" s="15">
        <v>0</v>
      </c>
    </row>
    <row r="195" spans="1:28" x14ac:dyDescent="0.2">
      <c r="A195" s="5" t="s">
        <v>1362</v>
      </c>
      <c r="B195" s="15">
        <v>0</v>
      </c>
      <c r="C195" s="15">
        <v>0</v>
      </c>
      <c r="D195" s="15">
        <v>0</v>
      </c>
      <c r="E195" s="15">
        <v>0</v>
      </c>
      <c r="F195" s="15">
        <v>0</v>
      </c>
      <c r="G195" s="15">
        <v>0</v>
      </c>
      <c r="H195" s="15">
        <v>0</v>
      </c>
      <c r="I195" s="15">
        <v>0</v>
      </c>
      <c r="J195" s="15">
        <v>0</v>
      </c>
      <c r="K195" s="15">
        <v>0</v>
      </c>
      <c r="L195" s="15">
        <v>0</v>
      </c>
      <c r="M195" s="15">
        <v>0</v>
      </c>
      <c r="N195" s="15">
        <v>0</v>
      </c>
      <c r="O195" s="15">
        <v>0</v>
      </c>
      <c r="P195" s="15">
        <v>0</v>
      </c>
      <c r="Q195" s="15">
        <v>0</v>
      </c>
      <c r="R195" s="15">
        <v>0</v>
      </c>
      <c r="S195" s="15">
        <v>-0.4</v>
      </c>
      <c r="T195" s="15">
        <v>-0.3</v>
      </c>
      <c r="U195" s="15">
        <v>-0.3</v>
      </c>
      <c r="V195" s="5"/>
      <c r="X195" s="5" t="s">
        <v>1362</v>
      </c>
      <c r="Y195" s="15">
        <v>-0.1</v>
      </c>
      <c r="Z195" s="15">
        <f t="shared" si="23"/>
        <v>-0.19999999999999998</v>
      </c>
      <c r="AA195" s="15">
        <v>-0.3</v>
      </c>
    </row>
    <row r="196" spans="1:28" x14ac:dyDescent="0.2">
      <c r="A196" s="5" t="s">
        <v>1363</v>
      </c>
      <c r="B196" s="15">
        <v>0</v>
      </c>
      <c r="C196" s="15">
        <v>0</v>
      </c>
      <c r="D196" s="15">
        <v>0</v>
      </c>
      <c r="E196" s="15">
        <v>0</v>
      </c>
      <c r="F196" s="15">
        <v>0</v>
      </c>
      <c r="G196" s="15">
        <v>0</v>
      </c>
      <c r="H196" s="15">
        <v>0</v>
      </c>
      <c r="I196" s="15">
        <v>0</v>
      </c>
      <c r="J196" s="15">
        <v>0</v>
      </c>
      <c r="K196" s="15">
        <v>0</v>
      </c>
      <c r="L196" s="15">
        <v>0</v>
      </c>
      <c r="M196" s="15">
        <v>0</v>
      </c>
      <c r="N196" s="15">
        <v>0</v>
      </c>
      <c r="O196" s="15">
        <v>0</v>
      </c>
      <c r="P196" s="15">
        <v>0</v>
      </c>
      <c r="Q196" s="15">
        <v>0</v>
      </c>
      <c r="R196" s="15">
        <v>0</v>
      </c>
      <c r="S196" s="15">
        <v>0</v>
      </c>
      <c r="T196" s="15">
        <v>0</v>
      </c>
      <c r="U196" s="15">
        <v>0</v>
      </c>
      <c r="V196" s="5"/>
      <c r="X196" s="5" t="s">
        <v>1363</v>
      </c>
      <c r="Y196" s="15">
        <v>0</v>
      </c>
      <c r="Z196" s="15">
        <f t="shared" si="23"/>
        <v>0</v>
      </c>
      <c r="AA196" s="15">
        <v>0</v>
      </c>
    </row>
    <row r="197" spans="1:28" x14ac:dyDescent="0.2">
      <c r="A197" s="5" t="s">
        <v>1364</v>
      </c>
      <c r="B197" s="15">
        <v>0</v>
      </c>
      <c r="C197" s="15">
        <v>0</v>
      </c>
      <c r="D197" s="15">
        <v>0</v>
      </c>
      <c r="E197" s="15">
        <v>0</v>
      </c>
      <c r="F197" s="15">
        <v>0</v>
      </c>
      <c r="G197" s="15">
        <v>0</v>
      </c>
      <c r="H197" s="15">
        <v>0</v>
      </c>
      <c r="I197" s="15">
        <v>0</v>
      </c>
      <c r="J197" s="15">
        <v>0</v>
      </c>
      <c r="K197" s="15">
        <v>0</v>
      </c>
      <c r="L197" s="15">
        <v>0</v>
      </c>
      <c r="M197" s="15">
        <v>0</v>
      </c>
      <c r="N197" s="15">
        <v>0</v>
      </c>
      <c r="O197" s="15">
        <v>0</v>
      </c>
      <c r="P197" s="15">
        <v>0</v>
      </c>
      <c r="Q197" s="15">
        <v>0</v>
      </c>
      <c r="R197" s="15">
        <v>0</v>
      </c>
      <c r="S197" s="15">
        <v>0</v>
      </c>
      <c r="T197" s="15">
        <v>0</v>
      </c>
      <c r="U197" s="15">
        <v>0</v>
      </c>
      <c r="V197" s="5"/>
      <c r="X197" s="5" t="s">
        <v>1364</v>
      </c>
      <c r="Y197" s="15">
        <v>0</v>
      </c>
      <c r="Z197" s="15">
        <f t="shared" si="23"/>
        <v>0</v>
      </c>
      <c r="AA197" s="15">
        <v>0</v>
      </c>
    </row>
    <row r="198" spans="1:28" x14ac:dyDescent="0.2">
      <c r="A198" s="5" t="s">
        <v>1365</v>
      </c>
      <c r="B198" s="15">
        <v>0</v>
      </c>
      <c r="C198" s="15">
        <v>-0.1</v>
      </c>
      <c r="D198" s="15">
        <v>-0.1</v>
      </c>
      <c r="E198" s="15">
        <v>-0.1</v>
      </c>
      <c r="F198" s="15">
        <v>-0.1</v>
      </c>
      <c r="G198" s="15">
        <v>-0.4</v>
      </c>
      <c r="H198" s="15">
        <v>-0.3</v>
      </c>
      <c r="I198" s="15">
        <v>-0.4</v>
      </c>
      <c r="J198" s="15">
        <v>1.0319750000000001</v>
      </c>
      <c r="K198" s="15">
        <v>-0.6</v>
      </c>
      <c r="L198" s="15">
        <v>-0.3</v>
      </c>
      <c r="M198" s="15">
        <v>-1.2</v>
      </c>
      <c r="N198" s="15">
        <v>-1.7</v>
      </c>
      <c r="O198" s="15">
        <v>-2.2999999999999998</v>
      </c>
      <c r="P198" s="15">
        <v>-2.2999999999999998</v>
      </c>
      <c r="Q198" s="15">
        <v>-3.4</v>
      </c>
      <c r="R198" s="15">
        <v>-4.3</v>
      </c>
      <c r="S198" s="15">
        <v>8.1443000000000002E-2</v>
      </c>
      <c r="T198" s="15">
        <v>0.10199999999999999</v>
      </c>
      <c r="U198" s="15">
        <v>0.19500000000000001</v>
      </c>
      <c r="V198" s="5"/>
      <c r="X198" s="5" t="s">
        <v>1365</v>
      </c>
      <c r="Y198" s="15">
        <v>8.1000000000000003E-2</v>
      </c>
      <c r="Z198" s="15">
        <f t="shared" si="23"/>
        <v>0.114</v>
      </c>
      <c r="AA198" s="15">
        <v>0.106</v>
      </c>
    </row>
    <row r="199" spans="1:28" ht="10.5" x14ac:dyDescent="0.2">
      <c r="A199" s="14" t="s">
        <v>1366</v>
      </c>
      <c r="B199" s="16">
        <v>0</v>
      </c>
      <c r="C199" s="16">
        <v>-0.1</v>
      </c>
      <c r="D199" s="16">
        <v>-0.2</v>
      </c>
      <c r="E199" s="16">
        <v>-0.2</v>
      </c>
      <c r="F199" s="16">
        <v>-0.4</v>
      </c>
      <c r="G199" s="16">
        <v>-0.6</v>
      </c>
      <c r="H199" s="16">
        <v>-0.4</v>
      </c>
      <c r="I199" s="16">
        <v>-0.6</v>
      </c>
      <c r="J199" s="16">
        <v>0.52584900000000001</v>
      </c>
      <c r="K199" s="16">
        <v>-0.7</v>
      </c>
      <c r="L199" s="16">
        <v>-0.3</v>
      </c>
      <c r="M199" s="16">
        <v>-1.3</v>
      </c>
      <c r="N199" s="16">
        <v>-1.9</v>
      </c>
      <c r="O199" s="16">
        <v>-2.4</v>
      </c>
      <c r="P199" s="16">
        <v>-2.4</v>
      </c>
      <c r="Q199" s="16">
        <v>-4</v>
      </c>
      <c r="R199" s="16">
        <v>-8.6999999999999993</v>
      </c>
      <c r="S199" s="16">
        <v>-3</v>
      </c>
      <c r="T199" s="16">
        <v>-2.1</v>
      </c>
      <c r="U199" s="16">
        <v>-2.2999999999999998</v>
      </c>
      <c r="V199" s="5"/>
      <c r="X199" s="14" t="s">
        <v>1366</v>
      </c>
      <c r="Y199" s="16">
        <v>-1.3</v>
      </c>
      <c r="Z199" s="16">
        <f t="shared" si="23"/>
        <v>-0.99999999999999978</v>
      </c>
      <c r="AA199" s="16">
        <v>-0.9</v>
      </c>
      <c r="AB199" s="9"/>
    </row>
    <row r="200" spans="1:28" x14ac:dyDescent="0.2">
      <c r="A200" s="5"/>
      <c r="B200" s="5"/>
      <c r="C200" s="5"/>
      <c r="D200" s="5"/>
      <c r="E200" s="5"/>
      <c r="F200" s="5"/>
      <c r="G200" s="5"/>
      <c r="H200" s="5"/>
      <c r="I200" s="5"/>
      <c r="J200" s="5"/>
      <c r="K200" s="5"/>
      <c r="L200" s="5"/>
      <c r="M200" s="5"/>
      <c r="N200" s="5"/>
      <c r="O200" s="5"/>
      <c r="P200" s="5"/>
      <c r="Q200" s="5"/>
      <c r="R200" s="5"/>
      <c r="S200" s="5"/>
      <c r="T200" s="5"/>
      <c r="U200" s="5"/>
      <c r="V200" s="5"/>
      <c r="X200" s="5"/>
      <c r="Y200" s="5"/>
      <c r="Z200" s="5"/>
      <c r="AA200" s="5"/>
    </row>
    <row r="201" spans="1:28" x14ac:dyDescent="0.2">
      <c r="A201" s="5" t="s">
        <v>1367</v>
      </c>
      <c r="B201" s="15">
        <v>0</v>
      </c>
      <c r="C201" s="15">
        <v>0</v>
      </c>
      <c r="D201" s="15">
        <v>0</v>
      </c>
      <c r="E201" s="15">
        <v>0</v>
      </c>
      <c r="F201" s="15">
        <v>0</v>
      </c>
      <c r="G201" s="15">
        <v>0</v>
      </c>
      <c r="H201" s="15">
        <v>0</v>
      </c>
      <c r="I201" s="15">
        <v>0</v>
      </c>
      <c r="J201" s="15">
        <v>0</v>
      </c>
      <c r="K201" s="15">
        <v>0</v>
      </c>
      <c r="L201" s="15">
        <v>0</v>
      </c>
      <c r="M201" s="15">
        <v>0</v>
      </c>
      <c r="N201" s="15">
        <v>0</v>
      </c>
      <c r="O201" s="15">
        <v>0</v>
      </c>
      <c r="P201" s="15">
        <v>0</v>
      </c>
      <c r="Q201" s="15">
        <v>0</v>
      </c>
      <c r="R201" s="15">
        <v>0</v>
      </c>
      <c r="S201" s="15">
        <v>0</v>
      </c>
      <c r="T201" s="15">
        <v>0</v>
      </c>
      <c r="U201" s="15">
        <v>0</v>
      </c>
      <c r="V201" s="5"/>
      <c r="X201" s="5" t="s">
        <v>1367</v>
      </c>
      <c r="Y201" s="15">
        <v>0</v>
      </c>
      <c r="Z201" s="15">
        <f t="shared" ref="Z201:Z206" si="24">U201-Y201</f>
        <v>0</v>
      </c>
      <c r="AA201" s="15">
        <v>0</v>
      </c>
    </row>
    <row r="202" spans="1:28" x14ac:dyDescent="0.2">
      <c r="A202" s="5" t="s">
        <v>1368</v>
      </c>
      <c r="B202" s="15">
        <v>0</v>
      </c>
      <c r="C202" s="15">
        <v>0</v>
      </c>
      <c r="D202" s="15">
        <v>0</v>
      </c>
      <c r="E202" s="15">
        <v>0</v>
      </c>
      <c r="F202" s="15">
        <v>0</v>
      </c>
      <c r="G202" s="15">
        <v>0</v>
      </c>
      <c r="H202" s="15">
        <v>0</v>
      </c>
      <c r="I202" s="15">
        <v>0</v>
      </c>
      <c r="J202" s="15">
        <v>0</v>
      </c>
      <c r="K202" s="15">
        <v>0</v>
      </c>
      <c r="L202" s="15">
        <v>0</v>
      </c>
      <c r="M202" s="15">
        <v>0</v>
      </c>
      <c r="N202" s="15">
        <v>0</v>
      </c>
      <c r="O202" s="15">
        <v>0</v>
      </c>
      <c r="P202" s="15">
        <v>0</v>
      </c>
      <c r="Q202" s="15">
        <v>0</v>
      </c>
      <c r="R202" s="15">
        <v>0</v>
      </c>
      <c r="S202" s="15">
        <v>0</v>
      </c>
      <c r="T202" s="15">
        <v>0</v>
      </c>
      <c r="U202" s="15">
        <v>0</v>
      </c>
      <c r="V202" s="5"/>
      <c r="X202" s="5" t="s">
        <v>1368</v>
      </c>
      <c r="Y202" s="15">
        <v>0</v>
      </c>
      <c r="Z202" s="15">
        <f t="shared" si="24"/>
        <v>0</v>
      </c>
      <c r="AA202" s="15">
        <v>0</v>
      </c>
    </row>
    <row r="203" spans="1:28" ht="10.5" x14ac:dyDescent="0.2">
      <c r="A203" s="14" t="s">
        <v>1369</v>
      </c>
      <c r="B203" s="16">
        <v>0</v>
      </c>
      <c r="C203" s="16">
        <v>0</v>
      </c>
      <c r="D203" s="16">
        <v>0</v>
      </c>
      <c r="E203" s="16">
        <v>0</v>
      </c>
      <c r="F203" s="16">
        <v>0</v>
      </c>
      <c r="G203" s="16">
        <v>0</v>
      </c>
      <c r="H203" s="16">
        <v>0</v>
      </c>
      <c r="I203" s="16">
        <v>0</v>
      </c>
      <c r="J203" s="16">
        <v>0</v>
      </c>
      <c r="K203" s="16">
        <v>0</v>
      </c>
      <c r="L203" s="16">
        <v>0</v>
      </c>
      <c r="M203" s="16">
        <v>0</v>
      </c>
      <c r="N203" s="16">
        <v>0</v>
      </c>
      <c r="O203" s="16">
        <v>0</v>
      </c>
      <c r="P203" s="16">
        <v>0</v>
      </c>
      <c r="Q203" s="16">
        <v>0</v>
      </c>
      <c r="R203" s="16">
        <v>0</v>
      </c>
      <c r="S203" s="16">
        <v>0</v>
      </c>
      <c r="T203" s="16">
        <v>0</v>
      </c>
      <c r="U203" s="16">
        <v>0</v>
      </c>
      <c r="V203" s="5"/>
      <c r="X203" s="14" t="s">
        <v>1369</v>
      </c>
      <c r="Y203" s="16">
        <v>0</v>
      </c>
      <c r="Z203" s="16">
        <f t="shared" si="24"/>
        <v>0</v>
      </c>
      <c r="AA203" s="16">
        <v>0</v>
      </c>
    </row>
    <row r="204" spans="1:28" x14ac:dyDescent="0.2">
      <c r="A204" s="5" t="s">
        <v>1370</v>
      </c>
      <c r="B204" s="15">
        <v>0</v>
      </c>
      <c r="C204" s="15">
        <v>0</v>
      </c>
      <c r="D204" s="15">
        <v>0</v>
      </c>
      <c r="E204" s="15">
        <v>0</v>
      </c>
      <c r="F204" s="15">
        <v>0</v>
      </c>
      <c r="G204" s="15">
        <v>0</v>
      </c>
      <c r="H204" s="15">
        <v>0</v>
      </c>
      <c r="I204" s="15">
        <v>0</v>
      </c>
      <c r="J204" s="15">
        <v>0</v>
      </c>
      <c r="K204" s="15">
        <v>0</v>
      </c>
      <c r="L204" s="15">
        <v>0</v>
      </c>
      <c r="M204" s="15">
        <v>0</v>
      </c>
      <c r="N204" s="15">
        <v>0</v>
      </c>
      <c r="O204" s="15">
        <v>0</v>
      </c>
      <c r="P204" s="15">
        <v>0</v>
      </c>
      <c r="Q204" s="15">
        <v>0</v>
      </c>
      <c r="R204" s="15">
        <v>0</v>
      </c>
      <c r="S204" s="15">
        <v>0</v>
      </c>
      <c r="T204" s="15">
        <v>0</v>
      </c>
      <c r="U204" s="15">
        <v>0</v>
      </c>
      <c r="V204" s="5"/>
      <c r="X204" s="5" t="s">
        <v>1370</v>
      </c>
      <c r="Y204" s="15">
        <v>0</v>
      </c>
      <c r="Z204" s="15">
        <f t="shared" si="24"/>
        <v>0</v>
      </c>
      <c r="AA204" s="15">
        <v>0</v>
      </c>
    </row>
    <row r="205" spans="1:28" x14ac:dyDescent="0.2">
      <c r="A205" s="5" t="s">
        <v>1371</v>
      </c>
      <c r="B205" s="15">
        <v>0</v>
      </c>
      <c r="C205" s="15">
        <v>0</v>
      </c>
      <c r="D205" s="15">
        <v>0</v>
      </c>
      <c r="E205" s="15">
        <v>0</v>
      </c>
      <c r="F205" s="15">
        <v>0</v>
      </c>
      <c r="G205" s="15">
        <v>0</v>
      </c>
      <c r="H205" s="15">
        <v>0</v>
      </c>
      <c r="I205" s="15">
        <v>0</v>
      </c>
      <c r="J205" s="15">
        <v>0</v>
      </c>
      <c r="K205" s="15">
        <v>0</v>
      </c>
      <c r="L205" s="15">
        <v>0</v>
      </c>
      <c r="M205" s="15">
        <v>0</v>
      </c>
      <c r="N205" s="15">
        <v>0</v>
      </c>
      <c r="O205" s="15">
        <v>0</v>
      </c>
      <c r="P205" s="15">
        <v>0</v>
      </c>
      <c r="Q205" s="15">
        <v>0</v>
      </c>
      <c r="R205" s="15">
        <v>0</v>
      </c>
      <c r="S205" s="15">
        <v>0</v>
      </c>
      <c r="T205" s="15">
        <v>0</v>
      </c>
      <c r="U205" s="15">
        <v>0</v>
      </c>
      <c r="V205" s="5"/>
      <c r="X205" s="5" t="s">
        <v>1371</v>
      </c>
      <c r="Y205" s="15">
        <v>0</v>
      </c>
      <c r="Z205" s="15">
        <f t="shared" si="24"/>
        <v>0</v>
      </c>
      <c r="AA205" s="15">
        <v>0</v>
      </c>
    </row>
    <row r="206" spans="1:28" ht="10.5" x14ac:dyDescent="0.2">
      <c r="A206" s="14" t="s">
        <v>1372</v>
      </c>
      <c r="B206" s="16">
        <v>0</v>
      </c>
      <c r="C206" s="16">
        <v>0</v>
      </c>
      <c r="D206" s="16">
        <v>0</v>
      </c>
      <c r="E206" s="16">
        <v>0</v>
      </c>
      <c r="F206" s="16">
        <v>0</v>
      </c>
      <c r="G206" s="16">
        <v>0</v>
      </c>
      <c r="H206" s="16">
        <v>0</v>
      </c>
      <c r="I206" s="16">
        <v>0</v>
      </c>
      <c r="J206" s="16">
        <v>0</v>
      </c>
      <c r="K206" s="16">
        <v>0</v>
      </c>
      <c r="L206" s="16">
        <v>0</v>
      </c>
      <c r="M206" s="16">
        <v>0</v>
      </c>
      <c r="N206" s="16">
        <v>0</v>
      </c>
      <c r="O206" s="16">
        <v>0</v>
      </c>
      <c r="P206" s="16">
        <v>0</v>
      </c>
      <c r="Q206" s="16">
        <v>0</v>
      </c>
      <c r="R206" s="16">
        <v>0</v>
      </c>
      <c r="S206" s="16">
        <v>0</v>
      </c>
      <c r="T206" s="16">
        <v>0</v>
      </c>
      <c r="U206" s="16">
        <v>0</v>
      </c>
      <c r="V206" s="5"/>
      <c r="X206" s="14" t="s">
        <v>1372</v>
      </c>
      <c r="Y206" s="16">
        <v>0</v>
      </c>
      <c r="Z206" s="16">
        <f t="shared" si="24"/>
        <v>0</v>
      </c>
      <c r="AA206" s="16">
        <v>0</v>
      </c>
    </row>
    <row r="207" spans="1:28" x14ac:dyDescent="0.2">
      <c r="A207" s="5"/>
      <c r="B207" s="5"/>
      <c r="C207" s="5"/>
      <c r="D207" s="5"/>
      <c r="E207" s="5"/>
      <c r="F207" s="5"/>
      <c r="G207" s="5"/>
      <c r="H207" s="5"/>
      <c r="I207" s="5"/>
      <c r="J207" s="5"/>
      <c r="K207" s="5"/>
      <c r="L207" s="5"/>
      <c r="M207" s="5"/>
      <c r="N207" s="5"/>
      <c r="O207" s="5"/>
      <c r="P207" s="5"/>
      <c r="Q207" s="5"/>
      <c r="R207" s="5"/>
      <c r="S207" s="5"/>
      <c r="T207" s="5"/>
      <c r="U207" s="5"/>
      <c r="V207" s="5"/>
      <c r="X207" s="5"/>
      <c r="Y207" s="5"/>
      <c r="Z207" s="5"/>
      <c r="AA207" s="5"/>
    </row>
    <row r="208" spans="1:28" x14ac:dyDescent="0.2">
      <c r="A208" s="5" t="s">
        <v>1373</v>
      </c>
      <c r="B208" s="15">
        <v>7.4999999999999997E-3</v>
      </c>
      <c r="C208" s="15">
        <v>0</v>
      </c>
      <c r="D208" s="15">
        <v>0</v>
      </c>
      <c r="E208" s="15">
        <v>0</v>
      </c>
      <c r="F208" s="15">
        <v>0</v>
      </c>
      <c r="G208" s="15">
        <v>0</v>
      </c>
      <c r="H208" s="15">
        <v>0</v>
      </c>
      <c r="I208" s="15">
        <v>0</v>
      </c>
      <c r="J208" s="15">
        <v>0</v>
      </c>
      <c r="K208" s="15">
        <v>5.8631000000000003E-2</v>
      </c>
      <c r="L208" s="15">
        <v>6.0700000000000001E-4</v>
      </c>
      <c r="M208" s="15">
        <v>0</v>
      </c>
      <c r="N208" s="15">
        <v>1.36E-4</v>
      </c>
      <c r="O208" s="15">
        <v>0</v>
      </c>
      <c r="P208" s="15">
        <v>0.17061899999999999</v>
      </c>
      <c r="Q208" s="15">
        <v>0</v>
      </c>
      <c r="R208" s="15">
        <v>0.17371</v>
      </c>
      <c r="S208" s="15">
        <v>0</v>
      </c>
      <c r="T208" s="15">
        <v>0.187</v>
      </c>
      <c r="U208" s="15">
        <v>1.653</v>
      </c>
      <c r="V208" s="5"/>
      <c r="X208" s="5" t="s">
        <v>1373</v>
      </c>
      <c r="Y208" s="15">
        <v>1.2889999999999999</v>
      </c>
      <c r="Z208" s="15">
        <f t="shared" ref="Z208:Z209" si="25">U208-Y208</f>
        <v>0.3640000000000001</v>
      </c>
      <c r="AA208" s="15">
        <v>2.7490000000000001</v>
      </c>
    </row>
    <row r="209" spans="1:27" x14ac:dyDescent="0.2">
      <c r="A209" s="5" t="s">
        <v>1374</v>
      </c>
      <c r="B209" s="15">
        <v>0</v>
      </c>
      <c r="C209" s="15">
        <v>0</v>
      </c>
      <c r="D209" s="15">
        <v>0</v>
      </c>
      <c r="E209" s="15">
        <v>0</v>
      </c>
      <c r="F209" s="15">
        <v>0</v>
      </c>
      <c r="G209" s="15">
        <v>0</v>
      </c>
      <c r="H209" s="15">
        <v>0</v>
      </c>
      <c r="I209" s="15">
        <v>0</v>
      </c>
      <c r="J209" s="15">
        <v>0</v>
      </c>
      <c r="K209" s="15">
        <v>0</v>
      </c>
      <c r="L209" s="15">
        <v>0</v>
      </c>
      <c r="M209" s="15">
        <v>0</v>
      </c>
      <c r="N209" s="15">
        <v>0</v>
      </c>
      <c r="O209" s="15">
        <v>0</v>
      </c>
      <c r="P209" s="15">
        <v>0</v>
      </c>
      <c r="Q209" s="15">
        <v>0</v>
      </c>
      <c r="R209" s="15">
        <v>0</v>
      </c>
      <c r="S209" s="15">
        <v>0</v>
      </c>
      <c r="T209" s="15">
        <v>0</v>
      </c>
      <c r="U209" s="15">
        <v>-2.5</v>
      </c>
      <c r="V209" s="5"/>
      <c r="X209" s="5" t="s">
        <v>1374</v>
      </c>
      <c r="Y209" s="15">
        <v>-2.6</v>
      </c>
      <c r="Z209" s="15">
        <f t="shared" si="25"/>
        <v>0.10000000000000009</v>
      </c>
      <c r="AA209" s="15">
        <v>0</v>
      </c>
    </row>
    <row r="210" spans="1:27" x14ac:dyDescent="0.2">
      <c r="A210" s="5"/>
      <c r="B210" s="5"/>
      <c r="C210" s="5"/>
      <c r="D210" s="5"/>
      <c r="E210" s="5"/>
      <c r="F210" s="5"/>
      <c r="G210" s="5"/>
      <c r="H210" s="5"/>
      <c r="I210" s="5"/>
      <c r="J210" s="5"/>
      <c r="K210" s="5"/>
      <c r="L210" s="5"/>
      <c r="M210" s="5"/>
      <c r="N210" s="5"/>
      <c r="O210" s="5"/>
      <c r="P210" s="5"/>
      <c r="Q210" s="5"/>
      <c r="R210" s="5"/>
      <c r="S210" s="5"/>
      <c r="T210" s="5"/>
      <c r="U210" s="5"/>
      <c r="V210" s="5"/>
      <c r="X210" s="5"/>
      <c r="Y210" s="5"/>
      <c r="Z210" s="5"/>
      <c r="AA210" s="5"/>
    </row>
    <row r="211" spans="1:27" x14ac:dyDescent="0.2">
      <c r="A211" s="5" t="s">
        <v>1375</v>
      </c>
      <c r="B211" s="15">
        <v>0</v>
      </c>
      <c r="C211" s="15">
        <v>0</v>
      </c>
      <c r="D211" s="15">
        <v>0</v>
      </c>
      <c r="E211" s="15">
        <v>0</v>
      </c>
      <c r="F211" s="15">
        <v>0</v>
      </c>
      <c r="G211" s="15">
        <v>0</v>
      </c>
      <c r="H211" s="15">
        <v>-0.2</v>
      </c>
      <c r="I211" s="15">
        <v>0</v>
      </c>
      <c r="J211" s="15">
        <v>0</v>
      </c>
      <c r="K211" s="15">
        <v>0</v>
      </c>
      <c r="L211" s="15">
        <v>0</v>
      </c>
      <c r="M211" s="15">
        <v>0</v>
      </c>
      <c r="N211" s="15">
        <v>0</v>
      </c>
      <c r="O211" s="15">
        <v>-0.1</v>
      </c>
      <c r="P211" s="15">
        <v>-9</v>
      </c>
      <c r="Q211" s="15">
        <v>0</v>
      </c>
      <c r="R211" s="15">
        <v>-2.1</v>
      </c>
      <c r="S211" s="15">
        <v>-0.8</v>
      </c>
      <c r="T211" s="15">
        <v>-4.8</v>
      </c>
      <c r="U211" s="15">
        <v>-7.3</v>
      </c>
      <c r="V211" s="5"/>
      <c r="X211" s="5" t="s">
        <v>1375</v>
      </c>
      <c r="Y211" s="15">
        <v>-7.3</v>
      </c>
      <c r="Z211" s="15">
        <f t="shared" ref="Z211:Z212" si="26">U211-Y211</f>
        <v>0</v>
      </c>
      <c r="AA211" s="15">
        <v>-40.1</v>
      </c>
    </row>
    <row r="212" spans="1:27" ht="10.5" x14ac:dyDescent="0.2">
      <c r="A212" s="14" t="s">
        <v>1376</v>
      </c>
      <c r="B212" s="16">
        <v>0</v>
      </c>
      <c r="C212" s="16">
        <v>0</v>
      </c>
      <c r="D212" s="16">
        <v>0</v>
      </c>
      <c r="E212" s="16">
        <v>0</v>
      </c>
      <c r="F212" s="16">
        <v>0</v>
      </c>
      <c r="G212" s="16">
        <v>0</v>
      </c>
      <c r="H212" s="16">
        <v>-0.2</v>
      </c>
      <c r="I212" s="16">
        <v>0</v>
      </c>
      <c r="J212" s="16">
        <v>0</v>
      </c>
      <c r="K212" s="16">
        <v>0</v>
      </c>
      <c r="L212" s="16">
        <v>0</v>
      </c>
      <c r="M212" s="16">
        <v>0</v>
      </c>
      <c r="N212" s="16">
        <v>0</v>
      </c>
      <c r="O212" s="16">
        <v>-0.1</v>
      </c>
      <c r="P212" s="16">
        <v>-9</v>
      </c>
      <c r="Q212" s="16">
        <v>0</v>
      </c>
      <c r="R212" s="16">
        <v>-2.1</v>
      </c>
      <c r="S212" s="16">
        <v>-0.8</v>
      </c>
      <c r="T212" s="16">
        <v>-4.8</v>
      </c>
      <c r="U212" s="16">
        <v>-7.3</v>
      </c>
      <c r="V212" s="5"/>
      <c r="X212" s="14" t="s">
        <v>1376</v>
      </c>
      <c r="Y212" s="16">
        <v>-7.3</v>
      </c>
      <c r="Z212" s="16">
        <f t="shared" si="26"/>
        <v>0</v>
      </c>
      <c r="AA212" s="16">
        <v>-40.1</v>
      </c>
    </row>
    <row r="213" spans="1:27" x14ac:dyDescent="0.2">
      <c r="A213" s="5"/>
      <c r="B213" s="5"/>
      <c r="C213" s="5"/>
      <c r="D213" s="5"/>
      <c r="E213" s="5"/>
      <c r="F213" s="5"/>
      <c r="G213" s="5"/>
      <c r="H213" s="5"/>
      <c r="I213" s="5"/>
      <c r="J213" s="5"/>
      <c r="K213" s="5"/>
      <c r="L213" s="5"/>
      <c r="M213" s="5"/>
      <c r="N213" s="5"/>
      <c r="O213" s="5"/>
      <c r="P213" s="5"/>
      <c r="Q213" s="5"/>
      <c r="R213" s="5"/>
      <c r="S213" s="5"/>
      <c r="T213" s="5"/>
      <c r="U213" s="5"/>
      <c r="V213" s="5"/>
      <c r="X213" s="5"/>
      <c r="Y213" s="5"/>
      <c r="Z213" s="5"/>
      <c r="AA213" s="5"/>
    </row>
    <row r="214" spans="1:27" x14ac:dyDescent="0.2">
      <c r="A214" s="5" t="s">
        <v>1377</v>
      </c>
      <c r="B214" s="15">
        <v>0</v>
      </c>
      <c r="C214" s="15">
        <v>0</v>
      </c>
      <c r="D214" s="15">
        <v>0</v>
      </c>
      <c r="E214" s="15">
        <v>0</v>
      </c>
      <c r="F214" s="15">
        <v>0</v>
      </c>
      <c r="G214" s="15">
        <v>0</v>
      </c>
      <c r="H214" s="15">
        <v>0</v>
      </c>
      <c r="I214" s="15">
        <v>0</v>
      </c>
      <c r="J214" s="15">
        <v>0</v>
      </c>
      <c r="K214" s="15">
        <v>0</v>
      </c>
      <c r="L214" s="15">
        <v>0</v>
      </c>
      <c r="M214" s="15">
        <v>0</v>
      </c>
      <c r="N214" s="15">
        <v>0</v>
      </c>
      <c r="O214" s="15">
        <v>0</v>
      </c>
      <c r="P214" s="15">
        <v>0</v>
      </c>
      <c r="Q214" s="15">
        <v>0</v>
      </c>
      <c r="R214" s="15">
        <v>0</v>
      </c>
      <c r="S214" s="15">
        <v>-16.5</v>
      </c>
      <c r="T214" s="15">
        <v>0</v>
      </c>
      <c r="U214" s="15">
        <v>0</v>
      </c>
      <c r="V214" s="5"/>
      <c r="X214" s="5" t="s">
        <v>1377</v>
      </c>
      <c r="Y214" s="15">
        <v>0</v>
      </c>
      <c r="Z214" s="15">
        <f t="shared" ref="Z214:Z216" si="27">U214-Y214</f>
        <v>0</v>
      </c>
      <c r="AA214" s="15">
        <v>0</v>
      </c>
    </row>
    <row r="215" spans="1:27" x14ac:dyDescent="0.2">
      <c r="A215" s="5" t="s">
        <v>1378</v>
      </c>
      <c r="B215" s="15">
        <v>0</v>
      </c>
      <c r="C215" s="15">
        <v>0</v>
      </c>
      <c r="D215" s="15">
        <v>0</v>
      </c>
      <c r="E215" s="15">
        <v>0</v>
      </c>
      <c r="F215" s="15">
        <v>0</v>
      </c>
      <c r="G215" s="15">
        <v>0</v>
      </c>
      <c r="H215" s="15">
        <v>0</v>
      </c>
      <c r="I215" s="15">
        <v>0</v>
      </c>
      <c r="J215" s="15">
        <v>0</v>
      </c>
      <c r="K215" s="15">
        <v>0</v>
      </c>
      <c r="L215" s="15">
        <v>0</v>
      </c>
      <c r="M215" s="15">
        <v>0</v>
      </c>
      <c r="N215" s="15">
        <v>0</v>
      </c>
      <c r="O215" s="15">
        <v>0</v>
      </c>
      <c r="P215" s="15">
        <v>0</v>
      </c>
      <c r="Q215" s="15">
        <v>0.17638599999999999</v>
      </c>
      <c r="R215" s="15">
        <v>0.20542299999999999</v>
      </c>
      <c r="S215" s="15">
        <v>1.197894</v>
      </c>
      <c r="T215" s="15">
        <v>0</v>
      </c>
      <c r="U215" s="15">
        <v>0</v>
      </c>
      <c r="V215" s="5"/>
      <c r="X215" s="5" t="s">
        <v>1378</v>
      </c>
      <c r="Y215" s="15">
        <v>0</v>
      </c>
      <c r="Z215" s="15">
        <f t="shared" si="27"/>
        <v>0</v>
      </c>
      <c r="AA215" s="15">
        <v>0</v>
      </c>
    </row>
    <row r="216" spans="1:27" ht="10.5" x14ac:dyDescent="0.2">
      <c r="A216" s="14" t="s">
        <v>1379</v>
      </c>
      <c r="B216" s="16">
        <v>0</v>
      </c>
      <c r="C216" s="16">
        <v>0</v>
      </c>
      <c r="D216" s="16">
        <v>0</v>
      </c>
      <c r="E216" s="16">
        <v>0</v>
      </c>
      <c r="F216" s="16">
        <v>0</v>
      </c>
      <c r="G216" s="16">
        <v>0</v>
      </c>
      <c r="H216" s="16">
        <v>-0.2</v>
      </c>
      <c r="I216" s="16">
        <v>0</v>
      </c>
      <c r="J216" s="16">
        <v>0</v>
      </c>
      <c r="K216" s="16">
        <v>5.8631000000000003E-2</v>
      </c>
      <c r="L216" s="16">
        <v>6.0700000000000001E-4</v>
      </c>
      <c r="M216" s="16">
        <v>0</v>
      </c>
      <c r="N216" s="16">
        <v>1.36E-4</v>
      </c>
      <c r="O216" s="16">
        <v>-0.1</v>
      </c>
      <c r="P216" s="16">
        <v>-8.8000000000000007</v>
      </c>
      <c r="Q216" s="16">
        <v>0.17638599999999999</v>
      </c>
      <c r="R216" s="16">
        <v>-1.7</v>
      </c>
      <c r="S216" s="16">
        <v>-16.100000000000001</v>
      </c>
      <c r="T216" s="16">
        <v>-4.5999999999999996</v>
      </c>
      <c r="U216" s="16">
        <v>-8.1999999999999993</v>
      </c>
      <c r="V216" s="5"/>
      <c r="X216" s="14" t="s">
        <v>1379</v>
      </c>
      <c r="Y216" s="16">
        <v>-8.6</v>
      </c>
      <c r="Z216" s="16">
        <f t="shared" si="27"/>
        <v>0.40000000000000036</v>
      </c>
      <c r="AA216" s="16">
        <v>-37.299999999999997</v>
      </c>
    </row>
    <row r="217" spans="1:27" x14ac:dyDescent="0.2">
      <c r="A217" s="5"/>
      <c r="B217" s="5"/>
      <c r="C217" s="5"/>
      <c r="D217" s="5"/>
      <c r="E217" s="5"/>
      <c r="F217" s="5"/>
      <c r="G217" s="5"/>
      <c r="H217" s="5"/>
      <c r="I217" s="5"/>
      <c r="J217" s="5"/>
      <c r="K217" s="5"/>
      <c r="L217" s="5"/>
      <c r="M217" s="5"/>
      <c r="N217" s="5"/>
      <c r="O217" s="5"/>
      <c r="P217" s="5"/>
      <c r="Q217" s="5"/>
      <c r="R217" s="5"/>
      <c r="S217" s="5"/>
      <c r="T217" s="5"/>
      <c r="U217" s="5"/>
      <c r="V217" s="5"/>
      <c r="X217" s="5"/>
      <c r="Y217" s="5"/>
      <c r="Z217" s="5"/>
      <c r="AA217" s="5"/>
    </row>
    <row r="218" spans="1:27" ht="10.5" x14ac:dyDescent="0.2">
      <c r="A218" s="14" t="s">
        <v>1380</v>
      </c>
      <c r="B218" s="18">
        <v>0</v>
      </c>
      <c r="C218" s="18">
        <v>0.14979999999999999</v>
      </c>
      <c r="D218" s="18">
        <v>0</v>
      </c>
      <c r="E218" s="18">
        <v>-0.7</v>
      </c>
      <c r="F218" s="18">
        <v>-1.2</v>
      </c>
      <c r="G218" s="18">
        <v>1.2869999999999999E-2</v>
      </c>
      <c r="H218" s="18">
        <v>-1.4</v>
      </c>
      <c r="I218" s="18">
        <v>4.7538749999999999</v>
      </c>
      <c r="J218" s="18">
        <v>0.41247400000000001</v>
      </c>
      <c r="K218" s="18">
        <v>-3.5</v>
      </c>
      <c r="L218" s="18">
        <v>0.14760400000000001</v>
      </c>
      <c r="M218" s="18">
        <v>2.4963950000000001</v>
      </c>
      <c r="N218" s="18">
        <v>4.6343629999999996</v>
      </c>
      <c r="O218" s="18">
        <v>5.0404920000000004</v>
      </c>
      <c r="P218" s="18">
        <v>-2.2999999999999998</v>
      </c>
      <c r="Q218" s="18">
        <v>-2.2999999999999998</v>
      </c>
      <c r="R218" s="18">
        <v>4.1619910000000004</v>
      </c>
      <c r="S218" s="18">
        <v>-1.4</v>
      </c>
      <c r="T218" s="18">
        <v>29.044</v>
      </c>
      <c r="U218" s="18">
        <v>36.921999999999997</v>
      </c>
      <c r="V218" s="5"/>
      <c r="X218" s="14" t="s">
        <v>1380</v>
      </c>
      <c r="Y218" s="18">
        <v>-0.3</v>
      </c>
      <c r="Z218" s="18">
        <f>U218-Y218</f>
        <v>37.221999999999994</v>
      </c>
      <c r="AA218" s="18">
        <v>-19.8</v>
      </c>
    </row>
    <row r="219" spans="1:27" x14ac:dyDescent="0.2">
      <c r="A219" s="5"/>
      <c r="B219" s="5"/>
      <c r="C219" s="5"/>
      <c r="D219" s="5"/>
      <c r="E219" s="5"/>
      <c r="F219" s="5"/>
      <c r="G219" s="5"/>
      <c r="H219" s="5"/>
      <c r="I219" s="5"/>
      <c r="J219" s="5"/>
      <c r="K219" s="5"/>
      <c r="L219" s="5"/>
      <c r="M219" s="5"/>
      <c r="N219" s="5"/>
      <c r="O219" s="5"/>
      <c r="P219" s="5"/>
      <c r="Q219" s="5"/>
      <c r="R219" s="5"/>
      <c r="S219" s="5"/>
      <c r="T219" s="5"/>
      <c r="U219" s="5"/>
      <c r="V219" s="5"/>
      <c r="X219" s="5"/>
      <c r="Y219" s="161">
        <f>Y216+Y199+Y189</f>
        <v>-0.34500000000000064</v>
      </c>
      <c r="Z219" s="161">
        <f>Z216+Z199+Z189</f>
        <v>37.256</v>
      </c>
      <c r="AA219" s="161">
        <f>AA216+AA199+AA189</f>
        <v>-19.702999999999996</v>
      </c>
    </row>
    <row r="220" spans="1:27" ht="10.5" x14ac:dyDescent="0.2">
      <c r="A220" s="14" t="s">
        <v>1267</v>
      </c>
      <c r="B220" s="5"/>
      <c r="C220" s="5"/>
      <c r="D220" s="5"/>
      <c r="E220" s="5"/>
      <c r="F220" s="5"/>
      <c r="G220" s="5"/>
      <c r="H220" s="5"/>
      <c r="I220" s="5"/>
      <c r="J220" s="5"/>
      <c r="K220" s="5"/>
      <c r="L220" s="5"/>
      <c r="M220" s="5"/>
      <c r="N220" s="5"/>
      <c r="O220" s="5"/>
      <c r="P220" s="5"/>
      <c r="Q220" s="5"/>
      <c r="R220" s="5"/>
      <c r="S220" s="5"/>
      <c r="T220" s="5"/>
      <c r="U220" s="5"/>
      <c r="V220" s="5"/>
      <c r="X220" s="14" t="s">
        <v>1267</v>
      </c>
      <c r="Y220" s="5"/>
      <c r="Z220" s="5"/>
      <c r="AA220" s="5"/>
    </row>
    <row r="221" spans="1:27" x14ac:dyDescent="0.2">
      <c r="A221" s="5" t="s">
        <v>1381</v>
      </c>
      <c r="B221" s="15">
        <v>2.1669999999999998E-2</v>
      </c>
      <c r="C221" s="15">
        <v>4.0014000000000001E-2</v>
      </c>
      <c r="D221" s="15">
        <v>6.0085E-2</v>
      </c>
      <c r="E221" s="15">
        <v>4.1903999999999997E-2</v>
      </c>
      <c r="F221" s="15">
        <v>6.8097000000000005E-2</v>
      </c>
      <c r="G221" s="15">
        <v>0.12378599999999999</v>
      </c>
      <c r="H221" s="15">
        <v>3.1577000000000001E-2</v>
      </c>
      <c r="I221" s="15">
        <v>9.75E-3</v>
      </c>
      <c r="J221" s="15">
        <v>3.094E-3</v>
      </c>
      <c r="K221" s="15">
        <v>1.5900999999999998E-2</v>
      </c>
      <c r="L221" s="15">
        <v>3.0599000000000001E-2</v>
      </c>
      <c r="M221" s="15">
        <v>8.5959999999999995E-3</v>
      </c>
      <c r="N221" s="15">
        <v>1.2539999999999999E-3</v>
      </c>
      <c r="O221" s="15">
        <v>9.4300000000000004E-4</v>
      </c>
      <c r="P221" s="15">
        <v>5.5821999999999997E-2</v>
      </c>
      <c r="Q221" s="15">
        <v>5.0900000000000001E-4</v>
      </c>
      <c r="R221" s="15" t="s">
        <v>52</v>
      </c>
      <c r="S221" s="15" t="s">
        <v>52</v>
      </c>
      <c r="T221" s="15" t="s">
        <v>52</v>
      </c>
      <c r="U221" s="15" t="s">
        <v>52</v>
      </c>
      <c r="V221" s="5"/>
      <c r="X221" s="5" t="s">
        <v>1381</v>
      </c>
      <c r="Y221" s="15" t="s">
        <v>52</v>
      </c>
      <c r="Z221" s="15"/>
      <c r="AA221" s="15" t="s">
        <v>52</v>
      </c>
    </row>
    <row r="222" spans="1:27" x14ac:dyDescent="0.2">
      <c r="A222" s="5" t="s">
        <v>1382</v>
      </c>
      <c r="B222" s="15">
        <v>1.8810000000000001E-3</v>
      </c>
      <c r="C222" s="15">
        <v>4.4929999999999996E-3</v>
      </c>
      <c r="D222" s="15">
        <v>2.6851E-2</v>
      </c>
      <c r="E222" s="15">
        <v>0.100961</v>
      </c>
      <c r="F222" s="15">
        <v>3.8838999999999999E-2</v>
      </c>
      <c r="G222" s="15">
        <v>0.307448</v>
      </c>
      <c r="H222" s="15">
        <v>0.23452600000000001</v>
      </c>
      <c r="I222" s="15">
        <v>0.45753300000000002</v>
      </c>
      <c r="J222" s="15">
        <v>0.55442199999999997</v>
      </c>
      <c r="K222" s="15">
        <v>0.64238399999999996</v>
      </c>
      <c r="L222" s="15">
        <v>0.36492000000000002</v>
      </c>
      <c r="M222" s="15">
        <v>1.2982739999999999</v>
      </c>
      <c r="N222" s="15">
        <v>1.9607619999999999</v>
      </c>
      <c r="O222" s="15">
        <v>2.4755760000000002</v>
      </c>
      <c r="P222" s="15">
        <v>2.2563430000000002</v>
      </c>
      <c r="Q222" s="15">
        <v>3.4732370000000001</v>
      </c>
      <c r="R222" s="15">
        <v>4.3898060000000001</v>
      </c>
      <c r="S222" s="15">
        <v>5.2</v>
      </c>
      <c r="T222" s="15">
        <v>10.345000000000001</v>
      </c>
      <c r="U222" s="15">
        <v>7.319</v>
      </c>
      <c r="V222" s="5"/>
      <c r="X222" s="5" t="s">
        <v>1382</v>
      </c>
      <c r="Y222" s="15">
        <v>3.964</v>
      </c>
      <c r="Z222" s="15">
        <f>U222-Y222</f>
        <v>3.355</v>
      </c>
      <c r="AA222" s="15">
        <v>4.2560000000000002</v>
      </c>
    </row>
    <row r="223" spans="1:27" x14ac:dyDescent="0.2">
      <c r="A223" s="5" t="s">
        <v>1383</v>
      </c>
      <c r="B223" s="15" t="s">
        <v>52</v>
      </c>
      <c r="C223" s="15">
        <v>0.15628400000000001</v>
      </c>
      <c r="D223" s="15">
        <v>-0.1</v>
      </c>
      <c r="E223" s="15">
        <v>-0.8</v>
      </c>
      <c r="F223" s="15">
        <v>-1.3</v>
      </c>
      <c r="G223" s="15">
        <v>0</v>
      </c>
      <c r="H223" s="15">
        <v>-1</v>
      </c>
      <c r="I223" s="15">
        <v>6.2324349999999997</v>
      </c>
      <c r="J223" s="15">
        <v>-1.3</v>
      </c>
      <c r="K223" s="15">
        <v>-1.4</v>
      </c>
      <c r="L223" s="15">
        <v>1.9535E-2</v>
      </c>
      <c r="M223" s="15">
        <v>2.505369</v>
      </c>
      <c r="N223" s="15">
        <v>5.0459589999999999</v>
      </c>
      <c r="O223" s="15">
        <v>4.6287200000000004</v>
      </c>
      <c r="P223" s="15">
        <v>5.659421</v>
      </c>
      <c r="Q223" s="15">
        <v>-3.9</v>
      </c>
      <c r="R223" s="15">
        <v>2.3139780000000001</v>
      </c>
      <c r="S223" s="15">
        <v>10.540974</v>
      </c>
      <c r="T223" s="15">
        <v>27.186001999999998</v>
      </c>
      <c r="U223" s="15">
        <v>38.259233999999999</v>
      </c>
      <c r="V223" s="5"/>
      <c r="X223" s="5" t="s">
        <v>1383</v>
      </c>
      <c r="Y223" s="15" t="s">
        <v>52</v>
      </c>
      <c r="Z223" s="15"/>
      <c r="AA223" s="15">
        <v>18.708936999999999</v>
      </c>
    </row>
    <row r="224" spans="1:27" x14ac:dyDescent="0.2">
      <c r="A224" s="5" t="s">
        <v>1384</v>
      </c>
      <c r="B224" s="15" t="s">
        <v>52</v>
      </c>
      <c r="C224" s="15">
        <v>0.18129300000000001</v>
      </c>
      <c r="D224" s="15">
        <v>0</v>
      </c>
      <c r="E224" s="15">
        <v>-0.7</v>
      </c>
      <c r="F224" s="15">
        <v>-1.2</v>
      </c>
      <c r="G224" s="15">
        <v>5.6262E-2</v>
      </c>
      <c r="H224" s="15">
        <v>-0.9</v>
      </c>
      <c r="I224" s="15">
        <v>6.2385279999999996</v>
      </c>
      <c r="J224" s="15">
        <v>-1.3</v>
      </c>
      <c r="K224" s="15">
        <v>-1.4</v>
      </c>
      <c r="L224" s="15">
        <v>3.8658999999999999E-2</v>
      </c>
      <c r="M224" s="15">
        <v>2.510742</v>
      </c>
      <c r="N224" s="15">
        <v>5.0467420000000001</v>
      </c>
      <c r="O224" s="15">
        <v>4.6293090000000001</v>
      </c>
      <c r="P224" s="15">
        <v>5.6943099999999998</v>
      </c>
      <c r="Q224" s="15">
        <v>-3.9</v>
      </c>
      <c r="R224" s="15">
        <v>2.3139780000000001</v>
      </c>
      <c r="S224" s="15">
        <v>10.540974</v>
      </c>
      <c r="T224" s="15">
        <v>27.186001999999998</v>
      </c>
      <c r="U224" s="15">
        <v>38.259233999999999</v>
      </c>
      <c r="V224" s="5"/>
      <c r="X224" s="5" t="s">
        <v>1384</v>
      </c>
      <c r="Y224" s="15" t="s">
        <v>52</v>
      </c>
      <c r="Z224" s="15"/>
      <c r="AA224" s="15">
        <v>18.708936999999999</v>
      </c>
    </row>
    <row r="225" spans="1:255" x14ac:dyDescent="0.2">
      <c r="A225" s="5" t="s">
        <v>1385</v>
      </c>
      <c r="B225" s="15" t="s">
        <v>52</v>
      </c>
      <c r="C225" s="15">
        <v>-0.1</v>
      </c>
      <c r="D225" s="15">
        <v>0.26178800000000002</v>
      </c>
      <c r="E225" s="15">
        <v>1.2040500000000001</v>
      </c>
      <c r="F225" s="15">
        <v>1.3973439999999999</v>
      </c>
      <c r="G225" s="15">
        <v>0.40316800000000003</v>
      </c>
      <c r="H225" s="15">
        <v>1.8663449999999999</v>
      </c>
      <c r="I225" s="15">
        <v>-5.2</v>
      </c>
      <c r="J225" s="15">
        <v>2.2031320000000001</v>
      </c>
      <c r="K225" s="15">
        <v>2.0668250000000001</v>
      </c>
      <c r="L225" s="15">
        <v>1.194221</v>
      </c>
      <c r="M225" s="15">
        <v>-0.2</v>
      </c>
      <c r="N225" s="15">
        <v>-1.5</v>
      </c>
      <c r="O225" s="15">
        <v>0.10695399999999999</v>
      </c>
      <c r="P225" s="15">
        <v>0.616954</v>
      </c>
      <c r="Q225" s="15">
        <v>13.936064</v>
      </c>
      <c r="R225" s="15">
        <v>8.5076929999999997</v>
      </c>
      <c r="S225" s="15">
        <v>5.3685470000000004</v>
      </c>
      <c r="T225" s="15">
        <v>-5.4</v>
      </c>
      <c r="U225" s="15">
        <v>-13.9</v>
      </c>
      <c r="V225" s="5"/>
      <c r="X225" s="5"/>
      <c r="Y225" s="15"/>
      <c r="Z225" s="15"/>
      <c r="AA225" s="15"/>
    </row>
    <row r="226" spans="1:255" x14ac:dyDescent="0.2">
      <c r="A226" s="5" t="s">
        <v>1386</v>
      </c>
      <c r="B226" s="15">
        <v>0</v>
      </c>
      <c r="C226" s="15">
        <v>0</v>
      </c>
      <c r="D226" s="15">
        <v>0</v>
      </c>
      <c r="E226" s="15">
        <v>0</v>
      </c>
      <c r="F226" s="15">
        <v>0</v>
      </c>
      <c r="G226" s="15">
        <v>0</v>
      </c>
      <c r="H226" s="15">
        <v>0</v>
      </c>
      <c r="I226" s="15">
        <v>0</v>
      </c>
      <c r="J226" s="15">
        <v>0</v>
      </c>
      <c r="K226" s="15" t="s">
        <v>52</v>
      </c>
      <c r="L226" s="15" t="s">
        <v>52</v>
      </c>
      <c r="M226" s="15" t="s">
        <v>52</v>
      </c>
      <c r="N226" s="15" t="s">
        <v>52</v>
      </c>
      <c r="O226" s="15" t="s">
        <v>52</v>
      </c>
      <c r="P226" s="15" t="s">
        <v>52</v>
      </c>
      <c r="Q226" s="15" t="s">
        <v>52</v>
      </c>
      <c r="R226" s="15" t="s">
        <v>52</v>
      </c>
      <c r="S226" s="15" t="s">
        <v>52</v>
      </c>
      <c r="T226" s="15" t="s">
        <v>52</v>
      </c>
      <c r="U226" s="15" t="s">
        <v>52</v>
      </c>
      <c r="V226" s="5"/>
      <c r="X226" s="5" t="s">
        <v>1386</v>
      </c>
      <c r="Y226" s="15" t="s">
        <v>52</v>
      </c>
      <c r="Z226" s="15"/>
      <c r="AA226" s="15" t="s">
        <v>52</v>
      </c>
    </row>
    <row r="227" spans="1:255" x14ac:dyDescent="0.2">
      <c r="A227" s="5" t="s">
        <v>1277</v>
      </c>
      <c r="B227" s="22">
        <v>35706</v>
      </c>
      <c r="C227" s="22">
        <v>36220</v>
      </c>
      <c r="D227" s="22">
        <v>36586</v>
      </c>
      <c r="E227" s="22">
        <v>36949</v>
      </c>
      <c r="F227" s="22">
        <v>37319</v>
      </c>
      <c r="G227" s="22">
        <v>37683</v>
      </c>
      <c r="H227" s="22">
        <v>37683</v>
      </c>
      <c r="I227" s="22">
        <v>38412</v>
      </c>
      <c r="J227" s="22">
        <v>38875</v>
      </c>
      <c r="K227" s="22">
        <v>39270</v>
      </c>
      <c r="L227" s="22">
        <v>39601</v>
      </c>
      <c r="M227" s="22">
        <v>39961</v>
      </c>
      <c r="N227" s="22">
        <v>40290</v>
      </c>
      <c r="O227" s="22">
        <v>40666</v>
      </c>
      <c r="P227" s="22">
        <v>41031</v>
      </c>
      <c r="Q227" s="22">
        <v>41402</v>
      </c>
      <c r="R227" s="22">
        <v>41752</v>
      </c>
      <c r="S227" s="22">
        <v>41969</v>
      </c>
      <c r="T227" s="22">
        <v>42296</v>
      </c>
      <c r="U227" s="22">
        <v>42296</v>
      </c>
      <c r="V227" s="5"/>
      <c r="X227" s="5" t="s">
        <v>1277</v>
      </c>
      <c r="Y227" s="22">
        <v>42446</v>
      </c>
      <c r="Z227" s="22"/>
      <c r="AA227" s="22">
        <v>42446</v>
      </c>
    </row>
    <row r="228" spans="1:255" x14ac:dyDescent="0.2">
      <c r="A228" s="5" t="s">
        <v>1278</v>
      </c>
      <c r="B228" s="20" t="s">
        <v>1279</v>
      </c>
      <c r="C228" s="20" t="s">
        <v>1279</v>
      </c>
      <c r="D228" s="20" t="s">
        <v>1279</v>
      </c>
      <c r="E228" s="20" t="s">
        <v>1279</v>
      </c>
      <c r="F228" s="20" t="s">
        <v>1279</v>
      </c>
      <c r="G228" s="20" t="s">
        <v>1279</v>
      </c>
      <c r="H228" s="20" t="s">
        <v>1280</v>
      </c>
      <c r="I228" s="20" t="s">
        <v>1279</v>
      </c>
      <c r="J228" s="20" t="s">
        <v>1281</v>
      </c>
      <c r="K228" s="20" t="s">
        <v>1279</v>
      </c>
      <c r="L228" s="20" t="s">
        <v>1281</v>
      </c>
      <c r="M228" s="20" t="s">
        <v>1279</v>
      </c>
      <c r="N228" s="20" t="s">
        <v>1279</v>
      </c>
      <c r="O228" s="20" t="s">
        <v>1279</v>
      </c>
      <c r="P228" s="20" t="s">
        <v>1279</v>
      </c>
      <c r="Q228" s="20" t="s">
        <v>1279</v>
      </c>
      <c r="R228" s="20" t="s">
        <v>1281</v>
      </c>
      <c r="S228" s="20" t="s">
        <v>1281</v>
      </c>
      <c r="T228" s="20" t="s">
        <v>1281</v>
      </c>
      <c r="U228" s="20" t="s">
        <v>1280</v>
      </c>
      <c r="V228" s="5"/>
      <c r="X228" s="5" t="s">
        <v>1278</v>
      </c>
      <c r="Y228" s="20" t="s">
        <v>1280</v>
      </c>
      <c r="Z228" s="20"/>
      <c r="AA228" s="20" t="s">
        <v>1280</v>
      </c>
    </row>
    <row r="229" spans="1:255" x14ac:dyDescent="0.2">
      <c r="A229" s="5" t="s">
        <v>1282</v>
      </c>
      <c r="B229" s="20" t="s">
        <v>1283</v>
      </c>
      <c r="C229" s="20" t="s">
        <v>1284</v>
      </c>
      <c r="D229" s="20" t="s">
        <v>1284</v>
      </c>
      <c r="E229" s="20" t="s">
        <v>1284</v>
      </c>
      <c r="F229" s="20" t="s">
        <v>1284</v>
      </c>
      <c r="G229" s="20" t="s">
        <v>1284</v>
      </c>
      <c r="H229" s="20" t="s">
        <v>1284</v>
      </c>
      <c r="I229" s="20" t="s">
        <v>1284</v>
      </c>
      <c r="J229" s="20" t="s">
        <v>1284</v>
      </c>
      <c r="K229" s="20" t="s">
        <v>1284</v>
      </c>
      <c r="L229" s="20" t="s">
        <v>1284</v>
      </c>
      <c r="M229" s="20" t="s">
        <v>1284</v>
      </c>
      <c r="N229" s="20" t="s">
        <v>1284</v>
      </c>
      <c r="O229" s="20" t="s">
        <v>1284</v>
      </c>
      <c r="P229" s="20" t="s">
        <v>1284</v>
      </c>
      <c r="Q229" s="20" t="s">
        <v>1284</v>
      </c>
      <c r="R229" s="20" t="s">
        <v>1284</v>
      </c>
      <c r="S229" s="20" t="s">
        <v>1284</v>
      </c>
      <c r="T229" s="20" t="s">
        <v>1284</v>
      </c>
      <c r="U229" s="20" t="s">
        <v>1284</v>
      </c>
      <c r="V229" s="5"/>
      <c r="X229" s="5" t="s">
        <v>1282</v>
      </c>
      <c r="Y229" s="20" t="s">
        <v>1284</v>
      </c>
      <c r="Z229" s="20"/>
      <c r="AA229" s="20" t="s">
        <v>1284</v>
      </c>
    </row>
    <row r="230" spans="1:255" x14ac:dyDescent="0.2">
      <c r="A230" s="5"/>
      <c r="B230" s="5"/>
      <c r="C230" s="5"/>
      <c r="D230" s="5"/>
      <c r="E230" s="5"/>
      <c r="F230" s="5"/>
      <c r="G230" s="5"/>
      <c r="H230" s="5"/>
      <c r="I230" s="5"/>
      <c r="J230" s="5"/>
      <c r="K230" s="5"/>
      <c r="L230" s="5"/>
      <c r="M230" s="5"/>
      <c r="N230" s="5"/>
      <c r="O230" s="5"/>
      <c r="P230" s="5"/>
      <c r="Q230" s="5"/>
      <c r="R230" s="5"/>
      <c r="S230" s="5"/>
      <c r="T230" s="5"/>
      <c r="U230" s="5"/>
      <c r="V230" s="5"/>
      <c r="X230" s="5"/>
      <c r="Y230" s="5"/>
      <c r="Z230" s="5"/>
      <c r="AA230" s="5"/>
    </row>
    <row r="231" spans="1:255" ht="12.75" customHeight="1" x14ac:dyDescent="0.2">
      <c r="A231" s="8" t="s">
        <v>1152</v>
      </c>
      <c r="B231" s="8"/>
      <c r="C231" s="8"/>
      <c r="D231" s="8"/>
      <c r="E231" s="8"/>
      <c r="F231" s="8"/>
      <c r="G231" s="8"/>
      <c r="H231" s="8"/>
      <c r="I231" s="8"/>
      <c r="J231" s="8"/>
      <c r="K231" s="8"/>
      <c r="L231" s="8"/>
      <c r="M231" s="8"/>
      <c r="N231" s="8"/>
      <c r="O231" s="8"/>
      <c r="P231" s="8"/>
      <c r="Q231" s="8"/>
      <c r="R231" s="8"/>
      <c r="S231" s="8"/>
      <c r="T231" s="8"/>
      <c r="U231" s="8"/>
      <c r="V231" s="5"/>
      <c r="W231" s="9"/>
      <c r="X231" s="28" t="s">
        <v>1151</v>
      </c>
      <c r="Y231" s="29"/>
      <c r="Z231" s="29"/>
      <c r="AA231" s="29"/>
      <c r="AE231" s="9"/>
      <c r="AF231" s="9"/>
      <c r="AG231" s="9"/>
      <c r="AH231" s="9"/>
      <c r="AI231" s="9"/>
      <c r="AJ231" s="9"/>
      <c r="AK231" s="9"/>
      <c r="AL231" s="9"/>
      <c r="AM231" s="9"/>
      <c r="AN231" s="9"/>
      <c r="AO231" s="9"/>
      <c r="AP231" s="9"/>
      <c r="AQ231" s="9"/>
      <c r="AR231" s="9"/>
      <c r="AS231" s="9"/>
      <c r="AT231" s="9"/>
      <c r="AU231" s="9"/>
      <c r="AV231" s="9"/>
      <c r="AW231" s="9"/>
      <c r="AX231" s="9"/>
      <c r="AY231" s="9"/>
      <c r="AZ231" s="9"/>
      <c r="BA231" s="9"/>
      <c r="BB231" s="9"/>
      <c r="BC231" s="9"/>
      <c r="BD231" s="9"/>
      <c r="BE231" s="9"/>
      <c r="BF231" s="9"/>
      <c r="BG231" s="9"/>
      <c r="BH231" s="9"/>
      <c r="BI231" s="9"/>
      <c r="BJ231" s="9"/>
      <c r="BK231" s="9"/>
      <c r="BL231" s="9"/>
      <c r="BM231" s="9"/>
      <c r="BN231" s="9"/>
      <c r="BO231" s="9"/>
      <c r="BP231" s="9"/>
      <c r="BQ231" s="9"/>
      <c r="BR231" s="9"/>
      <c r="BS231" s="9"/>
      <c r="BT231" s="9"/>
      <c r="BU231" s="9"/>
      <c r="BV231" s="9"/>
      <c r="BW231" s="9"/>
      <c r="BX231" s="9"/>
      <c r="BY231" s="9"/>
      <c r="BZ231" s="9"/>
      <c r="CA231" s="9"/>
      <c r="CB231" s="9"/>
      <c r="CC231" s="9"/>
      <c r="CD231" s="9"/>
      <c r="CE231" s="9"/>
      <c r="CF231" s="9"/>
      <c r="CG231" s="9"/>
      <c r="CH231" s="9"/>
      <c r="CI231" s="9"/>
      <c r="CJ231" s="9"/>
      <c r="CK231" s="9"/>
      <c r="CL231" s="9"/>
      <c r="CM231" s="9"/>
      <c r="CN231" s="9"/>
      <c r="CO231" s="9"/>
      <c r="CP231" s="9"/>
      <c r="CQ231" s="9"/>
      <c r="CR231" s="9"/>
      <c r="CS231" s="9"/>
      <c r="CT231" s="9"/>
      <c r="CU231" s="9"/>
      <c r="CV231" s="9"/>
      <c r="CW231" s="9"/>
      <c r="CX231" s="9"/>
      <c r="CY231" s="9"/>
      <c r="CZ231" s="9"/>
      <c r="DA231" s="9"/>
      <c r="DB231" s="9"/>
      <c r="DC231" s="9"/>
      <c r="DD231" s="9"/>
      <c r="DE231" s="9"/>
      <c r="DF231" s="9"/>
      <c r="DG231" s="9"/>
      <c r="DH231" s="9"/>
      <c r="DI231" s="9"/>
      <c r="DJ231" s="9"/>
      <c r="DK231" s="9"/>
      <c r="DL231" s="9"/>
      <c r="DM231" s="9"/>
      <c r="DN231" s="9"/>
      <c r="DO231" s="9"/>
      <c r="DP231" s="9"/>
      <c r="DQ231" s="9"/>
      <c r="DR231" s="9"/>
      <c r="DS231" s="9"/>
      <c r="DT231" s="9"/>
      <c r="DU231" s="9"/>
      <c r="DV231" s="9"/>
      <c r="DW231" s="9"/>
      <c r="DX231" s="9"/>
      <c r="DY231" s="9"/>
      <c r="DZ231" s="9"/>
      <c r="EA231" s="9"/>
      <c r="EB231" s="9"/>
      <c r="EC231" s="9"/>
      <c r="ED231" s="9"/>
      <c r="EE231" s="9"/>
      <c r="EF231" s="9"/>
      <c r="EG231" s="9"/>
      <c r="EH231" s="9"/>
      <c r="EI231" s="9"/>
      <c r="EJ231" s="9"/>
      <c r="EK231" s="9"/>
      <c r="EL231" s="9"/>
      <c r="EM231" s="9"/>
      <c r="EN231" s="9"/>
      <c r="EO231" s="9"/>
      <c r="EP231" s="9"/>
      <c r="EQ231" s="9"/>
      <c r="ER231" s="9"/>
      <c r="ES231" s="9"/>
      <c r="ET231" s="9"/>
      <c r="EU231" s="9"/>
      <c r="EV231" s="9"/>
      <c r="EW231" s="9"/>
      <c r="EX231" s="9"/>
      <c r="EY231" s="9"/>
      <c r="EZ231" s="9"/>
      <c r="FA231" s="9"/>
      <c r="FB231" s="9"/>
      <c r="FC231" s="9"/>
      <c r="FD231" s="9"/>
      <c r="FE231" s="9"/>
      <c r="FF231" s="9"/>
      <c r="FG231" s="9"/>
      <c r="FH231" s="9"/>
      <c r="FI231" s="9"/>
      <c r="FJ231" s="9"/>
      <c r="FK231" s="9"/>
      <c r="FL231" s="9"/>
      <c r="FM231" s="9"/>
      <c r="FN231" s="9"/>
      <c r="FO231" s="9"/>
      <c r="FP231" s="9"/>
      <c r="FQ231" s="9"/>
      <c r="FR231" s="9"/>
      <c r="FS231" s="9"/>
      <c r="FT231" s="9"/>
      <c r="FU231" s="9"/>
      <c r="FV231" s="9"/>
      <c r="FW231" s="9"/>
      <c r="FX231" s="9"/>
      <c r="FY231" s="9"/>
      <c r="FZ231" s="9"/>
      <c r="GA231" s="9"/>
      <c r="GB231" s="9"/>
      <c r="GC231" s="9"/>
      <c r="GD231" s="9"/>
      <c r="GE231" s="9"/>
      <c r="GF231" s="9"/>
      <c r="GG231" s="9"/>
      <c r="GH231" s="9"/>
      <c r="GI231" s="9"/>
      <c r="GJ231" s="9"/>
      <c r="GK231" s="9"/>
      <c r="GL231" s="9"/>
      <c r="GM231" s="9"/>
      <c r="GN231" s="9"/>
      <c r="GO231" s="9"/>
      <c r="GP231" s="9"/>
      <c r="GQ231" s="9"/>
      <c r="GR231" s="9"/>
      <c r="GS231" s="9"/>
      <c r="GT231" s="9"/>
      <c r="GU231" s="9"/>
      <c r="GV231" s="9"/>
      <c r="GW231" s="9"/>
      <c r="GX231" s="9"/>
      <c r="GY231" s="9"/>
      <c r="GZ231" s="9"/>
      <c r="HA231" s="9"/>
      <c r="HB231" s="9"/>
      <c r="HC231" s="9"/>
      <c r="HD231" s="9"/>
      <c r="HE231" s="9"/>
      <c r="HF231" s="9"/>
      <c r="HG231" s="9"/>
      <c r="HH231" s="9"/>
      <c r="HI231" s="9"/>
      <c r="HJ231" s="9"/>
      <c r="HK231" s="9"/>
      <c r="HL231" s="9"/>
      <c r="HM231" s="9"/>
      <c r="HN231" s="9"/>
      <c r="HO231" s="9"/>
      <c r="HP231" s="9"/>
      <c r="HQ231" s="9"/>
      <c r="HR231" s="9"/>
      <c r="HS231" s="9"/>
      <c r="HT231" s="9"/>
      <c r="HU231" s="9"/>
      <c r="HV231" s="9"/>
      <c r="HW231" s="9"/>
      <c r="HX231" s="9"/>
      <c r="HY231" s="9"/>
      <c r="HZ231" s="9"/>
      <c r="IA231" s="9"/>
      <c r="IB231" s="9"/>
      <c r="IC231" s="9"/>
      <c r="ID231" s="9"/>
      <c r="IE231" s="9"/>
      <c r="IF231" s="9"/>
      <c r="IG231" s="9"/>
      <c r="IH231" s="9"/>
      <c r="II231" s="9"/>
      <c r="IJ231" s="9"/>
      <c r="IK231" s="9"/>
      <c r="IL231" s="9"/>
      <c r="IM231" s="9"/>
      <c r="IN231" s="9"/>
      <c r="IO231" s="9"/>
      <c r="IP231" s="9"/>
      <c r="IQ231" s="9"/>
      <c r="IR231" s="9"/>
      <c r="IS231" s="9"/>
      <c r="IT231" s="9"/>
      <c r="IU231" s="9"/>
    </row>
    <row r="232" spans="1:255" ht="21" x14ac:dyDescent="0.25">
      <c r="A232" s="10" t="s">
        <v>1011</v>
      </c>
      <c r="B232" s="11" t="s">
        <v>1153</v>
      </c>
      <c r="C232" s="11" t="s">
        <v>1013</v>
      </c>
      <c r="D232" s="11" t="s">
        <v>1014</v>
      </c>
      <c r="E232" s="11" t="s">
        <v>1015</v>
      </c>
      <c r="F232" s="11" t="s">
        <v>1016</v>
      </c>
      <c r="G232" s="11" t="s">
        <v>1017</v>
      </c>
      <c r="H232" s="11" t="s">
        <v>1018</v>
      </c>
      <c r="I232" s="11" t="s">
        <v>1019</v>
      </c>
      <c r="J232" s="11" t="s">
        <v>1020</v>
      </c>
      <c r="K232" s="11" t="s">
        <v>1021</v>
      </c>
      <c r="L232" s="11" t="s">
        <v>1022</v>
      </c>
      <c r="M232" s="11" t="s">
        <v>1023</v>
      </c>
      <c r="N232" s="11" t="s">
        <v>1024</v>
      </c>
      <c r="O232" s="11" t="s">
        <v>1025</v>
      </c>
      <c r="P232" s="11" t="s">
        <v>1026</v>
      </c>
      <c r="Q232" s="11" t="s">
        <v>1027</v>
      </c>
      <c r="R232" s="11" t="s">
        <v>1028</v>
      </c>
      <c r="S232" s="11" t="s">
        <v>1029</v>
      </c>
      <c r="T232" s="11" t="s">
        <v>1030</v>
      </c>
      <c r="U232" s="11" t="s">
        <v>1031</v>
      </c>
      <c r="V232" s="5"/>
      <c r="AD232" s="9"/>
    </row>
    <row r="233" spans="1:255" ht="10.5" x14ac:dyDescent="0.2">
      <c r="A233" s="14" t="s">
        <v>1154</v>
      </c>
      <c r="B233" s="5"/>
      <c r="C233" s="5"/>
      <c r="D233" s="5"/>
      <c r="E233" s="5"/>
      <c r="F233" s="5"/>
      <c r="G233" s="5"/>
      <c r="H233" s="5"/>
      <c r="I233" s="5"/>
      <c r="J233" s="5"/>
      <c r="K233" s="5"/>
      <c r="L233" s="5"/>
      <c r="M233" s="5"/>
      <c r="N233" s="5"/>
      <c r="O233" s="5"/>
      <c r="P233" s="5"/>
      <c r="Q233" s="5"/>
      <c r="R233" s="5"/>
      <c r="S233" s="5"/>
      <c r="T233" s="5"/>
      <c r="U233" s="5"/>
      <c r="V233" s="5"/>
    </row>
    <row r="234" spans="1:255" x14ac:dyDescent="0.2">
      <c r="A234" s="5" t="s">
        <v>1155</v>
      </c>
      <c r="B234" s="20" t="s">
        <v>52</v>
      </c>
      <c r="C234" s="21">
        <v>9.4737000000000002E-2</v>
      </c>
      <c r="D234" s="21">
        <v>0.14124</v>
      </c>
      <c r="E234" s="21">
        <v>0.12889800000000001</v>
      </c>
      <c r="F234" s="21">
        <v>5.9458999999999998E-2</v>
      </c>
      <c r="G234" s="21">
        <v>7.0493E-2</v>
      </c>
      <c r="H234" s="21">
        <v>5.5350000000000003E-2</v>
      </c>
      <c r="I234" s="21">
        <v>6.3982999999999998E-2</v>
      </c>
      <c r="J234" s="21">
        <v>8.3056000000000005E-2</v>
      </c>
      <c r="K234" s="21">
        <v>4.3307999999999999E-2</v>
      </c>
      <c r="L234" s="21">
        <v>4.9667999999999997E-2</v>
      </c>
      <c r="M234" s="21">
        <v>9.7439999999999999E-2</v>
      </c>
      <c r="N234" s="21">
        <v>0.124705</v>
      </c>
      <c r="O234" s="21">
        <v>0.139487</v>
      </c>
      <c r="P234" s="21">
        <v>0.15634400000000001</v>
      </c>
      <c r="Q234" s="21">
        <v>0.194267</v>
      </c>
      <c r="R234" s="21">
        <v>0.18410499999999999</v>
      </c>
      <c r="S234" s="21">
        <v>0.172095</v>
      </c>
      <c r="T234" s="21">
        <v>0.17261499999999999</v>
      </c>
      <c r="U234" s="21">
        <v>0.13842099999999999</v>
      </c>
      <c r="V234" s="5"/>
    </row>
    <row r="235" spans="1:255" x14ac:dyDescent="0.2">
      <c r="A235" s="5" t="s">
        <v>1156</v>
      </c>
      <c r="B235" s="20" t="s">
        <v>52</v>
      </c>
      <c r="C235" s="21">
        <v>0.50544800000000001</v>
      </c>
      <c r="D235" s="21">
        <v>0.69276199999999999</v>
      </c>
      <c r="E235" s="21">
        <v>0.40505600000000003</v>
      </c>
      <c r="F235" s="21">
        <v>0.13028100000000001</v>
      </c>
      <c r="G235" s="21">
        <v>0.140735</v>
      </c>
      <c r="H235" s="21">
        <v>0.15133199999999999</v>
      </c>
      <c r="I235" s="21">
        <v>0.23087199999999999</v>
      </c>
      <c r="J235" s="21">
        <v>0.324048</v>
      </c>
      <c r="K235" s="21">
        <v>0.123554</v>
      </c>
      <c r="L235" s="21">
        <v>0.12818199999999999</v>
      </c>
      <c r="M235" s="21">
        <v>0.235182</v>
      </c>
      <c r="N235" s="21">
        <v>0.269955</v>
      </c>
      <c r="O235" s="21">
        <v>0.28290900000000002</v>
      </c>
      <c r="P235" s="21">
        <v>0.34337699999999999</v>
      </c>
      <c r="Q235" s="21">
        <v>0.43640400000000001</v>
      </c>
      <c r="R235" s="21">
        <v>0.38930599999999999</v>
      </c>
      <c r="S235" s="21">
        <v>0.37247200000000003</v>
      </c>
      <c r="T235" s="21">
        <v>0.36798900000000001</v>
      </c>
      <c r="U235" s="21">
        <v>0.29430699999999999</v>
      </c>
      <c r="V235" s="5"/>
    </row>
    <row r="236" spans="1:255" x14ac:dyDescent="0.2">
      <c r="A236" s="5" t="s">
        <v>1157</v>
      </c>
      <c r="B236" s="20" t="s">
        <v>52</v>
      </c>
      <c r="C236" s="21">
        <v>1.1491499999999999</v>
      </c>
      <c r="D236" s="21">
        <v>1.015398</v>
      </c>
      <c r="E236" s="21">
        <v>0.69944799999999996</v>
      </c>
      <c r="F236" s="21">
        <v>0.31624099999999999</v>
      </c>
      <c r="G236" s="21">
        <v>0.28703299999999998</v>
      </c>
      <c r="H236" s="21">
        <v>0.30094100000000001</v>
      </c>
      <c r="I236" s="21">
        <v>0.42219099999999998</v>
      </c>
      <c r="J236" s="21">
        <v>0.43688500000000002</v>
      </c>
      <c r="K236" s="21">
        <v>0.20918</v>
      </c>
      <c r="L236" s="21">
        <v>0.21692</v>
      </c>
      <c r="M236" s="21">
        <v>0.376027</v>
      </c>
      <c r="N236" s="21">
        <v>0.47253699999999998</v>
      </c>
      <c r="O236" s="21">
        <v>0.41431000000000001</v>
      </c>
      <c r="P236" s="21">
        <v>0.502583</v>
      </c>
      <c r="Q236" s="21">
        <v>0.60388399999999998</v>
      </c>
      <c r="R236" s="21">
        <v>0.51859299999999997</v>
      </c>
      <c r="S236" s="21">
        <v>0.45915099999999998</v>
      </c>
      <c r="T236" s="21">
        <v>0.453287</v>
      </c>
      <c r="U236" s="21">
        <v>0.37018699999999999</v>
      </c>
      <c r="V236" s="5"/>
    </row>
    <row r="237" spans="1:255" x14ac:dyDescent="0.2">
      <c r="A237" s="5" t="s">
        <v>1158</v>
      </c>
      <c r="B237" s="20" t="s">
        <v>52</v>
      </c>
      <c r="C237" s="21">
        <v>1.0479020000000001</v>
      </c>
      <c r="D237" s="21">
        <v>0.92345900000000003</v>
      </c>
      <c r="E237" s="21">
        <v>0.64135399999999998</v>
      </c>
      <c r="F237" s="21">
        <v>0.29702400000000001</v>
      </c>
      <c r="G237" s="21">
        <v>0.25502399999999997</v>
      </c>
      <c r="H237" s="21">
        <v>0.36588500000000002</v>
      </c>
      <c r="I237" s="21">
        <v>0.42219099999999998</v>
      </c>
      <c r="J237" s="21">
        <v>0.43688500000000002</v>
      </c>
      <c r="K237" s="21">
        <v>0.20918</v>
      </c>
      <c r="L237" s="21">
        <v>0.21692</v>
      </c>
      <c r="M237" s="21">
        <v>0.376027</v>
      </c>
      <c r="N237" s="21">
        <v>0.47253699999999998</v>
      </c>
      <c r="O237" s="21">
        <v>0.41431000000000001</v>
      </c>
      <c r="P237" s="21">
        <v>0.502583</v>
      </c>
      <c r="Q237" s="21">
        <v>0.60388399999999998</v>
      </c>
      <c r="R237" s="21">
        <v>0.51859299999999997</v>
      </c>
      <c r="S237" s="21">
        <v>0.45915099999999998</v>
      </c>
      <c r="T237" s="21">
        <v>0.453287</v>
      </c>
      <c r="U237" s="21">
        <v>0.37018699999999999</v>
      </c>
      <c r="V237" s="5"/>
    </row>
    <row r="238" spans="1:255" x14ac:dyDescent="0.2">
      <c r="A238" s="5"/>
      <c r="B238" s="5"/>
      <c r="C238" s="5"/>
      <c r="D238" s="5"/>
      <c r="E238" s="5"/>
      <c r="F238" s="5"/>
      <c r="G238" s="5"/>
      <c r="H238" s="5"/>
      <c r="I238" s="5"/>
      <c r="J238" s="5"/>
      <c r="K238" s="5"/>
      <c r="L238" s="5"/>
      <c r="M238" s="5"/>
      <c r="N238" s="5"/>
      <c r="O238" s="5"/>
      <c r="P238" s="5"/>
      <c r="Q238" s="5"/>
      <c r="R238" s="5"/>
      <c r="S238" s="5"/>
      <c r="T238" s="5"/>
      <c r="U238" s="5"/>
      <c r="V238" s="5"/>
    </row>
    <row r="239" spans="1:255" ht="10.5" x14ac:dyDescent="0.2">
      <c r="A239" s="14" t="s">
        <v>723</v>
      </c>
      <c r="B239" s="5"/>
      <c r="C239" s="5"/>
      <c r="D239" s="5"/>
      <c r="E239" s="5"/>
      <c r="F239" s="5"/>
      <c r="G239" s="5"/>
      <c r="H239" s="5"/>
      <c r="I239" s="5"/>
      <c r="J239" s="5"/>
      <c r="K239" s="5"/>
      <c r="L239" s="5"/>
      <c r="M239" s="5"/>
      <c r="N239" s="5"/>
      <c r="O239" s="5"/>
      <c r="P239" s="5"/>
      <c r="Q239" s="5"/>
      <c r="R239" s="5"/>
      <c r="S239" s="5"/>
      <c r="T239" s="5"/>
      <c r="U239" s="5"/>
      <c r="V239" s="5"/>
    </row>
    <row r="240" spans="1:255" x14ac:dyDescent="0.2">
      <c r="A240" s="5" t="s">
        <v>1159</v>
      </c>
      <c r="B240" s="21">
        <v>0.29328300000000002</v>
      </c>
      <c r="C240" s="21">
        <v>0.25847399999999998</v>
      </c>
      <c r="D240" s="21">
        <v>0.21675800000000001</v>
      </c>
      <c r="E240" s="21">
        <v>0.172176</v>
      </c>
      <c r="F240" s="21">
        <v>0.17299700000000001</v>
      </c>
      <c r="G240" s="21">
        <v>0.14236499999999999</v>
      </c>
      <c r="H240" s="21">
        <v>0.185256</v>
      </c>
      <c r="I240" s="21">
        <v>0.18614800000000001</v>
      </c>
      <c r="J240" s="21">
        <v>0.170269</v>
      </c>
      <c r="K240" s="21">
        <v>0.14994199999999999</v>
      </c>
      <c r="L240" s="21">
        <v>0.16139999999999999</v>
      </c>
      <c r="M240" s="21">
        <v>0.170457</v>
      </c>
      <c r="N240" s="21">
        <v>0.19198599999999999</v>
      </c>
      <c r="O240" s="21">
        <v>0.19522</v>
      </c>
      <c r="P240" s="21">
        <v>0.19566700000000001</v>
      </c>
      <c r="Q240" s="21">
        <v>0.19753899999999999</v>
      </c>
      <c r="R240" s="21">
        <v>0.185112</v>
      </c>
      <c r="S240" s="21">
        <v>0.17816699999999999</v>
      </c>
      <c r="T240" s="21">
        <v>0.17535899999999999</v>
      </c>
      <c r="U240" s="21">
        <v>0.17241600000000001</v>
      </c>
      <c r="V240" s="5"/>
    </row>
    <row r="241" spans="1:29" x14ac:dyDescent="0.2">
      <c r="A241" s="5" t="s">
        <v>1160</v>
      </c>
      <c r="B241" s="21">
        <v>0.27885599999999999</v>
      </c>
      <c r="C241" s="21">
        <v>0.22028</v>
      </c>
      <c r="D241" s="21">
        <v>0.163548</v>
      </c>
      <c r="E241" s="21">
        <v>0.124586</v>
      </c>
      <c r="F241" s="21">
        <v>0.14394999999999999</v>
      </c>
      <c r="G241" s="21">
        <v>0.117064</v>
      </c>
      <c r="H241" s="21">
        <v>0.15459600000000001</v>
      </c>
      <c r="I241" s="21">
        <v>0.144177</v>
      </c>
      <c r="J241" s="21">
        <v>0.13128000000000001</v>
      </c>
      <c r="K241" s="21">
        <v>0.129854</v>
      </c>
      <c r="L241" s="21">
        <v>0.14189099999999999</v>
      </c>
      <c r="M241" s="21">
        <v>0.13306100000000001</v>
      </c>
      <c r="N241" s="21">
        <v>0.136237</v>
      </c>
      <c r="O241" s="21">
        <v>0.129799</v>
      </c>
      <c r="P241" s="21">
        <v>0.126832</v>
      </c>
      <c r="Q241" s="21">
        <v>0.123234</v>
      </c>
      <c r="R241" s="21">
        <v>0.111803</v>
      </c>
      <c r="S241" s="21">
        <v>0.108765</v>
      </c>
      <c r="T241" s="21">
        <v>0.104978</v>
      </c>
      <c r="U241" s="21">
        <v>0.105421</v>
      </c>
      <c r="V241" s="5"/>
    </row>
    <row r="242" spans="1:29" x14ac:dyDescent="0.2">
      <c r="A242" s="5" t="s">
        <v>1161</v>
      </c>
      <c r="B242" s="21">
        <v>2.4253E-2</v>
      </c>
      <c r="C242" s="21">
        <v>4.6345999999999998E-2</v>
      </c>
      <c r="D242" s="21">
        <v>5.9185000000000001E-2</v>
      </c>
      <c r="E242" s="21">
        <v>5.1568999999999997E-2</v>
      </c>
      <c r="F242" s="21">
        <v>3.3612000000000003E-2</v>
      </c>
      <c r="G242" s="21">
        <v>3.0074E-2</v>
      </c>
      <c r="H242" s="21">
        <v>3.7638999999999999E-2</v>
      </c>
      <c r="I242" s="21">
        <v>4.5620000000000001E-2</v>
      </c>
      <c r="J242" s="21">
        <v>4.2632999999999997E-2</v>
      </c>
      <c r="K242" s="21">
        <v>2.3869000000000001E-2</v>
      </c>
      <c r="L242" s="21">
        <v>2.2085E-2</v>
      </c>
      <c r="M242" s="21">
        <v>3.8421999999999998E-2</v>
      </c>
      <c r="N242" s="21">
        <v>5.6721000000000001E-2</v>
      </c>
      <c r="O242" s="21">
        <v>6.7840999999999999E-2</v>
      </c>
      <c r="P242" s="21">
        <v>7.0704000000000003E-2</v>
      </c>
      <c r="Q242" s="21">
        <v>7.5386999999999996E-2</v>
      </c>
      <c r="R242" s="21">
        <v>7.4870000000000006E-2</v>
      </c>
      <c r="S242" s="21">
        <v>7.1853E-2</v>
      </c>
      <c r="T242" s="21">
        <v>7.3481000000000005E-2</v>
      </c>
      <c r="U242" s="21">
        <v>6.9413000000000002E-2</v>
      </c>
      <c r="V242" s="5"/>
    </row>
    <row r="243" spans="1:29" x14ac:dyDescent="0.2">
      <c r="A243" s="5" t="s">
        <v>1162</v>
      </c>
      <c r="B243" s="21">
        <v>1.4427000000000001E-2</v>
      </c>
      <c r="C243" s="21">
        <v>3.8193999999999999E-2</v>
      </c>
      <c r="D243" s="21">
        <v>5.3208999999999999E-2</v>
      </c>
      <c r="E243" s="21">
        <v>4.759E-2</v>
      </c>
      <c r="F243" s="21">
        <v>2.9047E-2</v>
      </c>
      <c r="G243" s="21">
        <v>2.5301000000000001E-2</v>
      </c>
      <c r="H243" s="21">
        <v>3.1995000000000003E-2</v>
      </c>
      <c r="I243" s="21">
        <v>4.197E-2</v>
      </c>
      <c r="J243" s="21">
        <v>3.8989000000000003E-2</v>
      </c>
      <c r="K243" s="21">
        <v>2.0088000000000002E-2</v>
      </c>
      <c r="L243" s="21">
        <v>1.9508000000000001E-2</v>
      </c>
      <c r="M243" s="21">
        <v>3.7395999999999999E-2</v>
      </c>
      <c r="N243" s="21">
        <v>5.5747999999999999E-2</v>
      </c>
      <c r="O243" s="21">
        <v>6.5420000000000006E-2</v>
      </c>
      <c r="P243" s="21">
        <v>6.8834000000000006E-2</v>
      </c>
      <c r="Q243" s="21">
        <v>7.4303999999999995E-2</v>
      </c>
      <c r="R243" s="21">
        <v>7.3308999999999999E-2</v>
      </c>
      <c r="S243" s="21">
        <v>6.9153999999999993E-2</v>
      </c>
      <c r="T243" s="21">
        <v>7.0379999999999998E-2</v>
      </c>
      <c r="U243" s="21">
        <v>6.6403000000000004E-2</v>
      </c>
      <c r="V243" s="5"/>
    </row>
    <row r="244" spans="1:29" x14ac:dyDescent="0.2">
      <c r="A244" s="5" t="s">
        <v>1163</v>
      </c>
      <c r="B244" s="21">
        <v>1.4427000000000001E-2</v>
      </c>
      <c r="C244" s="21">
        <v>3.8193999999999999E-2</v>
      </c>
      <c r="D244" s="21">
        <v>5.3208999999999999E-2</v>
      </c>
      <c r="E244" s="21">
        <v>4.759E-2</v>
      </c>
      <c r="F244" s="21">
        <v>2.9047E-2</v>
      </c>
      <c r="G244" s="21">
        <v>2.5301000000000001E-2</v>
      </c>
      <c r="H244" s="21">
        <v>3.0658999999999999E-2</v>
      </c>
      <c r="I244" s="21">
        <v>4.197E-2</v>
      </c>
      <c r="J244" s="21">
        <v>3.8989000000000003E-2</v>
      </c>
      <c r="K244" s="21">
        <v>2.0088000000000002E-2</v>
      </c>
      <c r="L244" s="21">
        <v>1.9508000000000001E-2</v>
      </c>
      <c r="M244" s="21">
        <v>3.7395999999999999E-2</v>
      </c>
      <c r="N244" s="21">
        <v>5.5747999999999999E-2</v>
      </c>
      <c r="O244" s="21">
        <v>6.5420000000000006E-2</v>
      </c>
      <c r="P244" s="21">
        <v>6.8834000000000006E-2</v>
      </c>
      <c r="Q244" s="21">
        <v>7.4303999999999995E-2</v>
      </c>
      <c r="R244" s="21">
        <v>7.3308999999999999E-2</v>
      </c>
      <c r="S244" s="21">
        <v>6.9153999999999993E-2</v>
      </c>
      <c r="T244" s="21">
        <v>7.0379999999999998E-2</v>
      </c>
      <c r="U244" s="21">
        <v>6.6403000000000004E-2</v>
      </c>
      <c r="V244" s="5"/>
    </row>
    <row r="245" spans="1:29" x14ac:dyDescent="0.2">
      <c r="A245" s="5" t="s">
        <v>1164</v>
      </c>
      <c r="B245" s="21">
        <v>-1.0428E-2</v>
      </c>
      <c r="C245" s="21">
        <v>2.264E-2</v>
      </c>
      <c r="D245" s="21">
        <v>3.3734E-2</v>
      </c>
      <c r="E245" s="21">
        <v>3.0256000000000002E-2</v>
      </c>
      <c r="F245" s="21">
        <v>1.9615E-2</v>
      </c>
      <c r="G245" s="21">
        <v>1.4055E-2</v>
      </c>
      <c r="H245" s="21">
        <v>1.7054E-2</v>
      </c>
      <c r="I245" s="21">
        <v>2.9826999999999999E-2</v>
      </c>
      <c r="J245" s="21">
        <v>3.2839E-2</v>
      </c>
      <c r="K245" s="21">
        <v>1.4344000000000001E-2</v>
      </c>
      <c r="L245" s="21">
        <v>1.201E-2</v>
      </c>
      <c r="M245" s="21">
        <v>2.3188E-2</v>
      </c>
      <c r="N245" s="21">
        <v>3.8112E-2</v>
      </c>
      <c r="O245" s="21">
        <v>4.5497000000000003E-2</v>
      </c>
      <c r="P245" s="21">
        <v>4.845E-2</v>
      </c>
      <c r="Q245" s="21">
        <v>5.2613E-2</v>
      </c>
      <c r="R245" s="21">
        <v>5.6555000000000001E-2</v>
      </c>
      <c r="S245" s="21">
        <v>5.2016E-2</v>
      </c>
      <c r="T245" s="21">
        <v>5.4184000000000003E-2</v>
      </c>
      <c r="U245" s="21">
        <v>5.2201999999999998E-2</v>
      </c>
      <c r="V245" s="5"/>
    </row>
    <row r="246" spans="1:29" x14ac:dyDescent="0.2">
      <c r="A246" s="5" t="s">
        <v>1165</v>
      </c>
      <c r="B246" s="21">
        <v>-4.7099999999999998E-3</v>
      </c>
      <c r="C246" s="21">
        <v>1.7722999999999999E-2</v>
      </c>
      <c r="D246" s="21">
        <v>2.3314000000000001E-2</v>
      </c>
      <c r="E246" s="21">
        <v>1.7665E-2</v>
      </c>
      <c r="F246" s="21">
        <v>1.0737999999999999E-2</v>
      </c>
      <c r="G246" s="21">
        <v>8.2349999999999993E-3</v>
      </c>
      <c r="H246" s="21">
        <v>1.7054E-2</v>
      </c>
      <c r="I246" s="21">
        <v>2.9826999999999999E-2</v>
      </c>
      <c r="J246" s="21">
        <v>3.2839E-2</v>
      </c>
      <c r="K246" s="21">
        <v>1.4344000000000001E-2</v>
      </c>
      <c r="L246" s="21">
        <v>1.201E-2</v>
      </c>
      <c r="M246" s="21">
        <v>2.3188E-2</v>
      </c>
      <c r="N246" s="21">
        <v>3.8112E-2</v>
      </c>
      <c r="O246" s="21">
        <v>4.5497000000000003E-2</v>
      </c>
      <c r="P246" s="21">
        <v>4.845E-2</v>
      </c>
      <c r="Q246" s="21">
        <v>5.2613E-2</v>
      </c>
      <c r="R246" s="21">
        <v>5.6555000000000001E-2</v>
      </c>
      <c r="S246" s="21">
        <v>5.2016E-2</v>
      </c>
      <c r="T246" s="21">
        <v>5.4184000000000003E-2</v>
      </c>
      <c r="U246" s="21">
        <v>5.2201999999999998E-2</v>
      </c>
      <c r="V246" s="5"/>
    </row>
    <row r="247" spans="1:29" x14ac:dyDescent="0.2">
      <c r="A247" s="5" t="s">
        <v>1166</v>
      </c>
      <c r="B247" s="21">
        <v>-4.7099999999999998E-3</v>
      </c>
      <c r="C247" s="21">
        <v>1.7722999999999999E-2</v>
      </c>
      <c r="D247" s="21">
        <v>2.3314000000000001E-2</v>
      </c>
      <c r="E247" s="21">
        <v>1.7665E-2</v>
      </c>
      <c r="F247" s="21">
        <v>1.0737999999999999E-2</v>
      </c>
      <c r="G247" s="21">
        <v>7.1529999999999996E-3</v>
      </c>
      <c r="H247" s="21">
        <v>1.7054E-2</v>
      </c>
      <c r="I247" s="21">
        <v>2.9826999999999999E-2</v>
      </c>
      <c r="J247" s="21">
        <v>3.2839E-2</v>
      </c>
      <c r="K247" s="21">
        <v>1.4344000000000001E-2</v>
      </c>
      <c r="L247" s="21">
        <v>1.201E-2</v>
      </c>
      <c r="M247" s="21">
        <v>2.3188E-2</v>
      </c>
      <c r="N247" s="21">
        <v>3.8112E-2</v>
      </c>
      <c r="O247" s="21">
        <v>4.5497000000000003E-2</v>
      </c>
      <c r="P247" s="21">
        <v>4.845E-2</v>
      </c>
      <c r="Q247" s="21">
        <v>5.2613E-2</v>
      </c>
      <c r="R247" s="21">
        <v>5.6555000000000001E-2</v>
      </c>
      <c r="S247" s="21">
        <v>5.2016E-2</v>
      </c>
      <c r="T247" s="21">
        <v>5.4184000000000003E-2</v>
      </c>
      <c r="U247" s="21">
        <v>5.2201999999999998E-2</v>
      </c>
      <c r="V247" s="5"/>
    </row>
    <row r="248" spans="1:29" x14ac:dyDescent="0.2">
      <c r="A248" s="5" t="s">
        <v>1167</v>
      </c>
      <c r="B248" s="21">
        <v>9.417E-3</v>
      </c>
      <c r="C248" s="21">
        <v>1.3705E-2</v>
      </c>
      <c r="D248" s="21">
        <v>1.8742999999999999E-2</v>
      </c>
      <c r="E248" s="21">
        <v>1.5547E-2</v>
      </c>
      <c r="F248" s="21">
        <v>6.96E-3</v>
      </c>
      <c r="G248" s="21">
        <v>6.483E-3</v>
      </c>
      <c r="H248" s="21">
        <v>1.8651000000000001E-2</v>
      </c>
      <c r="I248" s="21">
        <v>2.6655999999999999E-2</v>
      </c>
      <c r="J248" s="21">
        <v>4.3757999999999998E-2</v>
      </c>
      <c r="K248" s="21">
        <v>1.328E-2</v>
      </c>
      <c r="L248" s="21">
        <v>1.2623000000000001E-2</v>
      </c>
      <c r="M248" s="21">
        <v>2.4362000000000002E-2</v>
      </c>
      <c r="N248" s="21">
        <v>3.6662E-2</v>
      </c>
      <c r="O248" s="21">
        <v>4.2065999999999999E-2</v>
      </c>
      <c r="P248" s="21">
        <v>4.2979000000000003E-2</v>
      </c>
      <c r="Q248" s="21">
        <v>4.6605000000000001E-2</v>
      </c>
      <c r="R248" s="21">
        <v>4.6095999999999998E-2</v>
      </c>
      <c r="S248" s="21">
        <v>4.3348999999999999E-2</v>
      </c>
      <c r="T248" s="21">
        <v>4.4114E-2</v>
      </c>
      <c r="U248" s="21">
        <v>4.1706E-2</v>
      </c>
      <c r="V248" s="5"/>
      <c r="AC248" s="9"/>
    </row>
    <row r="249" spans="1:29" x14ac:dyDescent="0.2">
      <c r="A249" s="5" t="s">
        <v>1168</v>
      </c>
      <c r="B249" s="20" t="s">
        <v>52</v>
      </c>
      <c r="C249" s="21">
        <v>3.2802999999999999E-2</v>
      </c>
      <c r="D249" s="21">
        <v>-6.3699999999999998E-3</v>
      </c>
      <c r="E249" s="21">
        <v>-4.6920999999999997E-2</v>
      </c>
      <c r="F249" s="21">
        <v>-6.9692000000000004E-2</v>
      </c>
      <c r="G249" s="21">
        <v>-6.6200000000000005E-4</v>
      </c>
      <c r="H249" s="21">
        <v>-2.4781000000000001E-2</v>
      </c>
      <c r="I249" s="21">
        <v>0.15787399999999999</v>
      </c>
      <c r="J249" s="21">
        <v>-2.5010000000000001E-2</v>
      </c>
      <c r="K249" s="21">
        <v>-2.4583000000000001E-2</v>
      </c>
      <c r="L249" s="21">
        <v>2.9E-4</v>
      </c>
      <c r="M249" s="21">
        <v>2.8105000000000002E-2</v>
      </c>
      <c r="N249" s="21">
        <v>4.9029000000000003E-2</v>
      </c>
      <c r="O249" s="21">
        <v>4.0919999999999998E-2</v>
      </c>
      <c r="P249" s="21">
        <v>3.8829000000000002E-2</v>
      </c>
      <c r="Q249" s="21">
        <v>-1.7961999999999999E-2</v>
      </c>
      <c r="R249" s="21">
        <v>7.6099999999999996E-3</v>
      </c>
      <c r="S249" s="21">
        <v>2.6634999999999999E-2</v>
      </c>
      <c r="T249" s="21">
        <v>5.3855E-2</v>
      </c>
      <c r="U249" s="21">
        <v>6.4184000000000005E-2</v>
      </c>
      <c r="V249" s="5"/>
    </row>
    <row r="250" spans="1:29" x14ac:dyDescent="0.2">
      <c r="A250" s="5" t="s">
        <v>1169</v>
      </c>
      <c r="B250" s="20" t="s">
        <v>52</v>
      </c>
      <c r="C250" s="21">
        <v>3.8052000000000002E-2</v>
      </c>
      <c r="D250" s="21">
        <v>-2.2139999999999998E-3</v>
      </c>
      <c r="E250" s="21">
        <v>-4.5316000000000002E-2</v>
      </c>
      <c r="F250" s="21">
        <v>-6.7375000000000004E-2</v>
      </c>
      <c r="G250" s="21">
        <v>1.7650000000000001E-3</v>
      </c>
      <c r="H250" s="21">
        <v>-2.427E-2</v>
      </c>
      <c r="I250" s="21">
        <v>0.158029</v>
      </c>
      <c r="J250" s="21">
        <v>-2.4972000000000001E-2</v>
      </c>
      <c r="K250" s="21">
        <v>-2.4409E-2</v>
      </c>
      <c r="L250" s="21">
        <v>5.7399999999999997E-4</v>
      </c>
      <c r="M250" s="21">
        <v>2.8164999999999999E-2</v>
      </c>
      <c r="N250" s="21">
        <v>4.9036999999999997E-2</v>
      </c>
      <c r="O250" s="21">
        <v>4.0925000000000003E-2</v>
      </c>
      <c r="P250" s="21">
        <v>3.9067999999999999E-2</v>
      </c>
      <c r="Q250" s="21">
        <v>-1.7961000000000001E-2</v>
      </c>
      <c r="R250" s="21">
        <v>7.6099999999999996E-3</v>
      </c>
      <c r="S250" s="21">
        <v>2.6634999999999999E-2</v>
      </c>
      <c r="T250" s="21">
        <v>5.3855E-2</v>
      </c>
      <c r="U250" s="21">
        <v>6.4184000000000005E-2</v>
      </c>
      <c r="V250" s="5"/>
    </row>
    <row r="251" spans="1:29" x14ac:dyDescent="0.2">
      <c r="A251" s="5"/>
      <c r="B251" s="5"/>
      <c r="C251" s="5"/>
      <c r="D251" s="5"/>
      <c r="E251" s="5"/>
      <c r="F251" s="5"/>
      <c r="G251" s="5"/>
      <c r="H251" s="5"/>
      <c r="I251" s="5"/>
      <c r="J251" s="5"/>
      <c r="K251" s="5"/>
      <c r="L251" s="5"/>
      <c r="M251" s="5"/>
      <c r="N251" s="5"/>
      <c r="O251" s="5"/>
      <c r="P251" s="5"/>
      <c r="Q251" s="5"/>
      <c r="R251" s="5"/>
      <c r="S251" s="5"/>
      <c r="T251" s="5"/>
      <c r="U251" s="5"/>
      <c r="V251" s="5"/>
    </row>
    <row r="252" spans="1:29" ht="10.5" x14ac:dyDescent="0.2">
      <c r="A252" s="14" t="s">
        <v>1170</v>
      </c>
      <c r="B252" s="5"/>
      <c r="C252" s="5"/>
      <c r="D252" s="5"/>
      <c r="E252" s="5"/>
      <c r="F252" s="5"/>
      <c r="G252" s="5"/>
      <c r="H252" s="5"/>
      <c r="I252" s="5"/>
      <c r="J252" s="5"/>
      <c r="K252" s="5"/>
      <c r="L252" s="5"/>
      <c r="M252" s="5"/>
      <c r="N252" s="5"/>
      <c r="O252" s="5"/>
      <c r="P252" s="5"/>
      <c r="Q252" s="5"/>
      <c r="R252" s="5"/>
      <c r="S252" s="5"/>
      <c r="T252" s="5"/>
      <c r="U252" s="5"/>
      <c r="V252" s="5"/>
    </row>
    <row r="253" spans="1:29" x14ac:dyDescent="0.2">
      <c r="A253" s="5" t="s">
        <v>1171</v>
      </c>
      <c r="B253" s="20" t="s">
        <v>52</v>
      </c>
      <c r="C253" s="27">
        <v>3.9686819999999998</v>
      </c>
      <c r="D253" s="27">
        <v>4.2470689999999998</v>
      </c>
      <c r="E253" s="27">
        <v>4.3336079999999999</v>
      </c>
      <c r="F253" s="27">
        <v>3.2751999999999999</v>
      </c>
      <c r="G253" s="27">
        <v>4.4578249999999997</v>
      </c>
      <c r="H253" s="27">
        <v>2.888547</v>
      </c>
      <c r="I253" s="27">
        <v>2.4391720000000001</v>
      </c>
      <c r="J253" s="27">
        <v>3.4084120000000002</v>
      </c>
      <c r="K253" s="27">
        <v>3.4494630000000002</v>
      </c>
      <c r="L253" s="27">
        <v>4.0735950000000001</v>
      </c>
      <c r="M253" s="27">
        <v>4.1689379999999998</v>
      </c>
      <c r="N253" s="27">
        <v>3.5790649999999999</v>
      </c>
      <c r="O253" s="27">
        <v>3.4114550000000001</v>
      </c>
      <c r="P253" s="27">
        <v>3.6340919999999999</v>
      </c>
      <c r="Q253" s="27">
        <v>4.1831480000000001</v>
      </c>
      <c r="R253" s="27">
        <v>4.0181630000000004</v>
      </c>
      <c r="S253" s="27">
        <v>3.981722</v>
      </c>
      <c r="T253" s="27">
        <v>3.9241570000000001</v>
      </c>
      <c r="U253" s="27">
        <v>3.3352949999999999</v>
      </c>
      <c r="V253" s="5"/>
    </row>
    <row r="254" spans="1:29" x14ac:dyDescent="0.2">
      <c r="A254" s="5" t="s">
        <v>1172</v>
      </c>
      <c r="B254" s="20" t="s">
        <v>52</v>
      </c>
      <c r="C254" s="27">
        <v>33.527033000000003</v>
      </c>
      <c r="D254" s="27">
        <v>45.462881000000003</v>
      </c>
      <c r="E254" s="27">
        <v>64.238994000000005</v>
      </c>
      <c r="F254" s="27">
        <v>51.547685000000001</v>
      </c>
      <c r="G254" s="27">
        <v>66.844610000000003</v>
      </c>
      <c r="H254" s="27">
        <v>86.663010999999997</v>
      </c>
      <c r="I254" s="27">
        <v>105.590288</v>
      </c>
      <c r="J254" s="27">
        <v>96.600622000000001</v>
      </c>
      <c r="K254" s="27">
        <v>87.833511999999999</v>
      </c>
      <c r="L254" s="27">
        <v>133.63687400000001</v>
      </c>
      <c r="M254" s="27">
        <v>211.45006000000001</v>
      </c>
      <c r="N254" s="27">
        <v>201.98916800000001</v>
      </c>
      <c r="O254" s="27">
        <v>221.657039</v>
      </c>
      <c r="P254" s="27" t="s">
        <v>1173</v>
      </c>
      <c r="Q254" s="27" t="s">
        <v>1173</v>
      </c>
      <c r="R254" s="27">
        <v>112.550535</v>
      </c>
      <c r="S254" s="27">
        <v>71.646761999999995</v>
      </c>
      <c r="T254" s="27">
        <v>77.914707000000007</v>
      </c>
      <c r="U254" s="27">
        <v>87.633636999999993</v>
      </c>
      <c r="V254" s="5"/>
    </row>
    <row r="255" spans="1:29" x14ac:dyDescent="0.2">
      <c r="A255" s="5" t="s">
        <v>1174</v>
      </c>
      <c r="B255" s="20" t="s">
        <v>52</v>
      </c>
      <c r="C255" s="27">
        <v>5.4638299999999997</v>
      </c>
      <c r="D255" s="27">
        <v>5.2807890000000004</v>
      </c>
      <c r="E255" s="27">
        <v>5.0767139999999999</v>
      </c>
      <c r="F255" s="27">
        <v>3.8046000000000002</v>
      </c>
      <c r="G255" s="27">
        <v>5.2536690000000004</v>
      </c>
      <c r="H255" s="27">
        <v>3.3669539999999998</v>
      </c>
      <c r="I255" s="27">
        <v>3.0316890000000001</v>
      </c>
      <c r="J255" s="27">
        <v>4.5035509999999999</v>
      </c>
      <c r="K255" s="27">
        <v>4.4662509999999997</v>
      </c>
      <c r="L255" s="27">
        <v>4.8816639999999998</v>
      </c>
      <c r="M255" s="27">
        <v>5.3499889999999999</v>
      </c>
      <c r="N255" s="27">
        <v>5.4966900000000001</v>
      </c>
      <c r="O255" s="27">
        <v>5.8098099999999997</v>
      </c>
      <c r="P255" s="27">
        <v>5.9503779999999997</v>
      </c>
      <c r="Q255" s="27">
        <v>5.8420579999999998</v>
      </c>
      <c r="R255" s="27">
        <v>5.4985150000000003</v>
      </c>
      <c r="S255" s="27">
        <v>5.5227589999999998</v>
      </c>
      <c r="T255" s="27">
        <v>5.9161760000000001</v>
      </c>
      <c r="U255" s="27">
        <v>5.8467979999999997</v>
      </c>
      <c r="V255" s="5"/>
    </row>
    <row r="256" spans="1:29" x14ac:dyDescent="0.2">
      <c r="A256" s="5" t="s">
        <v>1175</v>
      </c>
      <c r="B256" s="20" t="s">
        <v>52</v>
      </c>
      <c r="C256" s="27">
        <v>33.594484000000001</v>
      </c>
      <c r="D256" s="27">
        <v>119.275581</v>
      </c>
      <c r="E256" s="27">
        <v>243.524553</v>
      </c>
      <c r="F256" s="27">
        <v>139.01180500000001</v>
      </c>
      <c r="G256" s="27">
        <v>107.88678400000001</v>
      </c>
      <c r="H256" s="27">
        <v>38.957296999999997</v>
      </c>
      <c r="I256" s="27">
        <v>40.967699000000003</v>
      </c>
      <c r="J256" s="27">
        <v>158.93597399999999</v>
      </c>
      <c r="K256" s="27">
        <v>195.79116999999999</v>
      </c>
      <c r="L256" s="27">
        <v>267.477013</v>
      </c>
      <c r="M256" s="27">
        <v>257.407239</v>
      </c>
      <c r="N256" s="27">
        <v>206.354804</v>
      </c>
      <c r="O256" s="27">
        <v>273.17422900000003</v>
      </c>
      <c r="P256" s="27">
        <v>214.10087799999999</v>
      </c>
      <c r="Q256" s="27">
        <v>187.99254199999999</v>
      </c>
      <c r="R256" s="27">
        <v>162.591925</v>
      </c>
      <c r="S256" s="27">
        <v>103.47813600000001</v>
      </c>
      <c r="T256" s="27">
        <v>95.041701000000003</v>
      </c>
      <c r="U256" s="27">
        <v>138.317398</v>
      </c>
      <c r="V256" s="5"/>
    </row>
    <row r="257" spans="1:28" x14ac:dyDescent="0.2">
      <c r="A257" s="5"/>
      <c r="B257" s="5"/>
      <c r="C257" s="5"/>
      <c r="D257" s="5"/>
      <c r="E257" s="5"/>
      <c r="F257" s="5"/>
      <c r="G257" s="5"/>
      <c r="H257" s="5"/>
      <c r="I257" s="5"/>
      <c r="J257" s="5"/>
      <c r="K257" s="5"/>
      <c r="L257" s="5"/>
      <c r="M257" s="5"/>
      <c r="N257" s="5"/>
      <c r="O257" s="5"/>
      <c r="P257" s="5"/>
      <c r="Q257" s="5"/>
      <c r="R257" s="5"/>
      <c r="S257" s="5"/>
      <c r="T257" s="5"/>
      <c r="U257" s="5"/>
      <c r="V257" s="5"/>
    </row>
    <row r="258" spans="1:28" ht="10.5" x14ac:dyDescent="0.2">
      <c r="A258" s="14" t="s">
        <v>1176</v>
      </c>
      <c r="B258" s="5"/>
      <c r="C258" s="5"/>
      <c r="D258" s="5"/>
      <c r="E258" s="5"/>
      <c r="F258" s="5"/>
      <c r="G258" s="5"/>
      <c r="H258" s="5"/>
      <c r="I258" s="5"/>
      <c r="J258" s="5"/>
      <c r="K258" s="5"/>
      <c r="L258" s="5"/>
      <c r="M258" s="5"/>
      <c r="N258" s="5"/>
      <c r="O258" s="5"/>
      <c r="P258" s="5"/>
      <c r="Q258" s="5"/>
      <c r="R258" s="5"/>
      <c r="S258" s="5"/>
      <c r="T258" s="5"/>
      <c r="U258" s="5"/>
      <c r="V258" s="5"/>
    </row>
    <row r="259" spans="1:28" x14ac:dyDescent="0.2">
      <c r="A259" s="5" t="s">
        <v>1177</v>
      </c>
      <c r="B259" s="27">
        <v>0.89953099999999997</v>
      </c>
      <c r="C259" s="27">
        <v>0.99907100000000004</v>
      </c>
      <c r="D259" s="27">
        <v>1.1021620000000001</v>
      </c>
      <c r="E259" s="27">
        <v>1.1848430000000001</v>
      </c>
      <c r="F259" s="27">
        <v>1.174952</v>
      </c>
      <c r="G259" s="27">
        <v>1.2140340000000001</v>
      </c>
      <c r="H259" s="27">
        <v>1.109213</v>
      </c>
      <c r="I259" s="27">
        <v>1.126088</v>
      </c>
      <c r="J259" s="27">
        <v>1.334708</v>
      </c>
      <c r="K259" s="27">
        <v>1.185667</v>
      </c>
      <c r="L259" s="27">
        <v>1.317299</v>
      </c>
      <c r="M259" s="27">
        <v>1.314114</v>
      </c>
      <c r="N259" s="27">
        <v>1.4378169999999999</v>
      </c>
      <c r="O259" s="27">
        <v>1.7142809999999999</v>
      </c>
      <c r="P259" s="27">
        <v>1.40011</v>
      </c>
      <c r="Q259" s="27">
        <v>1.7007080000000001</v>
      </c>
      <c r="R259" s="27">
        <v>1.7420249999999999</v>
      </c>
      <c r="S259" s="27">
        <v>1.6959599999999999</v>
      </c>
      <c r="T259" s="27">
        <v>1.8311770000000001</v>
      </c>
      <c r="U259" s="27">
        <v>1.7859499999999999</v>
      </c>
      <c r="V259" s="5"/>
    </row>
    <row r="260" spans="1:28" x14ac:dyDescent="0.2">
      <c r="A260" s="5" t="s">
        <v>1178</v>
      </c>
      <c r="B260" s="27">
        <v>0.67915300000000001</v>
      </c>
      <c r="C260" s="27">
        <v>0.91445299999999996</v>
      </c>
      <c r="D260" s="27">
        <v>1.0345660000000001</v>
      </c>
      <c r="E260" s="27">
        <v>1.0998479999999999</v>
      </c>
      <c r="F260" s="27">
        <v>1.095089</v>
      </c>
      <c r="G260" s="27">
        <v>1.1244369999999999</v>
      </c>
      <c r="H260" s="27">
        <v>1.0106470000000001</v>
      </c>
      <c r="I260" s="27">
        <v>1.070306</v>
      </c>
      <c r="J260" s="27">
        <v>1.2771790000000001</v>
      </c>
      <c r="K260" s="27">
        <v>1.1358680000000001</v>
      </c>
      <c r="L260" s="27">
        <v>1.272051</v>
      </c>
      <c r="M260" s="27">
        <v>1.261897</v>
      </c>
      <c r="N260" s="27">
        <v>1.389303</v>
      </c>
      <c r="O260" s="27">
        <v>1.6609039999999999</v>
      </c>
      <c r="P260" s="27">
        <v>1.3464320000000001</v>
      </c>
      <c r="Q260" s="27">
        <v>1.5870329999999999</v>
      </c>
      <c r="R260" s="27">
        <v>1.5615300000000001</v>
      </c>
      <c r="S260" s="27">
        <v>1.50007</v>
      </c>
      <c r="T260" s="27">
        <v>1.7130209999999999</v>
      </c>
      <c r="U260" s="27">
        <v>1.71227</v>
      </c>
      <c r="V260" s="5"/>
      <c r="AB260" s="9"/>
    </row>
    <row r="261" spans="1:28" x14ac:dyDescent="0.2">
      <c r="A261" s="5" t="s">
        <v>1179</v>
      </c>
      <c r="B261" s="27">
        <v>3.6686999999999997E-2</v>
      </c>
      <c r="C261" s="27">
        <v>0.186415</v>
      </c>
      <c r="D261" s="27">
        <v>8.4853999999999999E-2</v>
      </c>
      <c r="E261" s="27" t="s">
        <v>1173</v>
      </c>
      <c r="F261" s="27" t="s">
        <v>1173</v>
      </c>
      <c r="G261" s="27">
        <v>0.109108</v>
      </c>
      <c r="H261" s="27" t="s">
        <v>1173</v>
      </c>
      <c r="I261" s="27">
        <v>0.50820699999999996</v>
      </c>
      <c r="J261" s="27" t="s">
        <v>1173</v>
      </c>
      <c r="K261" s="27" t="s">
        <v>1173</v>
      </c>
      <c r="L261" s="27">
        <v>3.4430000000000002E-2</v>
      </c>
      <c r="M261" s="27">
        <v>0.193213</v>
      </c>
      <c r="N261" s="27">
        <v>0.30752000000000002</v>
      </c>
      <c r="O261" s="27">
        <v>0.374668</v>
      </c>
      <c r="P261" s="27">
        <v>0.28062300000000001</v>
      </c>
      <c r="Q261" s="27">
        <v>4.1995999999999999E-2</v>
      </c>
      <c r="R261" s="27">
        <v>0.29269800000000001</v>
      </c>
      <c r="S261" s="27">
        <v>0.300122</v>
      </c>
      <c r="T261" s="27">
        <v>0.45874500000000001</v>
      </c>
      <c r="U261" s="27">
        <v>0.42497000000000001</v>
      </c>
      <c r="V261" s="5"/>
    </row>
    <row r="262" spans="1:28" x14ac:dyDescent="0.2">
      <c r="A262" s="5" t="s">
        <v>1180</v>
      </c>
      <c r="B262" s="15" t="s">
        <v>52</v>
      </c>
      <c r="C262" s="15">
        <v>66.802665000000005</v>
      </c>
      <c r="D262" s="15">
        <v>69.118224999999995</v>
      </c>
      <c r="E262" s="15">
        <v>71.896604999999994</v>
      </c>
      <c r="F262" s="15">
        <v>96.199073999999996</v>
      </c>
      <c r="G262" s="15">
        <v>69.475194999999999</v>
      </c>
      <c r="H262" s="15">
        <v>108.40646</v>
      </c>
      <c r="I262" s="15">
        <v>120.394885</v>
      </c>
      <c r="J262" s="15">
        <v>81.268835999999993</v>
      </c>
      <c r="K262" s="15">
        <v>81.723865000000004</v>
      </c>
      <c r="L262" s="15">
        <v>74.76952</v>
      </c>
      <c r="M262" s="15">
        <v>68.224339999999998</v>
      </c>
      <c r="N262" s="15">
        <v>66.585282000000007</v>
      </c>
      <c r="O262" s="15">
        <v>62.824530000000003</v>
      </c>
      <c r="P262" s="15">
        <v>61.340440000000001</v>
      </c>
      <c r="Q262" s="15">
        <v>62.477780000000003</v>
      </c>
      <c r="R262" s="15">
        <v>66.563321999999999</v>
      </c>
      <c r="S262" s="15">
        <v>66.089820000000003</v>
      </c>
      <c r="T262" s="15">
        <v>61.695219999999999</v>
      </c>
      <c r="U262" s="15">
        <v>62.427045</v>
      </c>
      <c r="V262" s="5"/>
    </row>
    <row r="263" spans="1:28" x14ac:dyDescent="0.2">
      <c r="A263" s="5" t="s">
        <v>1181</v>
      </c>
      <c r="B263" s="15" t="s">
        <v>52</v>
      </c>
      <c r="C263" s="15">
        <v>10.86459</v>
      </c>
      <c r="D263" s="15">
        <v>3.0597949999999998</v>
      </c>
      <c r="E263" s="15">
        <v>1.4986900000000001</v>
      </c>
      <c r="F263" s="15">
        <v>2.632638</v>
      </c>
      <c r="G263" s="15">
        <v>3.3828200000000002</v>
      </c>
      <c r="H263" s="15">
        <v>9.3691849999999999</v>
      </c>
      <c r="I263" s="15">
        <v>8.9092850000000006</v>
      </c>
      <c r="J263" s="15">
        <v>2.3025060000000002</v>
      </c>
      <c r="K263" s="15">
        <v>1.864055</v>
      </c>
      <c r="L263" s="15">
        <v>1.3643700000000001</v>
      </c>
      <c r="M263" s="15">
        <v>1.4176599999999999</v>
      </c>
      <c r="N263" s="15">
        <v>1.773636</v>
      </c>
      <c r="O263" s="15">
        <v>1.3359000000000001</v>
      </c>
      <c r="P263" s="15">
        <v>1.70455</v>
      </c>
      <c r="Q263" s="15">
        <v>1.941435</v>
      </c>
      <c r="R263" s="15">
        <v>2.2509000000000001</v>
      </c>
      <c r="S263" s="15">
        <v>3.5269949999999999</v>
      </c>
      <c r="T263" s="15">
        <v>3.8401649999999998</v>
      </c>
      <c r="U263" s="15">
        <v>2.638585</v>
      </c>
      <c r="V263" s="5"/>
    </row>
    <row r="264" spans="1:28" x14ac:dyDescent="0.2">
      <c r="A264" s="5" t="s">
        <v>1182</v>
      </c>
      <c r="B264" s="15" t="s">
        <v>52</v>
      </c>
      <c r="C264" s="15">
        <v>53.118450000000003</v>
      </c>
      <c r="D264" s="15">
        <v>38.320255000000003</v>
      </c>
      <c r="E264" s="15">
        <v>35.890450000000001</v>
      </c>
      <c r="F264" s="15">
        <v>44.625647999999998</v>
      </c>
      <c r="G264" s="15">
        <v>31.85866</v>
      </c>
      <c r="H264" s="15">
        <v>62.515374999999999</v>
      </c>
      <c r="I264" s="15">
        <v>86.155330000000006</v>
      </c>
      <c r="J264" s="15">
        <v>65.244258000000002</v>
      </c>
      <c r="K264" s="15">
        <v>56.02093</v>
      </c>
      <c r="L264" s="15">
        <v>40.164234999999998</v>
      </c>
      <c r="M264" s="15">
        <v>35.809055000000001</v>
      </c>
      <c r="N264" s="15">
        <v>38.357897999999999</v>
      </c>
      <c r="O264" s="15">
        <v>36.271144999999997</v>
      </c>
      <c r="P264" s="15">
        <v>36.791634999999999</v>
      </c>
      <c r="Q264" s="15">
        <v>31.177569999999999</v>
      </c>
      <c r="R264" s="15">
        <v>27.452928</v>
      </c>
      <c r="S264" s="15">
        <v>31.504245000000001</v>
      </c>
      <c r="T264" s="15">
        <v>36.239755000000002</v>
      </c>
      <c r="U264" s="15">
        <v>44.297494999999998</v>
      </c>
      <c r="V264" s="5"/>
    </row>
    <row r="265" spans="1:28" x14ac:dyDescent="0.2">
      <c r="A265" s="5" t="s">
        <v>1183</v>
      </c>
      <c r="B265" s="15" t="s">
        <v>52</v>
      </c>
      <c r="C265" s="15">
        <v>24.548805000000002</v>
      </c>
      <c r="D265" s="15">
        <v>33.857765000000001</v>
      </c>
      <c r="E265" s="15">
        <v>37.504845000000003</v>
      </c>
      <c r="F265" s="15">
        <v>54.206063999999998</v>
      </c>
      <c r="G265" s="15">
        <v>40.999355000000001</v>
      </c>
      <c r="H265" s="15">
        <v>55.260269999999998</v>
      </c>
      <c r="I265" s="15">
        <v>43.14884</v>
      </c>
      <c r="J265" s="15">
        <v>18.327083999999999</v>
      </c>
      <c r="K265" s="15">
        <v>27.566990000000001</v>
      </c>
      <c r="L265" s="15">
        <v>35.969655000000003</v>
      </c>
      <c r="M265" s="15">
        <v>33.832945000000002</v>
      </c>
      <c r="N265" s="15">
        <v>30.00102</v>
      </c>
      <c r="O265" s="15">
        <v>27.889285000000001</v>
      </c>
      <c r="P265" s="15">
        <v>26.253354999999999</v>
      </c>
      <c r="Q265" s="15">
        <v>33.241644999999998</v>
      </c>
      <c r="R265" s="15">
        <v>41.361294000000001</v>
      </c>
      <c r="S265" s="15">
        <v>38.112569999999998</v>
      </c>
      <c r="T265" s="15">
        <v>29.295629999999999</v>
      </c>
      <c r="U265" s="15">
        <v>20.768135000000001</v>
      </c>
      <c r="V265" s="5"/>
    </row>
    <row r="266" spans="1:28" x14ac:dyDescent="0.2">
      <c r="A266" s="5"/>
      <c r="B266" s="5"/>
      <c r="C266" s="5"/>
      <c r="D266" s="5"/>
      <c r="E266" s="5"/>
      <c r="F266" s="5"/>
      <c r="G266" s="5"/>
      <c r="H266" s="5"/>
      <c r="I266" s="5"/>
      <c r="J266" s="5"/>
      <c r="K266" s="5"/>
      <c r="L266" s="5"/>
      <c r="M266" s="5"/>
      <c r="N266" s="5"/>
      <c r="O266" s="5"/>
      <c r="P266" s="5"/>
      <c r="Q266" s="5"/>
      <c r="R266" s="5"/>
      <c r="S266" s="5"/>
      <c r="T266" s="5"/>
      <c r="U266" s="5"/>
      <c r="V266" s="5"/>
    </row>
    <row r="267" spans="1:28" ht="10.5" x14ac:dyDescent="0.2">
      <c r="A267" s="14" t="s">
        <v>1184</v>
      </c>
      <c r="B267" s="5"/>
      <c r="C267" s="5"/>
      <c r="D267" s="5"/>
      <c r="E267" s="5"/>
      <c r="F267" s="5"/>
      <c r="G267" s="5"/>
      <c r="H267" s="5"/>
      <c r="I267" s="5"/>
      <c r="J267" s="5"/>
      <c r="K267" s="5"/>
      <c r="L267" s="5"/>
      <c r="M267" s="5"/>
      <c r="N267" s="5"/>
      <c r="O267" s="5"/>
      <c r="P267" s="5"/>
      <c r="Q267" s="5"/>
      <c r="R267" s="5"/>
      <c r="S267" s="5"/>
      <c r="T267" s="5"/>
      <c r="U267" s="5"/>
      <c r="V267" s="5"/>
    </row>
    <row r="268" spans="1:28" x14ac:dyDescent="0.2">
      <c r="A268" s="5" t="s">
        <v>1185</v>
      </c>
      <c r="B268" s="21">
        <v>4.2071969999999999</v>
      </c>
      <c r="C268" s="21">
        <v>0.63784300000000005</v>
      </c>
      <c r="D268" s="21">
        <v>0.38196600000000003</v>
      </c>
      <c r="E268" s="21">
        <v>0.84647300000000003</v>
      </c>
      <c r="F268" s="21">
        <v>1.537426</v>
      </c>
      <c r="G268" s="21">
        <v>1.11669</v>
      </c>
      <c r="H268" s="21">
        <v>1.3167949999999999</v>
      </c>
      <c r="I268" s="21">
        <v>1.0449999999999999E-3</v>
      </c>
      <c r="J268" s="20" t="s">
        <v>52</v>
      </c>
      <c r="K268" s="21">
        <v>1.198391</v>
      </c>
      <c r="L268" s="21">
        <v>0.36636400000000002</v>
      </c>
      <c r="M268" s="21">
        <v>0.76922000000000001</v>
      </c>
      <c r="N268" s="21">
        <v>0.486155</v>
      </c>
      <c r="O268" s="21">
        <v>0.203261</v>
      </c>
      <c r="P268" s="21">
        <v>0.40895199999999998</v>
      </c>
      <c r="Q268" s="21">
        <v>0.122789</v>
      </c>
      <c r="R268" s="21">
        <v>5.2748999999999997E-2</v>
      </c>
      <c r="S268" s="20" t="s">
        <v>52</v>
      </c>
      <c r="T268" s="20" t="s">
        <v>52</v>
      </c>
      <c r="U268" s="20" t="s">
        <v>52</v>
      </c>
      <c r="V268" s="5"/>
    </row>
    <row r="269" spans="1:28" x14ac:dyDescent="0.2">
      <c r="A269" s="5" t="s">
        <v>1186</v>
      </c>
      <c r="B269" s="21">
        <v>0.80795799999999995</v>
      </c>
      <c r="C269" s="21">
        <v>0.38944099999999998</v>
      </c>
      <c r="D269" s="21">
        <v>0.276393</v>
      </c>
      <c r="E269" s="21">
        <v>0.45842699999999997</v>
      </c>
      <c r="F269" s="21">
        <v>0.60589899999999997</v>
      </c>
      <c r="G269" s="21">
        <v>0.52756400000000003</v>
      </c>
      <c r="H269" s="21">
        <v>0.56836900000000001</v>
      </c>
      <c r="I269" s="21">
        <v>1.044E-3</v>
      </c>
      <c r="J269" s="20" t="s">
        <v>52</v>
      </c>
      <c r="K269" s="21">
        <v>0.545122</v>
      </c>
      <c r="L269" s="21">
        <v>0.26812999999999998</v>
      </c>
      <c r="M269" s="21">
        <v>0.43477900000000003</v>
      </c>
      <c r="N269" s="21">
        <v>0.32712200000000002</v>
      </c>
      <c r="O269" s="21">
        <v>0.16892499999999999</v>
      </c>
      <c r="P269" s="21">
        <v>0.29025299999999998</v>
      </c>
      <c r="Q269" s="21">
        <v>0.10936</v>
      </c>
      <c r="R269" s="21">
        <v>5.0105999999999998E-2</v>
      </c>
      <c r="S269" s="20" t="s">
        <v>52</v>
      </c>
      <c r="T269" s="20" t="s">
        <v>52</v>
      </c>
      <c r="U269" s="20" t="s">
        <v>52</v>
      </c>
      <c r="V269" s="5"/>
    </row>
    <row r="270" spans="1:28" x14ac:dyDescent="0.2">
      <c r="A270" s="5" t="s">
        <v>1187</v>
      </c>
      <c r="B270" s="21">
        <v>8.7271000000000001E-2</v>
      </c>
      <c r="C270" s="21">
        <v>0.15406800000000001</v>
      </c>
      <c r="D270" s="21">
        <v>3.4293999999999998E-2</v>
      </c>
      <c r="E270" s="21">
        <v>2.2445E-2</v>
      </c>
      <c r="F270" s="21">
        <v>6.6400000000000001E-3</v>
      </c>
      <c r="G270" s="21">
        <v>6.9760000000000004E-3</v>
      </c>
      <c r="H270" s="21">
        <v>1.2199999999999999E-3</v>
      </c>
      <c r="I270" s="20" t="s">
        <v>52</v>
      </c>
      <c r="J270" s="20" t="s">
        <v>52</v>
      </c>
      <c r="K270" s="20" t="s">
        <v>52</v>
      </c>
      <c r="L270" s="20" t="s">
        <v>52</v>
      </c>
      <c r="M270" s="20" t="s">
        <v>52</v>
      </c>
      <c r="N270" s="20" t="s">
        <v>52</v>
      </c>
      <c r="O270" s="20" t="s">
        <v>52</v>
      </c>
      <c r="P270" s="20" t="s">
        <v>52</v>
      </c>
      <c r="Q270" s="20" t="s">
        <v>52</v>
      </c>
      <c r="R270" s="20" t="s">
        <v>52</v>
      </c>
      <c r="S270" s="20" t="s">
        <v>52</v>
      </c>
      <c r="T270" s="20" t="s">
        <v>52</v>
      </c>
      <c r="U270" s="20" t="s">
        <v>52</v>
      </c>
      <c r="V270" s="5"/>
    </row>
    <row r="271" spans="1:28" x14ac:dyDescent="0.2">
      <c r="A271" s="5" t="s">
        <v>1188</v>
      </c>
      <c r="B271" s="21">
        <v>1.6759E-2</v>
      </c>
      <c r="C271" s="21">
        <v>9.4066999999999998E-2</v>
      </c>
      <c r="D271" s="21">
        <v>2.4815E-2</v>
      </c>
      <c r="E271" s="21">
        <v>1.2156E-2</v>
      </c>
      <c r="F271" s="21">
        <v>2.617E-3</v>
      </c>
      <c r="G271" s="21">
        <v>3.2950000000000002E-3</v>
      </c>
      <c r="H271" s="21">
        <v>5.2599999999999999E-4</v>
      </c>
      <c r="I271" s="20" t="s">
        <v>52</v>
      </c>
      <c r="J271" s="20" t="s">
        <v>52</v>
      </c>
      <c r="K271" s="20" t="s">
        <v>52</v>
      </c>
      <c r="L271" s="20" t="s">
        <v>52</v>
      </c>
      <c r="M271" s="20" t="s">
        <v>52</v>
      </c>
      <c r="N271" s="20" t="s">
        <v>52</v>
      </c>
      <c r="O271" s="20" t="s">
        <v>52</v>
      </c>
      <c r="P271" s="20" t="s">
        <v>52</v>
      </c>
      <c r="Q271" s="20" t="s">
        <v>52</v>
      </c>
      <c r="R271" s="20" t="s">
        <v>52</v>
      </c>
      <c r="S271" s="20" t="s">
        <v>52</v>
      </c>
      <c r="T271" s="20" t="s">
        <v>52</v>
      </c>
      <c r="U271" s="20" t="s">
        <v>52</v>
      </c>
      <c r="V271" s="5"/>
    </row>
    <row r="272" spans="1:28" x14ac:dyDescent="0.2">
      <c r="A272" s="5" t="s">
        <v>1189</v>
      </c>
      <c r="B272" s="21">
        <v>0.95415700000000003</v>
      </c>
      <c r="C272" s="21">
        <v>0.90338799999999997</v>
      </c>
      <c r="D272" s="21">
        <v>0.83393099999999998</v>
      </c>
      <c r="E272" s="21">
        <v>0.80040299999999998</v>
      </c>
      <c r="F272" s="21">
        <v>0.79418900000000003</v>
      </c>
      <c r="G272" s="21">
        <v>0.77155399999999996</v>
      </c>
      <c r="H272" s="21">
        <v>0.86340700000000004</v>
      </c>
      <c r="I272" s="21">
        <v>0.77788500000000005</v>
      </c>
      <c r="J272" s="21">
        <v>0.71581799999999995</v>
      </c>
      <c r="K272" s="21">
        <v>0.81065299999999996</v>
      </c>
      <c r="L272" s="21">
        <v>0.73775999999999997</v>
      </c>
      <c r="M272" s="21">
        <v>0.74612599999999996</v>
      </c>
      <c r="N272" s="21">
        <v>0.68188000000000004</v>
      </c>
      <c r="O272" s="21">
        <v>0.57532399999999995</v>
      </c>
      <c r="P272" s="21">
        <v>0.70769599999999999</v>
      </c>
      <c r="Q272" s="21">
        <v>0.58116699999999999</v>
      </c>
      <c r="R272" s="21">
        <v>0.549149</v>
      </c>
      <c r="S272" s="21">
        <v>0.54872399999999999</v>
      </c>
      <c r="T272" s="21">
        <v>0.51820200000000005</v>
      </c>
      <c r="U272" s="21">
        <v>0.53796600000000006</v>
      </c>
      <c r="V272" s="5"/>
    </row>
    <row r="273" spans="1:22" x14ac:dyDescent="0.2">
      <c r="A273" s="5"/>
      <c r="B273" s="5"/>
      <c r="C273" s="5"/>
      <c r="D273" s="5"/>
      <c r="E273" s="5"/>
      <c r="F273" s="5"/>
      <c r="G273" s="5"/>
      <c r="H273" s="5"/>
      <c r="I273" s="5"/>
      <c r="J273" s="5"/>
      <c r="K273" s="5"/>
      <c r="L273" s="5"/>
      <c r="M273" s="5"/>
      <c r="N273" s="5"/>
      <c r="O273" s="5"/>
      <c r="P273" s="5"/>
      <c r="Q273" s="5"/>
      <c r="R273" s="5"/>
      <c r="S273" s="5"/>
      <c r="T273" s="5"/>
      <c r="U273" s="5"/>
      <c r="V273" s="5"/>
    </row>
    <row r="274" spans="1:22" x14ac:dyDescent="0.2">
      <c r="A274" s="5" t="s">
        <v>1190</v>
      </c>
      <c r="B274" s="27">
        <v>1.695616</v>
      </c>
      <c r="C274" s="27">
        <v>4.5475329999999996</v>
      </c>
      <c r="D274" s="27">
        <v>8.0025630000000003</v>
      </c>
      <c r="E274" s="27">
        <v>18.532240000000002</v>
      </c>
      <c r="F274" s="27">
        <v>7.8345739999999999</v>
      </c>
      <c r="G274" s="27">
        <v>6.513903</v>
      </c>
      <c r="H274" s="27">
        <v>37.486778000000001</v>
      </c>
      <c r="I274" s="27">
        <v>169.93548699999999</v>
      </c>
      <c r="J274" s="27" t="s">
        <v>1173</v>
      </c>
      <c r="K274" s="27">
        <v>72.141940000000005</v>
      </c>
      <c r="L274" s="27">
        <v>42.893591000000001</v>
      </c>
      <c r="M274" s="27" t="s">
        <v>1173</v>
      </c>
      <c r="N274" s="27" t="s">
        <v>1173</v>
      </c>
      <c r="O274" s="27" t="s">
        <v>1173</v>
      </c>
      <c r="P274" s="27">
        <v>179.72761600000001</v>
      </c>
      <c r="Q274" s="27" t="s">
        <v>1173</v>
      </c>
      <c r="R274" s="20" t="s">
        <v>52</v>
      </c>
      <c r="S274" s="20" t="s">
        <v>52</v>
      </c>
      <c r="T274" s="20" t="s">
        <v>52</v>
      </c>
      <c r="U274" s="20" t="s">
        <v>52</v>
      </c>
      <c r="V274" s="5"/>
    </row>
    <row r="275" spans="1:22" x14ac:dyDescent="0.2">
      <c r="A275" s="5" t="s">
        <v>1191</v>
      </c>
      <c r="B275" s="27">
        <v>2.8504839999999998</v>
      </c>
      <c r="C275" s="27">
        <v>5.5182180000000001</v>
      </c>
      <c r="D275" s="27">
        <v>8.9013229999999997</v>
      </c>
      <c r="E275" s="27">
        <v>20.081734000000001</v>
      </c>
      <c r="F275" s="27">
        <v>9.0660670000000003</v>
      </c>
      <c r="G275" s="27">
        <v>7.7426199999999996</v>
      </c>
      <c r="H275" s="27">
        <v>46.020774000000003</v>
      </c>
      <c r="I275" s="27">
        <v>184.71507600000001</v>
      </c>
      <c r="J275" s="27" t="s">
        <v>1173</v>
      </c>
      <c r="K275" s="27">
        <v>85.721086</v>
      </c>
      <c r="L275" s="27">
        <v>48.558613000000001</v>
      </c>
      <c r="M275" s="27" t="s">
        <v>1173</v>
      </c>
      <c r="N275" s="27" t="s">
        <v>1173</v>
      </c>
      <c r="O275" s="27" t="s">
        <v>1173</v>
      </c>
      <c r="P275" s="27">
        <v>184.60850500000001</v>
      </c>
      <c r="Q275" s="27" t="s">
        <v>1173</v>
      </c>
      <c r="R275" s="20" t="s">
        <v>52</v>
      </c>
      <c r="S275" s="20" t="s">
        <v>52</v>
      </c>
      <c r="T275" s="20" t="s">
        <v>52</v>
      </c>
      <c r="U275" s="20" t="s">
        <v>52</v>
      </c>
      <c r="V275" s="5"/>
    </row>
    <row r="276" spans="1:22" x14ac:dyDescent="0.2">
      <c r="A276" s="5" t="s">
        <v>1192</v>
      </c>
      <c r="B276" s="27">
        <v>2.178172</v>
      </c>
      <c r="C276" s="27">
        <v>4.6724889999999997</v>
      </c>
      <c r="D276" s="27">
        <v>7.0248980000000003</v>
      </c>
      <c r="E276" s="27">
        <v>18.036225000000002</v>
      </c>
      <c r="F276" s="27">
        <v>5.2853130000000004</v>
      </c>
      <c r="G276" s="27">
        <v>6.1542009999999996</v>
      </c>
      <c r="H276" s="27">
        <v>43.486905</v>
      </c>
      <c r="I276" s="27">
        <v>169.38441</v>
      </c>
      <c r="J276" s="27" t="s">
        <v>1173</v>
      </c>
      <c r="K276" s="27">
        <v>69.371799999999993</v>
      </c>
      <c r="L276" s="27">
        <v>45.148305000000001</v>
      </c>
      <c r="M276" s="27" t="s">
        <v>1173</v>
      </c>
      <c r="N276" s="27" t="s">
        <v>1173</v>
      </c>
      <c r="O276" s="27" t="s">
        <v>1173</v>
      </c>
      <c r="P276" s="27">
        <v>180.45836700000001</v>
      </c>
      <c r="Q276" s="27" t="s">
        <v>1173</v>
      </c>
      <c r="R276" s="20" t="s">
        <v>52</v>
      </c>
      <c r="S276" s="20" t="s">
        <v>52</v>
      </c>
      <c r="T276" s="20" t="s">
        <v>52</v>
      </c>
      <c r="U276" s="20" t="s">
        <v>52</v>
      </c>
      <c r="V276" s="5"/>
    </row>
    <row r="277" spans="1:22" x14ac:dyDescent="0.2">
      <c r="A277" s="5" t="s">
        <v>1193</v>
      </c>
      <c r="B277" s="27">
        <v>2.7198639999999998</v>
      </c>
      <c r="C277" s="27">
        <v>0.42694399999999999</v>
      </c>
      <c r="D277" s="27">
        <v>0.32326300000000002</v>
      </c>
      <c r="E277" s="27">
        <v>0.96477000000000002</v>
      </c>
      <c r="F277" s="27">
        <v>3.285628</v>
      </c>
      <c r="G277" s="27">
        <v>2.0993539999999999</v>
      </c>
      <c r="H277" s="27">
        <v>2.3324590000000001</v>
      </c>
      <c r="I277" s="27">
        <v>1.7440000000000001E-3</v>
      </c>
      <c r="J277" s="20" t="s">
        <v>52</v>
      </c>
      <c r="K277" s="27">
        <v>2.7684540000000002</v>
      </c>
      <c r="L277" s="27">
        <v>1.0605059999999999</v>
      </c>
      <c r="M277" s="27">
        <v>1.5031730000000001</v>
      </c>
      <c r="N277" s="27">
        <v>0.82515499999999997</v>
      </c>
      <c r="O277" s="27">
        <v>0.39559800000000001</v>
      </c>
      <c r="P277" s="27">
        <v>0.52251300000000001</v>
      </c>
      <c r="Q277" s="27">
        <v>0.18598799999999999</v>
      </c>
      <c r="R277" s="27">
        <v>9.5663999999999999E-2</v>
      </c>
      <c r="S277" s="20" t="s">
        <v>52</v>
      </c>
      <c r="T277" s="20" t="s">
        <v>52</v>
      </c>
      <c r="U277" s="20" t="s">
        <v>52</v>
      </c>
      <c r="V277" s="5"/>
    </row>
    <row r="278" spans="1:22" x14ac:dyDescent="0.2">
      <c r="A278" s="5" t="s">
        <v>1194</v>
      </c>
      <c r="B278" s="27">
        <v>2.7187459999999999</v>
      </c>
      <c r="C278" s="27">
        <v>0.21882499999999999</v>
      </c>
      <c r="D278" s="27">
        <v>0.132691</v>
      </c>
      <c r="E278" s="27">
        <v>0.95626100000000003</v>
      </c>
      <c r="F278" s="27">
        <v>3.2509229999999998</v>
      </c>
      <c r="G278" s="27">
        <v>2.090287</v>
      </c>
      <c r="H278" s="27">
        <v>2.3310179999999998</v>
      </c>
      <c r="I278" s="20" t="s">
        <v>1173</v>
      </c>
      <c r="J278" s="20" t="s">
        <v>1173</v>
      </c>
      <c r="K278" s="27">
        <v>1.2626280000000001</v>
      </c>
      <c r="L278" s="27">
        <v>1.0589409999999999</v>
      </c>
      <c r="M278" s="20" t="s">
        <v>1173</v>
      </c>
      <c r="N278" s="20" t="s">
        <v>1173</v>
      </c>
      <c r="O278" s="20" t="s">
        <v>1173</v>
      </c>
      <c r="P278" s="20" t="s">
        <v>1173</v>
      </c>
      <c r="Q278" s="20" t="s">
        <v>1173</v>
      </c>
      <c r="R278" s="20" t="s">
        <v>1173</v>
      </c>
      <c r="S278" s="20" t="s">
        <v>1173</v>
      </c>
      <c r="T278" s="20" t="s">
        <v>1173</v>
      </c>
      <c r="U278" s="20" t="s">
        <v>1173</v>
      </c>
      <c r="V278" s="5"/>
    </row>
    <row r="279" spans="1:22" x14ac:dyDescent="0.2">
      <c r="A279" s="5" t="s">
        <v>1195</v>
      </c>
      <c r="B279" s="27">
        <v>3.5593729999999999</v>
      </c>
      <c r="C279" s="27">
        <v>0.50422199999999995</v>
      </c>
      <c r="D279" s="27">
        <v>0.40960999999999997</v>
      </c>
      <c r="E279" s="27">
        <v>1.0741849999999999</v>
      </c>
      <c r="F279" s="27">
        <v>5.6359430000000001</v>
      </c>
      <c r="G279" s="27">
        <v>2.6412040000000001</v>
      </c>
      <c r="H279" s="27">
        <v>2.4683649999999999</v>
      </c>
      <c r="I279" s="27">
        <v>1.902E-3</v>
      </c>
      <c r="J279" s="20" t="s">
        <v>52</v>
      </c>
      <c r="K279" s="27">
        <v>3.420912</v>
      </c>
      <c r="L279" s="27">
        <v>1.1406130000000001</v>
      </c>
      <c r="M279" s="27">
        <v>1.57047</v>
      </c>
      <c r="N279" s="27">
        <v>0.85895999999999995</v>
      </c>
      <c r="O279" s="27">
        <v>0.40415800000000002</v>
      </c>
      <c r="P279" s="27">
        <v>0.53452900000000003</v>
      </c>
      <c r="Q279" s="27">
        <v>0.19270499999999999</v>
      </c>
      <c r="R279" s="27">
        <v>0.11923300000000001</v>
      </c>
      <c r="S279" s="20" t="s">
        <v>52</v>
      </c>
      <c r="T279" s="20" t="s">
        <v>52</v>
      </c>
      <c r="U279" s="20" t="s">
        <v>52</v>
      </c>
      <c r="V279" s="5"/>
    </row>
    <row r="280" spans="1:22" x14ac:dyDescent="0.2">
      <c r="A280" s="5" t="s">
        <v>1196</v>
      </c>
      <c r="B280" s="27">
        <v>3.5579109999999998</v>
      </c>
      <c r="C280" s="27">
        <v>0.25843300000000002</v>
      </c>
      <c r="D280" s="27">
        <v>0.16813400000000001</v>
      </c>
      <c r="E280" s="27">
        <v>1.0647120000000001</v>
      </c>
      <c r="F280" s="27">
        <v>5.5764120000000004</v>
      </c>
      <c r="G280" s="27">
        <v>2.6297969999999999</v>
      </c>
      <c r="H280" s="27">
        <v>2.4668399999999999</v>
      </c>
      <c r="I280" s="20" t="s">
        <v>1173</v>
      </c>
      <c r="J280" s="20" t="s">
        <v>1173</v>
      </c>
      <c r="K280" s="27">
        <v>1.5602</v>
      </c>
      <c r="L280" s="27">
        <v>1.1389290000000001</v>
      </c>
      <c r="M280" s="20" t="s">
        <v>1173</v>
      </c>
      <c r="N280" s="20" t="s">
        <v>1173</v>
      </c>
      <c r="O280" s="20" t="s">
        <v>1173</v>
      </c>
      <c r="P280" s="20" t="s">
        <v>1173</v>
      </c>
      <c r="Q280" s="20" t="s">
        <v>1173</v>
      </c>
      <c r="R280" s="20" t="s">
        <v>1173</v>
      </c>
      <c r="S280" s="20" t="s">
        <v>1173</v>
      </c>
      <c r="T280" s="20" t="s">
        <v>1173</v>
      </c>
      <c r="U280" s="20" t="s">
        <v>1173</v>
      </c>
      <c r="V280" s="5"/>
    </row>
    <row r="281" spans="1:22" x14ac:dyDescent="0.2">
      <c r="A281" s="5"/>
      <c r="B281" s="5"/>
      <c r="C281" s="5"/>
      <c r="D281" s="5"/>
      <c r="E281" s="5"/>
      <c r="F281" s="5"/>
      <c r="G281" s="5"/>
      <c r="H281" s="5"/>
      <c r="I281" s="5"/>
      <c r="J281" s="5"/>
      <c r="K281" s="5"/>
      <c r="L281" s="5"/>
      <c r="M281" s="5"/>
      <c r="N281" s="5"/>
      <c r="O281" s="5"/>
      <c r="P281" s="5"/>
      <c r="Q281" s="5"/>
      <c r="R281" s="5"/>
      <c r="S281" s="5"/>
      <c r="T281" s="5"/>
      <c r="U281" s="5"/>
      <c r="V281" s="5"/>
    </row>
    <row r="282" spans="1:22" x14ac:dyDescent="0.2">
      <c r="A282" s="5" t="s">
        <v>1197</v>
      </c>
      <c r="B282" s="19">
        <v>2.9691999999999998</v>
      </c>
      <c r="C282" s="19">
        <v>3.5949339999999999</v>
      </c>
      <c r="D282" s="19">
        <v>4.1573700000000002</v>
      </c>
      <c r="E282" s="19">
        <v>4.2630569999999999</v>
      </c>
      <c r="F282" s="19">
        <v>3.4671789999999998</v>
      </c>
      <c r="G282" s="19">
        <v>4.7531090000000003</v>
      </c>
      <c r="H282" s="19">
        <v>2.469525</v>
      </c>
      <c r="I282" s="19">
        <v>3.6257969999999999</v>
      </c>
      <c r="J282" s="19">
        <v>4.1819930000000003</v>
      </c>
      <c r="K282" s="19">
        <v>4.2999309999999999</v>
      </c>
      <c r="L282" s="19">
        <v>5.2099159999999998</v>
      </c>
      <c r="M282" s="19">
        <v>4.5569449999999998</v>
      </c>
      <c r="N282" s="19">
        <v>4.8534170000000003</v>
      </c>
      <c r="O282" s="19">
        <v>5.12005</v>
      </c>
      <c r="P282" s="19">
        <v>4.8095509999999999</v>
      </c>
      <c r="Q282" s="19">
        <v>5.7059259999999998</v>
      </c>
      <c r="R282" s="19">
        <v>5.275652</v>
      </c>
      <c r="S282" s="19">
        <v>5.6216929999999996</v>
      </c>
      <c r="T282" s="19">
        <v>5.3227099999999998</v>
      </c>
      <c r="U282" s="19">
        <v>4.6581440000000001</v>
      </c>
      <c r="V282" s="5"/>
    </row>
    <row r="283" spans="1:22" x14ac:dyDescent="0.2">
      <c r="A283" s="5"/>
      <c r="B283" s="5"/>
      <c r="C283" s="5"/>
      <c r="D283" s="5"/>
      <c r="E283" s="5"/>
      <c r="F283" s="5"/>
      <c r="G283" s="5"/>
      <c r="H283" s="5"/>
      <c r="I283" s="5"/>
      <c r="J283" s="5"/>
      <c r="K283" s="5"/>
      <c r="L283" s="5"/>
      <c r="M283" s="5"/>
      <c r="N283" s="5"/>
      <c r="O283" s="5"/>
      <c r="P283" s="5"/>
      <c r="Q283" s="5"/>
      <c r="R283" s="5"/>
      <c r="S283" s="5"/>
      <c r="T283" s="5"/>
      <c r="U283" s="5"/>
      <c r="V283" s="5"/>
    </row>
    <row r="284" spans="1:22" ht="10.5" x14ac:dyDescent="0.2">
      <c r="A284" s="14" t="s">
        <v>1198</v>
      </c>
      <c r="B284" s="5"/>
      <c r="C284" s="5"/>
      <c r="D284" s="5"/>
      <c r="E284" s="5"/>
      <c r="F284" s="5"/>
      <c r="G284" s="5"/>
      <c r="H284" s="5"/>
      <c r="I284" s="5"/>
      <c r="J284" s="5"/>
      <c r="K284" s="5"/>
      <c r="L284" s="5"/>
      <c r="M284" s="5"/>
      <c r="N284" s="5"/>
      <c r="O284" s="5"/>
      <c r="P284" s="5"/>
      <c r="Q284" s="5"/>
      <c r="R284" s="5"/>
      <c r="S284" s="5"/>
      <c r="T284" s="5"/>
      <c r="U284" s="5"/>
      <c r="V284" s="5"/>
    </row>
    <row r="285" spans="1:22" x14ac:dyDescent="0.2">
      <c r="A285" s="5" t="s">
        <v>1199</v>
      </c>
      <c r="B285" s="20" t="s">
        <v>52</v>
      </c>
      <c r="C285" s="21">
        <v>0.87066900000000003</v>
      </c>
      <c r="D285" s="21">
        <v>0.89675400000000005</v>
      </c>
      <c r="E285" s="21">
        <v>0.805759</v>
      </c>
      <c r="F285" s="21">
        <v>0.125586</v>
      </c>
      <c r="G285" s="21">
        <v>0.73510500000000001</v>
      </c>
      <c r="H285" s="21">
        <v>0.211477</v>
      </c>
      <c r="I285" s="21">
        <v>2.2494E-2</v>
      </c>
      <c r="J285" s="21">
        <v>0.29525200000000001</v>
      </c>
      <c r="K285" s="21">
        <v>0.116798</v>
      </c>
      <c r="L285" s="21">
        <v>0.178144</v>
      </c>
      <c r="M285" s="21">
        <v>0.32498899999999997</v>
      </c>
      <c r="N285" s="21">
        <v>0.15451000000000001</v>
      </c>
      <c r="O285" s="21">
        <v>9.9093000000000001E-2</v>
      </c>
      <c r="P285" s="21">
        <v>0.28853200000000001</v>
      </c>
      <c r="Q285" s="21">
        <v>0.50412299999999999</v>
      </c>
      <c r="R285" s="21">
        <v>0.386936</v>
      </c>
      <c r="S285" s="21">
        <v>0.30159000000000002</v>
      </c>
      <c r="T285" s="21">
        <v>0.27552599999999999</v>
      </c>
      <c r="U285" s="21">
        <v>0.180839</v>
      </c>
      <c r="V285" s="5"/>
    </row>
    <row r="286" spans="1:22" x14ac:dyDescent="0.2">
      <c r="A286" s="5" t="s">
        <v>1200</v>
      </c>
      <c r="B286" s="20" t="s">
        <v>52</v>
      </c>
      <c r="C286" s="21">
        <v>0.64863999999999999</v>
      </c>
      <c r="D286" s="21">
        <v>0.59063399999999999</v>
      </c>
      <c r="E286" s="21">
        <v>0.43435800000000002</v>
      </c>
      <c r="F286" s="21">
        <v>0.13095499999999999</v>
      </c>
      <c r="G286" s="21">
        <v>0.427873</v>
      </c>
      <c r="H286" s="21">
        <v>0.57646200000000003</v>
      </c>
      <c r="I286" s="21">
        <v>2.7415999999999999E-2</v>
      </c>
      <c r="J286" s="21">
        <v>0.18476999999999999</v>
      </c>
      <c r="K286" s="21">
        <v>-1.653E-2</v>
      </c>
      <c r="L286" s="21">
        <v>0.26817400000000002</v>
      </c>
      <c r="M286" s="21">
        <v>0.39934399999999998</v>
      </c>
      <c r="N286" s="21">
        <v>0.30031999999999998</v>
      </c>
      <c r="O286" s="21">
        <v>0.11760900000000001</v>
      </c>
      <c r="P286" s="21">
        <v>0.29148000000000002</v>
      </c>
      <c r="Q286" s="21">
        <v>0.51851599999999998</v>
      </c>
      <c r="R286" s="21">
        <v>0.29968499999999998</v>
      </c>
      <c r="S286" s="21">
        <v>0.25275900000000001</v>
      </c>
      <c r="T286" s="21">
        <v>0.25542399999999998</v>
      </c>
      <c r="U286" s="21">
        <v>0.161023</v>
      </c>
      <c r="V286" s="5"/>
    </row>
    <row r="287" spans="1:22" x14ac:dyDescent="0.2">
      <c r="A287" s="5" t="s">
        <v>1201</v>
      </c>
      <c r="B287" s="20" t="s">
        <v>52</v>
      </c>
      <c r="C287" s="21">
        <v>2.5746470000000001</v>
      </c>
      <c r="D287" s="21">
        <v>1.4221980000000001</v>
      </c>
      <c r="E287" s="21">
        <v>0.57338800000000001</v>
      </c>
      <c r="F287" s="21">
        <v>-0.26634799999999997</v>
      </c>
      <c r="G287" s="21">
        <v>0.55243100000000001</v>
      </c>
      <c r="H287" s="21">
        <v>0.51622999999999997</v>
      </c>
      <c r="I287" s="21">
        <v>0.239316</v>
      </c>
      <c r="J287" s="21">
        <v>0.21043600000000001</v>
      </c>
      <c r="K287" s="21">
        <v>-0.37473699999999999</v>
      </c>
      <c r="L287" s="21">
        <v>9.0087E-2</v>
      </c>
      <c r="M287" s="21">
        <v>1.305126</v>
      </c>
      <c r="N287" s="21">
        <v>0.70437099999999997</v>
      </c>
      <c r="O287" s="21">
        <v>0.314552</v>
      </c>
      <c r="P287" s="21">
        <v>0.34290799999999999</v>
      </c>
      <c r="Q287" s="21">
        <v>0.60375800000000002</v>
      </c>
      <c r="R287" s="21">
        <v>0.377417</v>
      </c>
      <c r="S287" s="21">
        <v>0.24915000000000001</v>
      </c>
      <c r="T287" s="21">
        <v>0.30441400000000002</v>
      </c>
      <c r="U287" s="21">
        <v>0.115466</v>
      </c>
      <c r="V287" s="5"/>
    </row>
    <row r="288" spans="1:22" x14ac:dyDescent="0.2">
      <c r="A288" s="5" t="s">
        <v>1202</v>
      </c>
      <c r="B288" s="20" t="s">
        <v>52</v>
      </c>
      <c r="C288" s="21">
        <v>3.9522370000000002</v>
      </c>
      <c r="D288" s="21">
        <v>1.6424529999999999</v>
      </c>
      <c r="E288" s="21">
        <v>0.61505799999999999</v>
      </c>
      <c r="F288" s="21">
        <v>-0.31299500000000002</v>
      </c>
      <c r="G288" s="21">
        <v>0.51136499999999996</v>
      </c>
      <c r="H288" s="21">
        <v>0.53200899999999995</v>
      </c>
      <c r="I288" s="21">
        <v>0.34126400000000001</v>
      </c>
      <c r="J288" s="21">
        <v>0.20324200000000001</v>
      </c>
      <c r="K288" s="21">
        <v>-0.42459999999999998</v>
      </c>
      <c r="L288" s="21">
        <v>0.14416100000000001</v>
      </c>
      <c r="M288" s="21">
        <v>1.5399119999999999</v>
      </c>
      <c r="N288" s="21">
        <v>0.72107399999999999</v>
      </c>
      <c r="O288" s="21">
        <v>0.289775</v>
      </c>
      <c r="P288" s="21">
        <v>0.35577599999999998</v>
      </c>
      <c r="Q288" s="21">
        <v>0.62365000000000004</v>
      </c>
      <c r="R288" s="21">
        <v>0.36835600000000002</v>
      </c>
      <c r="S288" s="21">
        <v>0.22781399999999999</v>
      </c>
      <c r="T288" s="21">
        <v>0.29815199999999997</v>
      </c>
      <c r="U288" s="21">
        <v>0.114107</v>
      </c>
      <c r="V288" s="5"/>
    </row>
    <row r="289" spans="1:22" x14ac:dyDescent="0.2">
      <c r="A289" s="5" t="s">
        <v>1203</v>
      </c>
      <c r="B289" s="20" t="s">
        <v>52</v>
      </c>
      <c r="C289" s="21">
        <v>3.9522370000000002</v>
      </c>
      <c r="D289" s="21">
        <v>1.6424529999999999</v>
      </c>
      <c r="E289" s="21">
        <v>0.61505799999999999</v>
      </c>
      <c r="F289" s="21">
        <v>-0.31299500000000002</v>
      </c>
      <c r="G289" s="21">
        <v>0.51136499999999996</v>
      </c>
      <c r="H289" s="21">
        <v>0.46803400000000001</v>
      </c>
      <c r="I289" s="21">
        <v>0.39971499999999999</v>
      </c>
      <c r="J289" s="21">
        <v>0.20324200000000001</v>
      </c>
      <c r="K289" s="21">
        <v>-0.42459999999999998</v>
      </c>
      <c r="L289" s="21">
        <v>0.14416100000000001</v>
      </c>
      <c r="M289" s="21">
        <v>1.5399119999999999</v>
      </c>
      <c r="N289" s="21">
        <v>0.72107399999999999</v>
      </c>
      <c r="O289" s="21">
        <v>0.289775</v>
      </c>
      <c r="P289" s="21">
        <v>0.35577599999999998</v>
      </c>
      <c r="Q289" s="21">
        <v>0.62365000000000004</v>
      </c>
      <c r="R289" s="21">
        <v>0.36835600000000002</v>
      </c>
      <c r="S289" s="21">
        <v>0.22781399999999999</v>
      </c>
      <c r="T289" s="21">
        <v>0.29815199999999997</v>
      </c>
      <c r="U289" s="21">
        <v>0.114107</v>
      </c>
      <c r="V289" s="5"/>
    </row>
    <row r="290" spans="1:22" x14ac:dyDescent="0.2">
      <c r="A290" s="5" t="s">
        <v>1204</v>
      </c>
      <c r="B290" s="20" t="s">
        <v>52</v>
      </c>
      <c r="C290" s="21" t="s">
        <v>1173</v>
      </c>
      <c r="D290" s="21">
        <v>1.8261339999999999</v>
      </c>
      <c r="E290" s="21">
        <v>0.61960400000000004</v>
      </c>
      <c r="F290" s="21">
        <v>-0.27028400000000002</v>
      </c>
      <c r="G290" s="21">
        <v>0.24333399999999999</v>
      </c>
      <c r="H290" s="21">
        <v>0.46992099999999998</v>
      </c>
      <c r="I290" s="21">
        <v>0.78830800000000001</v>
      </c>
      <c r="J290" s="21">
        <v>0.42606899999999998</v>
      </c>
      <c r="K290" s="21">
        <v>-0.51217800000000002</v>
      </c>
      <c r="L290" s="21">
        <v>-1.3592999999999999E-2</v>
      </c>
      <c r="M290" s="21">
        <v>1.558171</v>
      </c>
      <c r="N290" s="21">
        <v>0.89756499999999995</v>
      </c>
      <c r="O290" s="21">
        <v>0.31207299999999999</v>
      </c>
      <c r="P290" s="21">
        <v>0.372174</v>
      </c>
      <c r="Q290" s="21">
        <v>0.63334100000000004</v>
      </c>
      <c r="R290" s="21">
        <v>0.49086600000000002</v>
      </c>
      <c r="S290" s="21">
        <v>0.19711400000000001</v>
      </c>
      <c r="T290" s="21">
        <v>0.32868700000000001</v>
      </c>
      <c r="U290" s="21">
        <v>0.13764899999999999</v>
      </c>
      <c r="V290" s="5"/>
    </row>
    <row r="291" spans="1:22" x14ac:dyDescent="0.2">
      <c r="A291" s="5" t="s">
        <v>1205</v>
      </c>
      <c r="B291" s="20" t="s">
        <v>52</v>
      </c>
      <c r="C291" s="21" t="s">
        <v>1173</v>
      </c>
      <c r="D291" s="21">
        <v>1.494996</v>
      </c>
      <c r="E291" s="21">
        <v>0.36822100000000002</v>
      </c>
      <c r="F291" s="21">
        <v>-0.31576700000000002</v>
      </c>
      <c r="G291" s="21">
        <v>0.33069100000000001</v>
      </c>
      <c r="H291" s="21">
        <v>1.5087489999999999</v>
      </c>
      <c r="I291" s="21">
        <v>0.78830800000000001</v>
      </c>
      <c r="J291" s="21">
        <v>0.42606899999999998</v>
      </c>
      <c r="K291" s="21">
        <v>-0.51217800000000002</v>
      </c>
      <c r="L291" s="21">
        <v>-1.3592999999999999E-2</v>
      </c>
      <c r="M291" s="21">
        <v>1.558171</v>
      </c>
      <c r="N291" s="21">
        <v>0.89756499999999995</v>
      </c>
      <c r="O291" s="21">
        <v>0.31207299999999999</v>
      </c>
      <c r="P291" s="21">
        <v>0.372174</v>
      </c>
      <c r="Q291" s="21">
        <v>0.63334100000000004</v>
      </c>
      <c r="R291" s="21">
        <v>0.49086600000000002</v>
      </c>
      <c r="S291" s="21">
        <v>0.19711400000000001</v>
      </c>
      <c r="T291" s="21">
        <v>0.32868700000000001</v>
      </c>
      <c r="U291" s="21">
        <v>0.13764899999999999</v>
      </c>
      <c r="V291" s="5"/>
    </row>
    <row r="292" spans="1:22" x14ac:dyDescent="0.2">
      <c r="A292" s="5" t="s">
        <v>1206</v>
      </c>
      <c r="B292" s="20" t="s">
        <v>52</v>
      </c>
      <c r="C292" s="21">
        <v>1.7224390000000001</v>
      </c>
      <c r="D292" s="21">
        <v>1.5939810000000001</v>
      </c>
      <c r="E292" s="21">
        <v>0.497892</v>
      </c>
      <c r="F292" s="21">
        <v>-0.49609799999999998</v>
      </c>
      <c r="G292" s="21">
        <v>0.61611199999999999</v>
      </c>
      <c r="H292" s="21">
        <v>2.4853070000000002</v>
      </c>
      <c r="I292" s="21">
        <v>0.46138000000000001</v>
      </c>
      <c r="J292" s="21">
        <v>1.1262540000000001</v>
      </c>
      <c r="K292" s="21">
        <v>-0.66105499999999995</v>
      </c>
      <c r="L292" s="21">
        <v>0.119836</v>
      </c>
      <c r="M292" s="21">
        <v>1.5571980000000001</v>
      </c>
      <c r="N292" s="21">
        <v>0.73735300000000004</v>
      </c>
      <c r="O292" s="21">
        <v>0.26111800000000002</v>
      </c>
      <c r="P292" s="21">
        <v>0.316498</v>
      </c>
      <c r="Q292" s="21">
        <v>0.631019</v>
      </c>
      <c r="R292" s="21">
        <v>0.37177399999999999</v>
      </c>
      <c r="S292" s="21">
        <v>0.22403999999999999</v>
      </c>
      <c r="T292" s="21">
        <v>0.298016</v>
      </c>
      <c r="U292" s="21">
        <v>0.11638999999999999</v>
      </c>
      <c r="V292" s="5"/>
    </row>
    <row r="293" spans="1:22" x14ac:dyDescent="0.2">
      <c r="A293" s="5" t="s">
        <v>1207</v>
      </c>
      <c r="B293" s="20" t="s">
        <v>52</v>
      </c>
      <c r="C293" s="20" t="s">
        <v>52</v>
      </c>
      <c r="D293" s="21">
        <v>1.494996</v>
      </c>
      <c r="E293" s="21">
        <v>0.36822100000000002</v>
      </c>
      <c r="F293" s="21">
        <v>-0.31576700000000002</v>
      </c>
      <c r="G293" s="21">
        <v>0.15578800000000001</v>
      </c>
      <c r="H293" s="21">
        <v>-0.975607</v>
      </c>
      <c r="I293" s="21">
        <v>0.78830900000000004</v>
      </c>
      <c r="J293" s="21">
        <v>0.42607</v>
      </c>
      <c r="K293" s="21">
        <v>-0.52682099999999998</v>
      </c>
      <c r="L293" s="21">
        <v>-1.3785E-2</v>
      </c>
      <c r="M293" s="21">
        <v>1.558135</v>
      </c>
      <c r="N293" s="21">
        <v>0.89334899999999995</v>
      </c>
      <c r="O293" s="21">
        <v>0.31083</v>
      </c>
      <c r="P293" s="21">
        <v>0.37069400000000002</v>
      </c>
      <c r="Q293" s="21">
        <v>0.63334100000000004</v>
      </c>
      <c r="R293" s="21">
        <v>0.45683000000000001</v>
      </c>
      <c r="S293" s="21">
        <v>0.156917</v>
      </c>
      <c r="T293" s="20" t="s">
        <v>52</v>
      </c>
      <c r="U293" s="20" t="s">
        <v>52</v>
      </c>
      <c r="V293" s="5"/>
    </row>
    <row r="294" spans="1:22" x14ac:dyDescent="0.2">
      <c r="A294" s="5"/>
      <c r="B294" s="5"/>
      <c r="C294" s="5"/>
      <c r="D294" s="5"/>
      <c r="E294" s="5"/>
      <c r="F294" s="5"/>
      <c r="G294" s="5"/>
      <c r="H294" s="5"/>
      <c r="I294" s="5"/>
      <c r="J294" s="5"/>
      <c r="K294" s="5"/>
      <c r="L294" s="5"/>
      <c r="M294" s="5"/>
      <c r="N294" s="5"/>
      <c r="O294" s="5"/>
      <c r="P294" s="5"/>
      <c r="Q294" s="5"/>
      <c r="R294" s="5"/>
      <c r="S294" s="5"/>
      <c r="T294" s="5"/>
      <c r="U294" s="5"/>
      <c r="V294" s="5"/>
    </row>
    <row r="295" spans="1:22" x14ac:dyDescent="0.2">
      <c r="A295" s="5" t="s">
        <v>1208</v>
      </c>
      <c r="B295" s="20" t="s">
        <v>52</v>
      </c>
      <c r="C295" s="21">
        <v>1.1419090000000001</v>
      </c>
      <c r="D295" s="21">
        <v>0.87873699999999999</v>
      </c>
      <c r="E295" s="21">
        <v>0.878139</v>
      </c>
      <c r="F295" s="21">
        <v>0.30163499999999999</v>
      </c>
      <c r="G295" s="21">
        <v>0.22187399999999999</v>
      </c>
      <c r="H295" s="21">
        <v>1.4374290000000001</v>
      </c>
      <c r="I295" s="21">
        <v>-0.39854299999999998</v>
      </c>
      <c r="J295" s="21">
        <v>0.32163900000000001</v>
      </c>
      <c r="K295" s="21">
        <v>-2.1808000000000001E-2</v>
      </c>
      <c r="L295" s="21">
        <v>0.17980499999999999</v>
      </c>
      <c r="M295" s="21">
        <v>0.23375000000000001</v>
      </c>
      <c r="N295" s="21">
        <v>3.4494999999999998E-2</v>
      </c>
      <c r="O295" s="21">
        <v>4.5041999999999999E-2</v>
      </c>
      <c r="P295" s="21">
        <v>0.46195999999999998</v>
      </c>
      <c r="Q295" s="21">
        <v>0.579928</v>
      </c>
      <c r="R295" s="21">
        <v>0.40628599999999998</v>
      </c>
      <c r="S295" s="21">
        <v>0.217365</v>
      </c>
      <c r="T295" s="21">
        <v>0.16880500000000001</v>
      </c>
      <c r="U295" s="21">
        <v>0.21713399999999999</v>
      </c>
      <c r="V295" s="5"/>
    </row>
    <row r="296" spans="1:22" x14ac:dyDescent="0.2">
      <c r="A296" s="5" t="s">
        <v>1209</v>
      </c>
      <c r="B296" s="20" t="s">
        <v>52</v>
      </c>
      <c r="C296" s="21">
        <v>-0.648173</v>
      </c>
      <c r="D296" s="21">
        <v>0.16814599999999999</v>
      </c>
      <c r="E296" s="21">
        <v>-0.26497500000000002</v>
      </c>
      <c r="F296" s="21">
        <v>2.649864</v>
      </c>
      <c r="G296" s="21">
        <v>0.95370100000000002</v>
      </c>
      <c r="H296" s="21">
        <v>2.8186149999999999</v>
      </c>
      <c r="I296" s="21">
        <v>-0.77439899999999995</v>
      </c>
      <c r="J296" s="21">
        <v>-0.15084800000000001</v>
      </c>
      <c r="K296" s="21">
        <v>2.2564000000000001E-2</v>
      </c>
      <c r="L296" s="21">
        <v>-0.31723699999999999</v>
      </c>
      <c r="M296" s="21">
        <v>1.3567229999999999</v>
      </c>
      <c r="N296" s="21">
        <v>-2.0230000000000001E-3</v>
      </c>
      <c r="O296" s="21">
        <v>-0.34446599999999999</v>
      </c>
      <c r="P296" s="21">
        <v>2.1497099999999998</v>
      </c>
      <c r="Q296" s="21">
        <v>0.25162400000000001</v>
      </c>
      <c r="R296" s="21">
        <v>0.929504</v>
      </c>
      <c r="S296" s="21">
        <v>1.1315459999999999</v>
      </c>
      <c r="T296" s="21">
        <v>4.7240999999999998E-2</v>
      </c>
      <c r="U296" s="21">
        <v>-0.40816799999999998</v>
      </c>
      <c r="V296" s="5"/>
    </row>
    <row r="297" spans="1:22" x14ac:dyDescent="0.2">
      <c r="A297" s="5" t="s">
        <v>1210</v>
      </c>
      <c r="B297" s="20" t="s">
        <v>52</v>
      </c>
      <c r="C297" s="21">
        <v>0.34839599999999998</v>
      </c>
      <c r="D297" s="21">
        <v>0.43613600000000002</v>
      </c>
      <c r="E297" s="21">
        <v>0.167823</v>
      </c>
      <c r="F297" s="21">
        <v>0.60384400000000005</v>
      </c>
      <c r="G297" s="21">
        <v>0.17230799999999999</v>
      </c>
      <c r="H297" s="21">
        <v>-0.26848</v>
      </c>
      <c r="I297" s="21">
        <v>-1.3576E-2</v>
      </c>
      <c r="J297" s="21">
        <v>0.85106400000000004</v>
      </c>
      <c r="K297" s="21">
        <v>-0.108182</v>
      </c>
      <c r="L297" s="21">
        <v>-0.35738700000000001</v>
      </c>
      <c r="M297" s="21">
        <v>0.14050599999999999</v>
      </c>
      <c r="N297" s="21">
        <v>0.26827800000000002</v>
      </c>
      <c r="O297" s="21">
        <v>-0.20872199999999999</v>
      </c>
      <c r="P297" s="21">
        <v>-0.18013799999999999</v>
      </c>
      <c r="Q297" s="21">
        <v>0.91071999999999997</v>
      </c>
      <c r="R297" s="21">
        <v>5.6500659999999998</v>
      </c>
      <c r="S297" s="21">
        <v>0.35214699999999999</v>
      </c>
      <c r="T297" s="21">
        <v>4.036E-2</v>
      </c>
      <c r="U297" s="21">
        <v>5.9027999999999997E-2</v>
      </c>
      <c r="V297" s="5"/>
    </row>
    <row r="298" spans="1:22" x14ac:dyDescent="0.2">
      <c r="A298" s="5" t="s">
        <v>1079</v>
      </c>
      <c r="B298" s="20" t="s">
        <v>52</v>
      </c>
      <c r="C298" s="21">
        <v>0.75620299999999996</v>
      </c>
      <c r="D298" s="21">
        <v>0.78166400000000003</v>
      </c>
      <c r="E298" s="21">
        <v>0.76298299999999997</v>
      </c>
      <c r="F298" s="21">
        <v>0.33410600000000001</v>
      </c>
      <c r="G298" s="21">
        <v>0.23033899999999999</v>
      </c>
      <c r="H298" s="21">
        <v>1.3892599999999999</v>
      </c>
      <c r="I298" s="21">
        <v>-0.282331</v>
      </c>
      <c r="J298" s="21">
        <v>0.218501</v>
      </c>
      <c r="K298" s="21">
        <v>9.1339999999999998E-3</v>
      </c>
      <c r="L298" s="21">
        <v>-1.3757999999999999E-2</v>
      </c>
      <c r="M298" s="21">
        <v>0.60743499999999995</v>
      </c>
      <c r="N298" s="21">
        <v>0.181391</v>
      </c>
      <c r="O298" s="21">
        <v>0.12914100000000001</v>
      </c>
      <c r="P298" s="21">
        <v>0.28084199999999998</v>
      </c>
      <c r="Q298" s="21">
        <v>0.32688899999999999</v>
      </c>
      <c r="R298" s="21">
        <v>0.53205499999999994</v>
      </c>
      <c r="S298" s="21">
        <v>0.17085</v>
      </c>
      <c r="T298" s="21">
        <v>0.399619</v>
      </c>
      <c r="U298" s="21">
        <v>0.38196400000000003</v>
      </c>
      <c r="V298" s="5"/>
    </row>
    <row r="299" spans="1:22" x14ac:dyDescent="0.2">
      <c r="A299" s="5"/>
      <c r="B299" s="5"/>
      <c r="C299" s="5"/>
      <c r="D299" s="5"/>
      <c r="E299" s="5"/>
      <c r="F299" s="5"/>
      <c r="G299" s="5"/>
      <c r="H299" s="5"/>
      <c r="I299" s="5"/>
      <c r="J299" s="5"/>
      <c r="K299" s="5"/>
      <c r="L299" s="5"/>
      <c r="M299" s="5"/>
      <c r="N299" s="5"/>
      <c r="O299" s="5"/>
      <c r="P299" s="5"/>
      <c r="Q299" s="5"/>
      <c r="R299" s="5"/>
      <c r="S299" s="5"/>
      <c r="T299" s="5"/>
      <c r="U299" s="5"/>
      <c r="V299" s="5"/>
    </row>
    <row r="300" spans="1:22" x14ac:dyDescent="0.2">
      <c r="A300" s="5" t="s">
        <v>1211</v>
      </c>
      <c r="B300" s="20" t="s">
        <v>52</v>
      </c>
      <c r="C300" s="21">
        <v>2.7430500000000002</v>
      </c>
      <c r="D300" s="21">
        <v>1.7156070000000001</v>
      </c>
      <c r="E300" s="21">
        <v>0.69550000000000001</v>
      </c>
      <c r="F300" s="21">
        <v>0.348829</v>
      </c>
      <c r="G300" s="21">
        <v>0.34413899999999997</v>
      </c>
      <c r="H300" s="21">
        <v>1.0581210000000001</v>
      </c>
      <c r="I300" s="21">
        <v>0.42381000000000002</v>
      </c>
      <c r="J300" s="21">
        <v>0.55899299999999996</v>
      </c>
      <c r="K300" s="21">
        <v>-0.32762599999999997</v>
      </c>
      <c r="L300" s="21">
        <v>0.36591200000000002</v>
      </c>
      <c r="M300" s="21">
        <v>0.55615499999999995</v>
      </c>
      <c r="N300" s="21">
        <v>0.48035800000000001</v>
      </c>
      <c r="O300" s="21">
        <v>0.507355</v>
      </c>
      <c r="P300" s="21">
        <v>-0.118399</v>
      </c>
      <c r="Q300" s="21">
        <v>0.90125900000000003</v>
      </c>
      <c r="R300" s="21">
        <v>0.649173</v>
      </c>
      <c r="S300" s="21">
        <v>0.16212699999999999</v>
      </c>
      <c r="T300" s="21">
        <v>0.49601600000000001</v>
      </c>
      <c r="U300" s="21">
        <v>0.32854899999999998</v>
      </c>
      <c r="V300" s="5"/>
    </row>
    <row r="301" spans="1:22" x14ac:dyDescent="0.2">
      <c r="A301" s="5" t="s">
        <v>1212</v>
      </c>
      <c r="B301" s="20" t="s">
        <v>52</v>
      </c>
      <c r="C301" s="21">
        <v>2.201219</v>
      </c>
      <c r="D301" s="21">
        <v>1.7156070000000001</v>
      </c>
      <c r="E301" s="21">
        <v>0.69550000000000001</v>
      </c>
      <c r="F301" s="21">
        <v>0.348829</v>
      </c>
      <c r="G301" s="21">
        <v>0.34413899999999997</v>
      </c>
      <c r="H301" s="21">
        <v>1.5110110000000001</v>
      </c>
      <c r="I301" s="21">
        <v>0.16700899999999999</v>
      </c>
      <c r="J301" s="21">
        <v>0.55899299999999996</v>
      </c>
      <c r="K301" s="21">
        <v>-0.32762599999999997</v>
      </c>
      <c r="L301" s="21">
        <v>0.36591200000000002</v>
      </c>
      <c r="M301" s="21">
        <v>0.55615499999999995</v>
      </c>
      <c r="N301" s="21">
        <v>0.48035800000000001</v>
      </c>
      <c r="O301" s="21">
        <v>0.507355</v>
      </c>
      <c r="P301" s="21">
        <v>-0.118399</v>
      </c>
      <c r="Q301" s="21">
        <v>0.90125900000000003</v>
      </c>
      <c r="R301" s="21">
        <v>0.649173</v>
      </c>
      <c r="S301" s="21">
        <v>0.171955</v>
      </c>
      <c r="T301" s="21">
        <v>0.49428100000000003</v>
      </c>
      <c r="U301" s="21">
        <v>0.32527400000000001</v>
      </c>
      <c r="V301" s="5"/>
    </row>
    <row r="302" spans="1:22" x14ac:dyDescent="0.2">
      <c r="A302" s="5" t="s">
        <v>1213</v>
      </c>
      <c r="B302" s="20" t="s">
        <v>52</v>
      </c>
      <c r="C302" s="21">
        <v>7.3446400000000001</v>
      </c>
      <c r="D302" s="21">
        <v>-0.24401700000000001</v>
      </c>
      <c r="E302" s="21" t="s">
        <v>1173</v>
      </c>
      <c r="F302" s="21" t="s">
        <v>1173</v>
      </c>
      <c r="G302" s="21" t="s">
        <v>1173</v>
      </c>
      <c r="H302" s="21" t="s">
        <v>1173</v>
      </c>
      <c r="I302" s="21" t="s">
        <v>1173</v>
      </c>
      <c r="J302" s="21" t="s">
        <v>1173</v>
      </c>
      <c r="K302" s="21" t="s">
        <v>1173</v>
      </c>
      <c r="L302" s="21" t="s">
        <v>1173</v>
      </c>
      <c r="M302" s="21">
        <v>8.1217059999999996</v>
      </c>
      <c r="N302" s="21">
        <v>0.71703600000000001</v>
      </c>
      <c r="O302" s="21">
        <v>0.160575</v>
      </c>
      <c r="P302" s="21">
        <v>0.18060699999999999</v>
      </c>
      <c r="Q302" s="21">
        <v>-0.83687</v>
      </c>
      <c r="R302" s="21">
        <v>9.0080410000000004</v>
      </c>
      <c r="S302" s="21">
        <v>0.20963499999999999</v>
      </c>
      <c r="T302" s="21">
        <v>1.0203610000000001</v>
      </c>
      <c r="U302" s="21">
        <v>0.329044</v>
      </c>
      <c r="V302" s="5"/>
    </row>
    <row r="303" spans="1:22" x14ac:dyDescent="0.2">
      <c r="A303" s="5" t="s">
        <v>1214</v>
      </c>
      <c r="B303" s="20" t="s">
        <v>52</v>
      </c>
      <c r="C303" s="21">
        <v>1.322808</v>
      </c>
      <c r="D303" s="21">
        <v>2.3316089999999998</v>
      </c>
      <c r="E303" s="21">
        <v>-0.23974500000000001</v>
      </c>
      <c r="F303" s="21">
        <v>2.0036510000000001</v>
      </c>
      <c r="G303" s="21">
        <v>-0.236288</v>
      </c>
      <c r="H303" s="21">
        <v>-0.59307200000000004</v>
      </c>
      <c r="I303" s="21">
        <v>0.86814400000000003</v>
      </c>
      <c r="J303" s="21">
        <v>2.386047</v>
      </c>
      <c r="K303" s="21">
        <v>-0.48635400000000001</v>
      </c>
      <c r="L303" s="21">
        <v>-0.59860000000000002</v>
      </c>
      <c r="M303" s="21">
        <v>0.40647899999999998</v>
      </c>
      <c r="N303" s="21">
        <v>0.56533</v>
      </c>
      <c r="O303" s="21">
        <v>-0.29252400000000001</v>
      </c>
      <c r="P303" s="21">
        <v>0.42532999999999999</v>
      </c>
      <c r="Q303" s="21">
        <v>1.4863960000000001</v>
      </c>
      <c r="R303" s="21">
        <v>6.8122480000000003</v>
      </c>
      <c r="S303" s="21">
        <v>-0.39504099999999998</v>
      </c>
      <c r="T303" s="21">
        <v>-0.33072000000000001</v>
      </c>
      <c r="U303" s="21">
        <v>0.21679399999999999</v>
      </c>
      <c r="V303" s="5"/>
    </row>
    <row r="304" spans="1:22" x14ac:dyDescent="0.2">
      <c r="A304" s="5" t="s">
        <v>1215</v>
      </c>
      <c r="B304" s="20" t="s">
        <v>52</v>
      </c>
      <c r="C304" s="20" t="s">
        <v>52</v>
      </c>
      <c r="D304" s="21" t="s">
        <v>1173</v>
      </c>
      <c r="E304" s="21" t="s">
        <v>1173</v>
      </c>
      <c r="F304" s="21" t="s">
        <v>1173</v>
      </c>
      <c r="G304" s="21" t="s">
        <v>1173</v>
      </c>
      <c r="H304" s="21" t="s">
        <v>1173</v>
      </c>
      <c r="I304" s="21" t="s">
        <v>1173</v>
      </c>
      <c r="J304" s="21" t="s">
        <v>1173</v>
      </c>
      <c r="K304" s="21" t="s">
        <v>1173</v>
      </c>
      <c r="L304" s="21" t="s">
        <v>1173</v>
      </c>
      <c r="M304" s="21">
        <v>127.25026800000001</v>
      </c>
      <c r="N304" s="21">
        <v>1.0140579999999999</v>
      </c>
      <c r="O304" s="21">
        <v>-8.2687999999999998E-2</v>
      </c>
      <c r="P304" s="21">
        <v>0.22267500000000001</v>
      </c>
      <c r="Q304" s="21" t="s">
        <v>1173</v>
      </c>
      <c r="R304" s="21" t="s">
        <v>1173</v>
      </c>
      <c r="S304" s="21">
        <v>3.5553469999999998</v>
      </c>
      <c r="T304" s="21">
        <v>1.579078</v>
      </c>
      <c r="U304" s="21">
        <v>0.40731299999999998</v>
      </c>
      <c r="V304" s="5"/>
    </row>
    <row r="305" spans="1:22" x14ac:dyDescent="0.2">
      <c r="A305" s="5" t="s">
        <v>1216</v>
      </c>
      <c r="B305" s="20" t="s">
        <v>52</v>
      </c>
      <c r="C305" s="20" t="s">
        <v>52</v>
      </c>
      <c r="D305" s="21" t="s">
        <v>1173</v>
      </c>
      <c r="E305" s="21" t="s">
        <v>1173</v>
      </c>
      <c r="F305" s="21" t="s">
        <v>1173</v>
      </c>
      <c r="G305" s="21" t="s">
        <v>1173</v>
      </c>
      <c r="H305" s="21" t="s">
        <v>1173</v>
      </c>
      <c r="I305" s="21" t="s">
        <v>1173</v>
      </c>
      <c r="J305" s="21" t="s">
        <v>1173</v>
      </c>
      <c r="K305" s="21" t="s">
        <v>1173</v>
      </c>
      <c r="L305" s="21" t="s">
        <v>1173</v>
      </c>
      <c r="M305" s="21">
        <v>63.945858999999999</v>
      </c>
      <c r="N305" s="21">
        <v>1.010059</v>
      </c>
      <c r="O305" s="21">
        <v>-8.2713999999999996E-2</v>
      </c>
      <c r="P305" s="21">
        <v>0.23005600000000001</v>
      </c>
      <c r="Q305" s="21" t="s">
        <v>1173</v>
      </c>
      <c r="R305" s="21" t="s">
        <v>1173</v>
      </c>
      <c r="S305" s="21">
        <v>3.5553469999999998</v>
      </c>
      <c r="T305" s="21">
        <v>1.579078</v>
      </c>
      <c r="U305" s="21">
        <v>0.40731299999999998</v>
      </c>
      <c r="V305" s="5"/>
    </row>
    <row r="306" spans="1:22" x14ac:dyDescent="0.2">
      <c r="A306" s="5" t="s">
        <v>1217</v>
      </c>
      <c r="B306" s="20" t="s">
        <v>52</v>
      </c>
      <c r="C306" s="20" t="s">
        <v>52</v>
      </c>
      <c r="D306" s="20" t="s">
        <v>52</v>
      </c>
      <c r="E306" s="20" t="s">
        <v>52</v>
      </c>
      <c r="F306" s="20" t="s">
        <v>52</v>
      </c>
      <c r="G306" s="20" t="s">
        <v>52</v>
      </c>
      <c r="H306" s="20" t="s">
        <v>52</v>
      </c>
      <c r="I306" s="20" t="s">
        <v>52</v>
      </c>
      <c r="J306" s="20" t="s">
        <v>52</v>
      </c>
      <c r="K306" s="20" t="s">
        <v>52</v>
      </c>
      <c r="L306" s="20" t="s">
        <v>52</v>
      </c>
      <c r="M306" s="20" t="s">
        <v>52</v>
      </c>
      <c r="N306" s="20" t="s">
        <v>52</v>
      </c>
      <c r="O306" s="20" t="s">
        <v>52</v>
      </c>
      <c r="P306" s="20" t="s">
        <v>52</v>
      </c>
      <c r="Q306" s="20" t="s">
        <v>52</v>
      </c>
      <c r="R306" s="20" t="s">
        <v>52</v>
      </c>
      <c r="S306" s="20" t="s">
        <v>52</v>
      </c>
      <c r="T306" s="20" t="s">
        <v>52</v>
      </c>
      <c r="U306" s="21">
        <v>4.4864860000000002</v>
      </c>
      <c r="V306" s="5"/>
    </row>
    <row r="307" spans="1:22" x14ac:dyDescent="0.2">
      <c r="A307" s="5"/>
      <c r="B307" s="5"/>
      <c r="C307" s="5"/>
      <c r="D307" s="5"/>
      <c r="E307" s="5"/>
      <c r="F307" s="5"/>
      <c r="G307" s="5"/>
      <c r="H307" s="5"/>
      <c r="I307" s="5"/>
      <c r="J307" s="5"/>
      <c r="K307" s="5"/>
      <c r="L307" s="5"/>
      <c r="M307" s="5"/>
      <c r="N307" s="5"/>
      <c r="O307" s="5"/>
      <c r="P307" s="5"/>
      <c r="Q307" s="5"/>
      <c r="R307" s="5"/>
      <c r="S307" s="5"/>
      <c r="T307" s="5"/>
      <c r="U307" s="5"/>
      <c r="V307" s="5"/>
    </row>
    <row r="308" spans="1:22" ht="10.5" x14ac:dyDescent="0.2">
      <c r="A308" s="14" t="s">
        <v>1218</v>
      </c>
      <c r="B308" s="5"/>
      <c r="C308" s="5"/>
      <c r="D308" s="5"/>
      <c r="E308" s="5"/>
      <c r="F308" s="5"/>
      <c r="G308" s="5"/>
      <c r="H308" s="5"/>
      <c r="I308" s="5"/>
      <c r="J308" s="5"/>
      <c r="K308" s="5"/>
      <c r="L308" s="5"/>
      <c r="M308" s="5"/>
      <c r="N308" s="5"/>
      <c r="O308" s="5"/>
      <c r="P308" s="5"/>
      <c r="Q308" s="5"/>
      <c r="R308" s="5"/>
      <c r="S308" s="5"/>
      <c r="T308" s="5"/>
      <c r="U308" s="5"/>
      <c r="V308" s="5"/>
    </row>
    <row r="309" spans="1:22" x14ac:dyDescent="0.2">
      <c r="A309" s="5" t="s">
        <v>1199</v>
      </c>
      <c r="B309" s="20" t="s">
        <v>52</v>
      </c>
      <c r="C309" s="20" t="s">
        <v>52</v>
      </c>
      <c r="D309" s="21">
        <v>0.88366699999999998</v>
      </c>
      <c r="E309" s="21">
        <v>0.85069700000000004</v>
      </c>
      <c r="F309" s="21">
        <v>0.42567100000000002</v>
      </c>
      <c r="G309" s="21">
        <v>0.39750200000000002</v>
      </c>
      <c r="H309" s="21">
        <v>0.44984200000000002</v>
      </c>
      <c r="I309" s="21">
        <v>0.112982</v>
      </c>
      <c r="J309" s="21">
        <v>0.15082100000000001</v>
      </c>
      <c r="K309" s="21">
        <v>0.20272000000000001</v>
      </c>
      <c r="L309" s="21">
        <v>0.147061</v>
      </c>
      <c r="M309" s="21">
        <v>0.24941099999999999</v>
      </c>
      <c r="N309" s="21">
        <v>0.236816</v>
      </c>
      <c r="O309" s="21">
        <v>0.12646099999999999</v>
      </c>
      <c r="P309" s="21">
        <v>0.19005</v>
      </c>
      <c r="Q309" s="21">
        <v>0.39216099999999998</v>
      </c>
      <c r="R309" s="21">
        <v>0.44434200000000001</v>
      </c>
      <c r="S309" s="21">
        <v>0.343586</v>
      </c>
      <c r="T309" s="21">
        <v>0.288493</v>
      </c>
      <c r="U309" s="21">
        <v>0.22727</v>
      </c>
      <c r="V309" s="5"/>
    </row>
    <row r="310" spans="1:22" x14ac:dyDescent="0.2">
      <c r="A310" s="5" t="s">
        <v>1200</v>
      </c>
      <c r="B310" s="20" t="s">
        <v>52</v>
      </c>
      <c r="C310" s="20" t="s">
        <v>52</v>
      </c>
      <c r="D310" s="21">
        <v>0.61937699999999996</v>
      </c>
      <c r="E310" s="21">
        <v>0.51047600000000004</v>
      </c>
      <c r="F310" s="21">
        <v>0.27365400000000001</v>
      </c>
      <c r="G310" s="21">
        <v>0.27077200000000001</v>
      </c>
      <c r="H310" s="21">
        <v>0.50033000000000005</v>
      </c>
      <c r="I310" s="21">
        <v>0.27266800000000002</v>
      </c>
      <c r="J310" s="21">
        <v>0.10329099999999999</v>
      </c>
      <c r="K310" s="21">
        <v>7.9436999999999994E-2</v>
      </c>
      <c r="L310" s="21">
        <v>0.116786</v>
      </c>
      <c r="M310" s="21">
        <v>0.332146</v>
      </c>
      <c r="N310" s="21">
        <v>0.34892400000000001</v>
      </c>
      <c r="O310" s="21">
        <v>0.205508</v>
      </c>
      <c r="P310" s="21">
        <v>0.201404</v>
      </c>
      <c r="Q310" s="21">
        <v>0.40040500000000001</v>
      </c>
      <c r="R310" s="21">
        <v>0.40484599999999998</v>
      </c>
      <c r="S310" s="21">
        <v>0.27600599999999997</v>
      </c>
      <c r="T310" s="21">
        <v>0.25409100000000001</v>
      </c>
      <c r="U310" s="21">
        <v>0.20730199999999999</v>
      </c>
      <c r="V310" s="5"/>
    </row>
    <row r="311" spans="1:22" x14ac:dyDescent="0.2">
      <c r="A311" s="5" t="s">
        <v>1201</v>
      </c>
      <c r="B311" s="20" t="s">
        <v>52</v>
      </c>
      <c r="C311" s="20" t="s">
        <v>52</v>
      </c>
      <c r="D311" s="21">
        <v>1.942534</v>
      </c>
      <c r="E311" s="21">
        <v>0.95219399999999998</v>
      </c>
      <c r="F311" s="21">
        <v>7.4393000000000001E-2</v>
      </c>
      <c r="G311" s="21">
        <v>6.7213999999999996E-2</v>
      </c>
      <c r="H311" s="21">
        <v>0.53422499999999995</v>
      </c>
      <c r="I311" s="21">
        <v>0.37079899999999999</v>
      </c>
      <c r="J311" s="21">
        <v>0.22479099999999999</v>
      </c>
      <c r="K311" s="21">
        <v>-0.13003400000000001</v>
      </c>
      <c r="L311" s="21">
        <v>-0.17441400000000001</v>
      </c>
      <c r="M311" s="21">
        <v>0.58517799999999998</v>
      </c>
      <c r="N311" s="21">
        <v>0.98211800000000005</v>
      </c>
      <c r="O311" s="21">
        <v>0.49682500000000002</v>
      </c>
      <c r="P311" s="21">
        <v>0.32865499999999997</v>
      </c>
      <c r="Q311" s="21">
        <v>0.46754899999999999</v>
      </c>
      <c r="R311" s="21">
        <v>0.48628500000000002</v>
      </c>
      <c r="S311" s="21">
        <v>0.31171599999999999</v>
      </c>
      <c r="T311" s="21">
        <v>0.27648299999999998</v>
      </c>
      <c r="U311" s="21">
        <v>0.20624700000000001</v>
      </c>
      <c r="V311" s="5"/>
    </row>
    <row r="312" spans="1:22" x14ac:dyDescent="0.2">
      <c r="A312" s="5" t="s">
        <v>1202</v>
      </c>
      <c r="B312" s="20" t="s">
        <v>52</v>
      </c>
      <c r="C312" s="20" t="s">
        <v>52</v>
      </c>
      <c r="D312" s="21">
        <v>2.6174650000000002</v>
      </c>
      <c r="E312" s="21">
        <v>1.0658449999999999</v>
      </c>
      <c r="F312" s="21">
        <v>5.3352999999999998E-2</v>
      </c>
      <c r="G312" s="21">
        <v>1.8977000000000001E-2</v>
      </c>
      <c r="H312" s="21">
        <v>0.521652</v>
      </c>
      <c r="I312" s="21">
        <v>0.43346699999999999</v>
      </c>
      <c r="J312" s="21">
        <v>0.27038000000000001</v>
      </c>
      <c r="K312" s="21">
        <v>-0.16792699999999999</v>
      </c>
      <c r="L312" s="21">
        <v>-0.188612</v>
      </c>
      <c r="M312" s="21">
        <v>0.70472000000000001</v>
      </c>
      <c r="N312" s="21">
        <v>1.090784</v>
      </c>
      <c r="O312" s="21">
        <v>0.48989899999999997</v>
      </c>
      <c r="P312" s="21">
        <v>0.32236399999999998</v>
      </c>
      <c r="Q312" s="21">
        <v>0.48368</v>
      </c>
      <c r="R312" s="21">
        <v>0.49054799999999998</v>
      </c>
      <c r="S312" s="21">
        <v>0.296182</v>
      </c>
      <c r="T312" s="21">
        <v>0.26249400000000001</v>
      </c>
      <c r="U312" s="21">
        <v>0.20261399999999999</v>
      </c>
      <c r="V312" s="5"/>
    </row>
    <row r="313" spans="1:22" x14ac:dyDescent="0.2">
      <c r="A313" s="5" t="s">
        <v>1203</v>
      </c>
      <c r="B313" s="20" t="s">
        <v>52</v>
      </c>
      <c r="C313" s="20" t="s">
        <v>52</v>
      </c>
      <c r="D313" s="21">
        <v>2.6174650000000002</v>
      </c>
      <c r="E313" s="21">
        <v>1.0658449999999999</v>
      </c>
      <c r="F313" s="21">
        <v>5.3352999999999998E-2</v>
      </c>
      <c r="G313" s="21">
        <v>1.8977000000000001E-2</v>
      </c>
      <c r="H313" s="21">
        <v>0.48954199999999998</v>
      </c>
      <c r="I313" s="21">
        <v>0.43346699999999999</v>
      </c>
      <c r="J313" s="21">
        <v>0.29776599999999998</v>
      </c>
      <c r="K313" s="21">
        <v>-0.16792699999999999</v>
      </c>
      <c r="L313" s="21">
        <v>-0.188612</v>
      </c>
      <c r="M313" s="21">
        <v>0.70472000000000001</v>
      </c>
      <c r="N313" s="21">
        <v>1.090784</v>
      </c>
      <c r="O313" s="21">
        <v>0.48989899999999997</v>
      </c>
      <c r="P313" s="21">
        <v>0.32236399999999998</v>
      </c>
      <c r="Q313" s="21">
        <v>0.48368</v>
      </c>
      <c r="R313" s="21">
        <v>0.49054799999999998</v>
      </c>
      <c r="S313" s="21">
        <v>0.296182</v>
      </c>
      <c r="T313" s="21">
        <v>0.26249400000000001</v>
      </c>
      <c r="U313" s="21">
        <v>0.20261399999999999</v>
      </c>
      <c r="V313" s="5"/>
    </row>
    <row r="314" spans="1:22" x14ac:dyDescent="0.2">
      <c r="A314" s="5" t="s">
        <v>1204</v>
      </c>
      <c r="B314" s="20" t="s">
        <v>52</v>
      </c>
      <c r="C314" s="20" t="s">
        <v>52</v>
      </c>
      <c r="D314" s="21" t="s">
        <v>1173</v>
      </c>
      <c r="E314" s="21">
        <v>1.1394439999999999</v>
      </c>
      <c r="F314" s="21">
        <v>8.7129999999999999E-2</v>
      </c>
      <c r="G314" s="21">
        <v>-4.7487000000000001E-2</v>
      </c>
      <c r="H314" s="21">
        <v>0.35188900000000001</v>
      </c>
      <c r="I314" s="21">
        <v>0.62131800000000004</v>
      </c>
      <c r="J314" s="21">
        <v>0.59695100000000001</v>
      </c>
      <c r="K314" s="21">
        <v>-0.165932</v>
      </c>
      <c r="L314" s="21">
        <v>-0.30631999999999998</v>
      </c>
      <c r="M314" s="21">
        <v>0.58852099999999996</v>
      </c>
      <c r="N314" s="21">
        <v>1.203247</v>
      </c>
      <c r="O314" s="21">
        <v>0.57789299999999999</v>
      </c>
      <c r="P314" s="21">
        <v>0.34178700000000001</v>
      </c>
      <c r="Q314" s="21">
        <v>0.49707299999999999</v>
      </c>
      <c r="R314" s="21">
        <v>0.56047899999999995</v>
      </c>
      <c r="S314" s="21">
        <v>0.33594099999999999</v>
      </c>
      <c r="T314" s="21">
        <v>0.26118599999999997</v>
      </c>
      <c r="U314" s="21">
        <v>0.229464</v>
      </c>
      <c r="V314" s="5"/>
    </row>
    <row r="315" spans="1:22" x14ac:dyDescent="0.2">
      <c r="A315" s="5" t="s">
        <v>1205</v>
      </c>
      <c r="B315" s="20" t="s">
        <v>52</v>
      </c>
      <c r="C315" s="20" t="s">
        <v>52</v>
      </c>
      <c r="D315" s="21" t="s">
        <v>1173</v>
      </c>
      <c r="E315" s="21">
        <v>0.84762199999999999</v>
      </c>
      <c r="F315" s="21">
        <v>-3.2434999999999999E-2</v>
      </c>
      <c r="G315" s="21">
        <v>-4.5796999999999997E-2</v>
      </c>
      <c r="H315" s="21">
        <v>0.82712200000000002</v>
      </c>
      <c r="I315" s="21">
        <v>1.118117</v>
      </c>
      <c r="J315" s="21">
        <v>0.59695100000000001</v>
      </c>
      <c r="K315" s="21">
        <v>-0.165932</v>
      </c>
      <c r="L315" s="21">
        <v>-0.30631999999999998</v>
      </c>
      <c r="M315" s="21">
        <v>0.58852099999999996</v>
      </c>
      <c r="N315" s="21">
        <v>1.203247</v>
      </c>
      <c r="O315" s="21">
        <v>0.57789299999999999</v>
      </c>
      <c r="P315" s="21">
        <v>0.34178700000000001</v>
      </c>
      <c r="Q315" s="21">
        <v>0.49707299999999999</v>
      </c>
      <c r="R315" s="21">
        <v>0.56047899999999995</v>
      </c>
      <c r="S315" s="21">
        <v>0.33594099999999999</v>
      </c>
      <c r="T315" s="21">
        <v>0.26118599999999997</v>
      </c>
      <c r="U315" s="21">
        <v>0.229464</v>
      </c>
      <c r="V315" s="5"/>
    </row>
    <row r="316" spans="1:22" x14ac:dyDescent="0.2">
      <c r="A316" s="5" t="s">
        <v>1206</v>
      </c>
      <c r="B316" s="20" t="s">
        <v>52</v>
      </c>
      <c r="C316" s="20" t="s">
        <v>52</v>
      </c>
      <c r="D316" s="21">
        <v>1.6574340000000001</v>
      </c>
      <c r="E316" s="21">
        <v>0.97116800000000003</v>
      </c>
      <c r="F316" s="21">
        <v>-0.131213</v>
      </c>
      <c r="G316" s="21">
        <v>-9.758E-2</v>
      </c>
      <c r="H316" s="21">
        <v>1.3733200000000001</v>
      </c>
      <c r="I316" s="21">
        <v>1.256847</v>
      </c>
      <c r="J316" s="21">
        <v>0.76274399999999998</v>
      </c>
      <c r="K316" s="21">
        <v>-0.15106900000000001</v>
      </c>
      <c r="L316" s="21">
        <v>-0.383913</v>
      </c>
      <c r="M316" s="21">
        <v>0.69223000000000001</v>
      </c>
      <c r="N316" s="21">
        <v>1.107785</v>
      </c>
      <c r="O316" s="21">
        <v>0.48020499999999999</v>
      </c>
      <c r="P316" s="21">
        <v>0.28851100000000002</v>
      </c>
      <c r="Q316" s="21">
        <v>0.46534399999999998</v>
      </c>
      <c r="R316" s="21">
        <v>0.49579099999999998</v>
      </c>
      <c r="S316" s="21">
        <v>0.29580400000000001</v>
      </c>
      <c r="T316" s="21">
        <v>0.260486</v>
      </c>
      <c r="U316" s="21">
        <v>0.20378299999999999</v>
      </c>
      <c r="V316" s="5"/>
    </row>
    <row r="317" spans="1:22" x14ac:dyDescent="0.2">
      <c r="A317" s="5" t="s">
        <v>1207</v>
      </c>
      <c r="B317" s="20" t="s">
        <v>52</v>
      </c>
      <c r="C317" s="20" t="s">
        <v>52</v>
      </c>
      <c r="D317" s="20" t="s">
        <v>52</v>
      </c>
      <c r="E317" s="21">
        <v>0.84762199999999999</v>
      </c>
      <c r="F317" s="21">
        <v>-3.2434999999999999E-2</v>
      </c>
      <c r="G317" s="21">
        <v>-0.11071400000000001</v>
      </c>
      <c r="H317" s="21">
        <v>-0.83209200000000005</v>
      </c>
      <c r="I317" s="21">
        <v>-0.79114099999999998</v>
      </c>
      <c r="J317" s="21">
        <v>0.59695100000000001</v>
      </c>
      <c r="K317" s="21">
        <v>-0.17854600000000001</v>
      </c>
      <c r="L317" s="21">
        <v>-0.31687799999999999</v>
      </c>
      <c r="M317" s="21">
        <v>0.58835499999999996</v>
      </c>
      <c r="N317" s="21">
        <v>1.200782</v>
      </c>
      <c r="O317" s="21">
        <v>0.57539200000000001</v>
      </c>
      <c r="P317" s="21">
        <v>0.34042800000000001</v>
      </c>
      <c r="Q317" s="21">
        <v>0.49626599999999998</v>
      </c>
      <c r="R317" s="21">
        <v>0.54256300000000002</v>
      </c>
      <c r="S317" s="21">
        <v>0.29824200000000001</v>
      </c>
      <c r="T317" s="20" t="s">
        <v>52</v>
      </c>
      <c r="U317" s="20" t="s">
        <v>52</v>
      </c>
      <c r="V317" s="5"/>
    </row>
    <row r="318" spans="1:22" x14ac:dyDescent="0.2">
      <c r="A318" s="5"/>
      <c r="B318" s="5"/>
      <c r="C318" s="5"/>
      <c r="D318" s="5"/>
      <c r="E318" s="5"/>
      <c r="F318" s="5"/>
      <c r="G318" s="5"/>
      <c r="H318" s="5"/>
      <c r="I318" s="5"/>
      <c r="J318" s="5"/>
      <c r="K318" s="5"/>
      <c r="L318" s="5"/>
      <c r="M318" s="5"/>
      <c r="N318" s="5"/>
      <c r="O318" s="5"/>
      <c r="P318" s="5"/>
      <c r="Q318" s="5"/>
      <c r="R318" s="5"/>
      <c r="S318" s="5"/>
      <c r="T318" s="5"/>
      <c r="U318" s="5"/>
      <c r="V318" s="5"/>
    </row>
    <row r="319" spans="1:22" x14ac:dyDescent="0.2">
      <c r="A319" s="5" t="s">
        <v>1208</v>
      </c>
      <c r="B319" s="20" t="s">
        <v>52</v>
      </c>
      <c r="C319" s="20" t="s">
        <v>52</v>
      </c>
      <c r="D319" s="21">
        <v>1.0060119999999999</v>
      </c>
      <c r="E319" s="21">
        <v>0.87843800000000005</v>
      </c>
      <c r="F319" s="21">
        <v>0.56353799999999998</v>
      </c>
      <c r="G319" s="21">
        <v>0.26112400000000002</v>
      </c>
      <c r="H319" s="21">
        <v>0.72575599999999996</v>
      </c>
      <c r="I319" s="21">
        <v>0.210789</v>
      </c>
      <c r="J319" s="21">
        <v>-0.10842300000000001</v>
      </c>
      <c r="K319" s="21">
        <v>0.137021</v>
      </c>
      <c r="L319" s="21">
        <v>7.4279999999999999E-2</v>
      </c>
      <c r="M319" s="21">
        <v>0.20647699999999999</v>
      </c>
      <c r="N319" s="21">
        <v>0.12973799999999999</v>
      </c>
      <c r="O319" s="21">
        <v>3.9754999999999999E-2</v>
      </c>
      <c r="P319" s="21">
        <v>0.23604700000000001</v>
      </c>
      <c r="Q319" s="21">
        <v>0.51980000000000004</v>
      </c>
      <c r="R319" s="21">
        <v>0.49058099999999999</v>
      </c>
      <c r="S319" s="21">
        <v>0.308421</v>
      </c>
      <c r="T319" s="21">
        <v>0.19283900000000001</v>
      </c>
      <c r="U319" s="21">
        <v>0.19272500000000001</v>
      </c>
      <c r="V319" s="5"/>
    </row>
    <row r="320" spans="1:22" x14ac:dyDescent="0.2">
      <c r="A320" s="5" t="s">
        <v>1209</v>
      </c>
      <c r="B320" s="20" t="s">
        <v>52</v>
      </c>
      <c r="C320" s="20" t="s">
        <v>52</v>
      </c>
      <c r="D320" s="21">
        <v>-0.35891899999999999</v>
      </c>
      <c r="E320" s="21">
        <v>-7.3384000000000005E-2</v>
      </c>
      <c r="F320" s="21">
        <v>0.63790800000000003</v>
      </c>
      <c r="G320" s="21">
        <v>1.6703460000000001</v>
      </c>
      <c r="H320" s="21">
        <v>1.7313799999999999</v>
      </c>
      <c r="I320" s="21">
        <v>-7.1839E-2</v>
      </c>
      <c r="J320" s="21">
        <v>-0.56231399999999998</v>
      </c>
      <c r="K320" s="21">
        <v>-6.8167000000000005E-2</v>
      </c>
      <c r="L320" s="21">
        <v>-0.164435</v>
      </c>
      <c r="M320" s="21">
        <v>0.26849699999999999</v>
      </c>
      <c r="N320" s="21">
        <v>0.533609</v>
      </c>
      <c r="O320" s="21">
        <v>-0.19116900000000001</v>
      </c>
      <c r="P320" s="21">
        <v>0.43692199999999998</v>
      </c>
      <c r="Q320" s="21">
        <v>0.98551100000000003</v>
      </c>
      <c r="R320" s="21">
        <v>0.55403199999999997</v>
      </c>
      <c r="S320" s="21">
        <v>1.028011</v>
      </c>
      <c r="T320" s="21">
        <v>0.49407000000000001</v>
      </c>
      <c r="U320" s="21">
        <v>-0.212732</v>
      </c>
      <c r="V320" s="5"/>
    </row>
    <row r="321" spans="1:22" x14ac:dyDescent="0.2">
      <c r="A321" s="5" t="s">
        <v>1210</v>
      </c>
      <c r="B321" s="20" t="s">
        <v>52</v>
      </c>
      <c r="C321" s="20" t="s">
        <v>52</v>
      </c>
      <c r="D321" s="21">
        <v>0.39157500000000001</v>
      </c>
      <c r="E321" s="21">
        <v>0.29504900000000001</v>
      </c>
      <c r="F321" s="21">
        <v>0.36857800000000002</v>
      </c>
      <c r="G321" s="21">
        <v>0.37120399999999998</v>
      </c>
      <c r="H321" s="21">
        <v>-7.3951000000000003E-2</v>
      </c>
      <c r="I321" s="21">
        <v>-0.150536</v>
      </c>
      <c r="J321" s="21">
        <v>0.35127199999999997</v>
      </c>
      <c r="K321" s="21">
        <v>0.28483999999999998</v>
      </c>
      <c r="L321" s="21">
        <v>-0.24296999999999999</v>
      </c>
      <c r="M321" s="21">
        <v>-0.143902</v>
      </c>
      <c r="N321" s="21">
        <v>0.20269699999999999</v>
      </c>
      <c r="O321" s="21">
        <v>1.779E-3</v>
      </c>
      <c r="P321" s="21">
        <v>-0.19455700000000001</v>
      </c>
      <c r="Q321" s="21">
        <v>0.25161</v>
      </c>
      <c r="R321" s="21">
        <v>2.5646059999999999</v>
      </c>
      <c r="S321" s="21">
        <v>1.998645</v>
      </c>
      <c r="T321" s="21">
        <v>0.186053</v>
      </c>
      <c r="U321" s="21">
        <v>4.9653000000000003E-2</v>
      </c>
      <c r="V321" s="5"/>
    </row>
    <row r="322" spans="1:22" x14ac:dyDescent="0.2">
      <c r="A322" s="5" t="s">
        <v>1079</v>
      </c>
      <c r="B322" s="20" t="s">
        <v>52</v>
      </c>
      <c r="C322" s="20" t="s">
        <v>52</v>
      </c>
      <c r="D322" s="21">
        <v>0.76888800000000002</v>
      </c>
      <c r="E322" s="21">
        <v>0.77229899999999996</v>
      </c>
      <c r="F322" s="21">
        <v>0.53362500000000002</v>
      </c>
      <c r="G322" s="21">
        <v>0.28117300000000001</v>
      </c>
      <c r="H322" s="21">
        <v>0.71452700000000002</v>
      </c>
      <c r="I322" s="21">
        <v>0.30946499999999999</v>
      </c>
      <c r="J322" s="21">
        <v>-6.4863000000000004E-2</v>
      </c>
      <c r="K322" s="21">
        <v>0.108887</v>
      </c>
      <c r="L322" s="21">
        <v>-2.3779999999999999E-3</v>
      </c>
      <c r="M322" s="21">
        <v>0.25909500000000002</v>
      </c>
      <c r="N322" s="21">
        <v>0.37804599999999999</v>
      </c>
      <c r="O322" s="21">
        <v>0.154971</v>
      </c>
      <c r="P322" s="21">
        <v>0.202602</v>
      </c>
      <c r="Q322" s="21">
        <v>0.30366300000000002</v>
      </c>
      <c r="R322" s="21">
        <v>0.42578700000000003</v>
      </c>
      <c r="S322" s="21">
        <v>0.33933099999999999</v>
      </c>
      <c r="T322" s="21">
        <v>0.28013399999999999</v>
      </c>
      <c r="U322" s="21">
        <v>0.390764</v>
      </c>
      <c r="V322" s="5"/>
    </row>
    <row r="323" spans="1:22" x14ac:dyDescent="0.2">
      <c r="A323" s="5"/>
      <c r="B323" s="5"/>
      <c r="C323" s="5"/>
      <c r="D323" s="5"/>
      <c r="E323" s="5"/>
      <c r="F323" s="5"/>
      <c r="G323" s="5"/>
      <c r="H323" s="5"/>
      <c r="I323" s="5"/>
      <c r="J323" s="5"/>
      <c r="K323" s="5"/>
      <c r="L323" s="5"/>
      <c r="M323" s="5"/>
      <c r="N323" s="5"/>
      <c r="O323" s="5"/>
      <c r="P323" s="5"/>
      <c r="Q323" s="5"/>
      <c r="R323" s="5"/>
      <c r="S323" s="5"/>
      <c r="T323" s="5"/>
      <c r="U323" s="5"/>
      <c r="V323" s="5"/>
    </row>
    <row r="324" spans="1:22" x14ac:dyDescent="0.2">
      <c r="A324" s="5" t="s">
        <v>1211</v>
      </c>
      <c r="B324" s="20" t="s">
        <v>52</v>
      </c>
      <c r="C324" s="20" t="s">
        <v>52</v>
      </c>
      <c r="D324" s="21">
        <v>2.188205</v>
      </c>
      <c r="E324" s="21">
        <v>1.145767</v>
      </c>
      <c r="F324" s="21">
        <v>0.51226400000000005</v>
      </c>
      <c r="G324" s="21">
        <v>0.34648200000000001</v>
      </c>
      <c r="H324" s="21">
        <v>0.66325000000000001</v>
      </c>
      <c r="I324" s="21">
        <v>0.71183399999999997</v>
      </c>
      <c r="J324" s="21">
        <v>0.489869</v>
      </c>
      <c r="K324" s="21">
        <v>2.383E-2</v>
      </c>
      <c r="L324" s="21">
        <v>-4.1666000000000002E-2</v>
      </c>
      <c r="M324" s="21">
        <v>0.45793400000000001</v>
      </c>
      <c r="N324" s="21">
        <v>0.51778400000000002</v>
      </c>
      <c r="O324" s="21">
        <v>0.49379600000000001</v>
      </c>
      <c r="P324" s="21">
        <v>0.15277399999999999</v>
      </c>
      <c r="Q324" s="21">
        <v>0.29466300000000001</v>
      </c>
      <c r="R324" s="21">
        <v>0.77073599999999998</v>
      </c>
      <c r="S324" s="21">
        <v>0.38439499999999999</v>
      </c>
      <c r="T324" s="21">
        <v>0.31854500000000002</v>
      </c>
      <c r="U324" s="21">
        <v>0.40979900000000002</v>
      </c>
      <c r="V324" s="5"/>
    </row>
    <row r="325" spans="1:22" x14ac:dyDescent="0.2">
      <c r="A325" s="5" t="s">
        <v>1212</v>
      </c>
      <c r="B325" s="20" t="s">
        <v>52</v>
      </c>
      <c r="C325" s="20" t="s">
        <v>52</v>
      </c>
      <c r="D325" s="21">
        <v>1.9484330000000001</v>
      </c>
      <c r="E325" s="21">
        <v>1.145767</v>
      </c>
      <c r="F325" s="21">
        <v>0.51226400000000005</v>
      </c>
      <c r="G325" s="21">
        <v>0.34648200000000001</v>
      </c>
      <c r="H325" s="21">
        <v>0.83715799999999996</v>
      </c>
      <c r="I325" s="21">
        <v>0.71183399999999997</v>
      </c>
      <c r="J325" s="21">
        <v>0.34883700000000001</v>
      </c>
      <c r="K325" s="21">
        <v>2.383E-2</v>
      </c>
      <c r="L325" s="21">
        <v>-4.1666000000000002E-2</v>
      </c>
      <c r="M325" s="21">
        <v>0.45793400000000001</v>
      </c>
      <c r="N325" s="21">
        <v>0.51778400000000002</v>
      </c>
      <c r="O325" s="21">
        <v>0.49379600000000001</v>
      </c>
      <c r="P325" s="21">
        <v>0.15277399999999999</v>
      </c>
      <c r="Q325" s="21">
        <v>0.29466300000000001</v>
      </c>
      <c r="R325" s="21">
        <v>0.77073599999999998</v>
      </c>
      <c r="S325" s="21">
        <v>0.39023600000000003</v>
      </c>
      <c r="T325" s="21">
        <v>0.32334000000000002</v>
      </c>
      <c r="U325" s="21">
        <v>0.40724300000000002</v>
      </c>
      <c r="V325" s="5"/>
    </row>
    <row r="326" spans="1:22" x14ac:dyDescent="0.2">
      <c r="A326" s="5" t="s">
        <v>1213</v>
      </c>
      <c r="B326" s="20" t="s">
        <v>52</v>
      </c>
      <c r="C326" s="20" t="s">
        <v>52</v>
      </c>
      <c r="D326" s="21">
        <v>1.5116560000000001</v>
      </c>
      <c r="E326" s="21" t="s">
        <v>1173</v>
      </c>
      <c r="F326" s="21" t="s">
        <v>1173</v>
      </c>
      <c r="G326" s="21" t="s">
        <v>1173</v>
      </c>
      <c r="H326" s="21" t="s">
        <v>1173</v>
      </c>
      <c r="I326" s="21">
        <v>1.838444</v>
      </c>
      <c r="J326" s="21" t="s">
        <v>1173</v>
      </c>
      <c r="K326" s="21" t="s">
        <v>1173</v>
      </c>
      <c r="L326" s="21" t="s">
        <v>1173</v>
      </c>
      <c r="M326" s="21" t="s">
        <v>1173</v>
      </c>
      <c r="N326" s="21">
        <v>2.9575629999999999</v>
      </c>
      <c r="O326" s="21">
        <v>0.41164800000000001</v>
      </c>
      <c r="P326" s="21">
        <v>0.17054900000000001</v>
      </c>
      <c r="Q326" s="21">
        <v>-0.56114600000000003</v>
      </c>
      <c r="R326" s="21">
        <v>0.27774100000000002</v>
      </c>
      <c r="S326" s="21">
        <v>2.4793790000000002</v>
      </c>
      <c r="T326" s="21">
        <v>0.56329799999999997</v>
      </c>
      <c r="U326" s="21">
        <v>0.63864200000000004</v>
      </c>
      <c r="V326" s="5"/>
    </row>
    <row r="327" spans="1:22" x14ac:dyDescent="0.2">
      <c r="A327" s="5" t="s">
        <v>1214</v>
      </c>
      <c r="B327" s="20" t="s">
        <v>52</v>
      </c>
      <c r="C327" s="20" t="s">
        <v>52</v>
      </c>
      <c r="D327" s="21">
        <v>1.7818499999999999</v>
      </c>
      <c r="E327" s="21">
        <v>0.59150100000000005</v>
      </c>
      <c r="F327" s="21">
        <v>0.51113900000000001</v>
      </c>
      <c r="G327" s="21">
        <v>0.51457200000000003</v>
      </c>
      <c r="H327" s="21">
        <v>-0.442527</v>
      </c>
      <c r="I327" s="21">
        <v>-0.128104</v>
      </c>
      <c r="J327" s="21">
        <v>1.51508</v>
      </c>
      <c r="K327" s="21">
        <v>0.318799</v>
      </c>
      <c r="L327" s="21">
        <v>-0.545933</v>
      </c>
      <c r="M327" s="21">
        <v>-0.24862699999999999</v>
      </c>
      <c r="N327" s="21">
        <v>0.48378100000000002</v>
      </c>
      <c r="O327" s="21">
        <v>5.2346999999999998E-2</v>
      </c>
      <c r="P327" s="21">
        <v>4.1850000000000004E-3</v>
      </c>
      <c r="Q327" s="21">
        <v>0.88253499999999996</v>
      </c>
      <c r="R327" s="21">
        <v>3.4073060000000002</v>
      </c>
      <c r="S327" s="21">
        <v>1.1739569999999999</v>
      </c>
      <c r="T327" s="21">
        <v>-0.36369299999999999</v>
      </c>
      <c r="U327" s="21">
        <v>-9.7572000000000006E-2</v>
      </c>
      <c r="V327" s="5"/>
    </row>
    <row r="328" spans="1:22" x14ac:dyDescent="0.2">
      <c r="A328" s="5" t="s">
        <v>1215</v>
      </c>
      <c r="B328" s="20" t="s">
        <v>52</v>
      </c>
      <c r="C328" s="20" t="s">
        <v>52</v>
      </c>
      <c r="D328" s="20" t="s">
        <v>52</v>
      </c>
      <c r="E328" s="21" t="s">
        <v>1173</v>
      </c>
      <c r="F328" s="21" t="s">
        <v>1173</v>
      </c>
      <c r="G328" s="21" t="s">
        <v>1173</v>
      </c>
      <c r="H328" s="21" t="s">
        <v>1173</v>
      </c>
      <c r="I328" s="21" t="s">
        <v>1173</v>
      </c>
      <c r="J328" s="21" t="s">
        <v>1173</v>
      </c>
      <c r="K328" s="21" t="s">
        <v>1173</v>
      </c>
      <c r="L328" s="21" t="s">
        <v>1173</v>
      </c>
      <c r="M328" s="21" t="s">
        <v>1173</v>
      </c>
      <c r="N328" s="21">
        <v>15.071823</v>
      </c>
      <c r="O328" s="21">
        <v>0.35923500000000003</v>
      </c>
      <c r="P328" s="21">
        <v>5.9043999999999999E-2</v>
      </c>
      <c r="Q328" s="21" t="s">
        <v>1173</v>
      </c>
      <c r="R328" s="21">
        <v>-0.36057</v>
      </c>
      <c r="S328" s="21" t="s">
        <v>1173</v>
      </c>
      <c r="T328" s="21">
        <v>2.4276230000000001</v>
      </c>
      <c r="U328" s="21">
        <v>0.90514399999999995</v>
      </c>
      <c r="V328" s="5"/>
    </row>
    <row r="329" spans="1:22" x14ac:dyDescent="0.2">
      <c r="A329" s="5" t="s">
        <v>1216</v>
      </c>
      <c r="B329" s="20" t="s">
        <v>52</v>
      </c>
      <c r="C329" s="20" t="s">
        <v>52</v>
      </c>
      <c r="D329" s="20" t="s">
        <v>52</v>
      </c>
      <c r="E329" s="21" t="s">
        <v>1173</v>
      </c>
      <c r="F329" s="21" t="s">
        <v>1173</v>
      </c>
      <c r="G329" s="21" t="s">
        <v>1173</v>
      </c>
      <c r="H329" s="21" t="s">
        <v>1173</v>
      </c>
      <c r="I329" s="21">
        <v>9.5301240000000007</v>
      </c>
      <c r="J329" s="21" t="s">
        <v>1173</v>
      </c>
      <c r="K329" s="21" t="s">
        <v>1173</v>
      </c>
      <c r="L329" s="21" t="s">
        <v>1173</v>
      </c>
      <c r="M329" s="21" t="s">
        <v>1173</v>
      </c>
      <c r="N329" s="21">
        <v>10.425632</v>
      </c>
      <c r="O329" s="21">
        <v>0.35786600000000002</v>
      </c>
      <c r="P329" s="21">
        <v>6.2220999999999999E-2</v>
      </c>
      <c r="Q329" s="21" t="s">
        <v>1173</v>
      </c>
      <c r="R329" s="21">
        <v>-0.36253200000000002</v>
      </c>
      <c r="S329" s="21" t="s">
        <v>1173</v>
      </c>
      <c r="T329" s="21">
        <v>2.4276230000000001</v>
      </c>
      <c r="U329" s="21">
        <v>0.90514399999999995</v>
      </c>
      <c r="V329" s="5"/>
    </row>
    <row r="330" spans="1:22" x14ac:dyDescent="0.2">
      <c r="A330" s="5" t="s">
        <v>1217</v>
      </c>
      <c r="B330" s="20" t="s">
        <v>52</v>
      </c>
      <c r="C330" s="20" t="s">
        <v>52</v>
      </c>
      <c r="D330" s="20" t="s">
        <v>52</v>
      </c>
      <c r="E330" s="20" t="s">
        <v>52</v>
      </c>
      <c r="F330" s="20" t="s">
        <v>52</v>
      </c>
      <c r="G330" s="20" t="s">
        <v>52</v>
      </c>
      <c r="H330" s="20" t="s">
        <v>52</v>
      </c>
      <c r="I330" s="20" t="s">
        <v>52</v>
      </c>
      <c r="J330" s="20" t="s">
        <v>52</v>
      </c>
      <c r="K330" s="20" t="s">
        <v>52</v>
      </c>
      <c r="L330" s="20" t="s">
        <v>52</v>
      </c>
      <c r="M330" s="20" t="s">
        <v>52</v>
      </c>
      <c r="N330" s="20" t="s">
        <v>52</v>
      </c>
      <c r="O330" s="20" t="s">
        <v>52</v>
      </c>
      <c r="P330" s="20" t="s">
        <v>52</v>
      </c>
      <c r="Q330" s="20" t="s">
        <v>52</v>
      </c>
      <c r="R330" s="20" t="s">
        <v>52</v>
      </c>
      <c r="S330" s="20" t="s">
        <v>52</v>
      </c>
      <c r="T330" s="20" t="s">
        <v>52</v>
      </c>
      <c r="U330" s="20" t="s">
        <v>52</v>
      </c>
      <c r="V330" s="5"/>
    </row>
    <row r="331" spans="1:22" x14ac:dyDescent="0.2">
      <c r="A331" s="5"/>
      <c r="B331" s="5"/>
      <c r="C331" s="5"/>
      <c r="D331" s="5"/>
      <c r="E331" s="5"/>
      <c r="F331" s="5"/>
      <c r="G331" s="5"/>
      <c r="H331" s="5"/>
      <c r="I331" s="5"/>
      <c r="J331" s="5"/>
      <c r="K331" s="5"/>
      <c r="L331" s="5"/>
      <c r="M331" s="5"/>
      <c r="N331" s="5"/>
      <c r="O331" s="5"/>
      <c r="P331" s="5"/>
      <c r="Q331" s="5"/>
      <c r="R331" s="5"/>
      <c r="S331" s="5"/>
      <c r="T331" s="5"/>
      <c r="U331" s="5"/>
      <c r="V331" s="5"/>
    </row>
    <row r="332" spans="1:22" ht="10.5" x14ac:dyDescent="0.2">
      <c r="A332" s="14" t="s">
        <v>1219</v>
      </c>
      <c r="B332" s="5"/>
      <c r="C332" s="5"/>
      <c r="D332" s="5"/>
      <c r="E332" s="5"/>
      <c r="F332" s="5"/>
      <c r="G332" s="5"/>
      <c r="H332" s="5"/>
      <c r="I332" s="5"/>
      <c r="J332" s="5"/>
      <c r="K332" s="5"/>
      <c r="L332" s="5"/>
      <c r="M332" s="5"/>
      <c r="N332" s="5"/>
      <c r="O332" s="5"/>
      <c r="P332" s="5"/>
      <c r="Q332" s="5"/>
      <c r="R332" s="5"/>
      <c r="S332" s="5"/>
      <c r="T332" s="5"/>
      <c r="U332" s="5"/>
      <c r="V332" s="5"/>
    </row>
    <row r="333" spans="1:22" x14ac:dyDescent="0.2">
      <c r="A333" s="5" t="s">
        <v>1199</v>
      </c>
      <c r="B333" s="20" t="s">
        <v>52</v>
      </c>
      <c r="C333" s="20" t="s">
        <v>52</v>
      </c>
      <c r="D333" s="20" t="s">
        <v>52</v>
      </c>
      <c r="E333" s="21">
        <v>0.85733099999999995</v>
      </c>
      <c r="F333" s="21">
        <v>0.56801400000000002</v>
      </c>
      <c r="G333" s="21">
        <v>0.52214099999999997</v>
      </c>
      <c r="H333" s="21">
        <v>0.33251900000000001</v>
      </c>
      <c r="I333" s="21">
        <v>0.29052800000000001</v>
      </c>
      <c r="J333" s="21">
        <v>0.17069500000000001</v>
      </c>
      <c r="K333" s="21">
        <v>0.13936599999999999</v>
      </c>
      <c r="L333" s="21">
        <v>0.19447200000000001</v>
      </c>
      <c r="M333" s="21">
        <v>0.203544</v>
      </c>
      <c r="N333" s="21">
        <v>0.21694099999999999</v>
      </c>
      <c r="O333" s="21">
        <v>0.18909100000000001</v>
      </c>
      <c r="P333" s="21">
        <v>0.17808299999999999</v>
      </c>
      <c r="Q333" s="21">
        <v>0.28668199999999999</v>
      </c>
      <c r="R333" s="21">
        <v>0.39041700000000001</v>
      </c>
      <c r="S333" s="21">
        <v>0.39509899999999998</v>
      </c>
      <c r="T333" s="21">
        <v>0.32050499999999998</v>
      </c>
      <c r="U333" s="21">
        <v>0.25155899999999998</v>
      </c>
      <c r="V333" s="5"/>
    </row>
    <row r="334" spans="1:22" x14ac:dyDescent="0.2">
      <c r="A334" s="5" t="s">
        <v>1200</v>
      </c>
      <c r="B334" s="20" t="s">
        <v>52</v>
      </c>
      <c r="C334" s="20" t="s">
        <v>52</v>
      </c>
      <c r="D334" s="20" t="s">
        <v>52</v>
      </c>
      <c r="E334" s="21">
        <v>0.55519399999999997</v>
      </c>
      <c r="F334" s="21">
        <v>0.371591</v>
      </c>
      <c r="G334" s="21">
        <v>0.32311499999999999</v>
      </c>
      <c r="H334" s="21">
        <v>0.36544100000000002</v>
      </c>
      <c r="I334" s="21">
        <v>0.322432</v>
      </c>
      <c r="J334" s="21">
        <v>0.24266699999999999</v>
      </c>
      <c r="K334" s="21">
        <v>6.1810999999999998E-2</v>
      </c>
      <c r="L334" s="21">
        <v>0.13900299999999999</v>
      </c>
      <c r="M334" s="21">
        <v>0.203987</v>
      </c>
      <c r="N334" s="21">
        <v>0.32145200000000002</v>
      </c>
      <c r="O334" s="21">
        <v>0.26693699999999998</v>
      </c>
      <c r="P334" s="21">
        <v>0.23351</v>
      </c>
      <c r="Q334" s="21">
        <v>0.29897000000000001</v>
      </c>
      <c r="R334" s="21">
        <v>0.36599300000000001</v>
      </c>
      <c r="S334" s="21">
        <v>0.35220299999999999</v>
      </c>
      <c r="T334" s="21">
        <v>0.26910800000000001</v>
      </c>
      <c r="U334" s="21">
        <v>0.22226799999999999</v>
      </c>
      <c r="V334" s="5"/>
    </row>
    <row r="335" spans="1:22" x14ac:dyDescent="0.2">
      <c r="A335" s="5" t="s">
        <v>1201</v>
      </c>
      <c r="B335" s="20" t="s">
        <v>52</v>
      </c>
      <c r="C335" s="20" t="s">
        <v>52</v>
      </c>
      <c r="D335" s="20" t="s">
        <v>52</v>
      </c>
      <c r="E335" s="21">
        <v>1.388323</v>
      </c>
      <c r="F335" s="21">
        <v>0.40878700000000001</v>
      </c>
      <c r="G335" s="21">
        <v>0.21463599999999999</v>
      </c>
      <c r="H335" s="21">
        <v>0.19974600000000001</v>
      </c>
      <c r="I335" s="21">
        <v>0.42885000000000001</v>
      </c>
      <c r="J335" s="21">
        <v>0.31511299999999998</v>
      </c>
      <c r="K335" s="21">
        <v>-2.1121000000000001E-2</v>
      </c>
      <c r="L335" s="21">
        <v>-6.2102999999999998E-2</v>
      </c>
      <c r="M335" s="21">
        <v>0.16253600000000001</v>
      </c>
      <c r="N335" s="21">
        <v>0.62395299999999998</v>
      </c>
      <c r="O335" s="21">
        <v>0.72853800000000002</v>
      </c>
      <c r="P335" s="21">
        <v>0.44365300000000002</v>
      </c>
      <c r="Q335" s="21">
        <v>0.41466799999999998</v>
      </c>
      <c r="R335" s="21">
        <v>0.43686799999999998</v>
      </c>
      <c r="S335" s="21">
        <v>0.402619</v>
      </c>
      <c r="T335" s="21">
        <v>0.309278</v>
      </c>
      <c r="U335" s="21">
        <v>0.22038099999999999</v>
      </c>
      <c r="V335" s="5"/>
    </row>
    <row r="336" spans="1:22" x14ac:dyDescent="0.2">
      <c r="A336" s="5" t="s">
        <v>1202</v>
      </c>
      <c r="B336" s="20" t="s">
        <v>52</v>
      </c>
      <c r="C336" s="20" t="s">
        <v>52</v>
      </c>
      <c r="D336" s="20" t="s">
        <v>52</v>
      </c>
      <c r="E336" s="21">
        <v>1.764812</v>
      </c>
      <c r="F336" s="21">
        <v>0.43125999999999998</v>
      </c>
      <c r="G336" s="21">
        <v>0.18806200000000001</v>
      </c>
      <c r="H336" s="21">
        <v>0.16733899999999999</v>
      </c>
      <c r="I336" s="21">
        <v>0.45897700000000002</v>
      </c>
      <c r="J336" s="21">
        <v>0.35220600000000002</v>
      </c>
      <c r="K336" s="21">
        <v>-2.4382999999999998E-2</v>
      </c>
      <c r="L336" s="21">
        <v>-7.4726000000000001E-2</v>
      </c>
      <c r="M336" s="21">
        <v>0.18693100000000001</v>
      </c>
      <c r="N336" s="21">
        <v>0.71015399999999995</v>
      </c>
      <c r="O336" s="21">
        <v>0.77982600000000002</v>
      </c>
      <c r="P336" s="21">
        <v>0.44377800000000001</v>
      </c>
      <c r="Q336" s="21">
        <v>0.41600500000000001</v>
      </c>
      <c r="R336" s="21">
        <v>0.44419799999999998</v>
      </c>
      <c r="S336" s="21">
        <v>0.39725300000000002</v>
      </c>
      <c r="T336" s="21">
        <v>0.29683900000000002</v>
      </c>
      <c r="U336" s="21">
        <v>0.210956</v>
      </c>
      <c r="V336" s="5"/>
    </row>
    <row r="337" spans="1:22" x14ac:dyDescent="0.2">
      <c r="A337" s="5" t="s">
        <v>1203</v>
      </c>
      <c r="B337" s="20" t="s">
        <v>52</v>
      </c>
      <c r="C337" s="20" t="s">
        <v>52</v>
      </c>
      <c r="D337" s="20" t="s">
        <v>52</v>
      </c>
      <c r="E337" s="21">
        <v>1.764812</v>
      </c>
      <c r="F337" s="21">
        <v>0.43125999999999998</v>
      </c>
      <c r="G337" s="21">
        <v>0.18806200000000001</v>
      </c>
      <c r="H337" s="21">
        <v>0.15085799999999999</v>
      </c>
      <c r="I337" s="21">
        <v>0.45897700000000002</v>
      </c>
      <c r="J337" s="21">
        <v>0.35220600000000002</v>
      </c>
      <c r="K337" s="21">
        <v>-1.0411999999999999E-2</v>
      </c>
      <c r="L337" s="21">
        <v>-7.4726000000000001E-2</v>
      </c>
      <c r="M337" s="21">
        <v>0.18693100000000001</v>
      </c>
      <c r="N337" s="21">
        <v>0.71015399999999995</v>
      </c>
      <c r="O337" s="21">
        <v>0.77982600000000002</v>
      </c>
      <c r="P337" s="21">
        <v>0.44377800000000001</v>
      </c>
      <c r="Q337" s="21">
        <v>0.41600500000000001</v>
      </c>
      <c r="R337" s="21">
        <v>0.44419799999999998</v>
      </c>
      <c r="S337" s="21">
        <v>0.39725300000000002</v>
      </c>
      <c r="T337" s="21">
        <v>0.29683900000000002</v>
      </c>
      <c r="U337" s="21">
        <v>0.210956</v>
      </c>
      <c r="V337" s="5"/>
    </row>
    <row r="338" spans="1:22" x14ac:dyDescent="0.2">
      <c r="A338" s="5" t="s">
        <v>1204</v>
      </c>
      <c r="B338" s="20" t="s">
        <v>52</v>
      </c>
      <c r="C338" s="20" t="s">
        <v>52</v>
      </c>
      <c r="D338" s="20" t="s">
        <v>52</v>
      </c>
      <c r="E338" s="21" t="s">
        <v>1173</v>
      </c>
      <c r="F338" s="21">
        <v>0.49480800000000003</v>
      </c>
      <c r="G338" s="21">
        <v>0.13688600000000001</v>
      </c>
      <c r="H338" s="21">
        <v>0.100725</v>
      </c>
      <c r="I338" s="21">
        <v>0.48402600000000001</v>
      </c>
      <c r="J338" s="21">
        <v>0.55343299999999995</v>
      </c>
      <c r="K338" s="21">
        <v>7.5510999999999995E-2</v>
      </c>
      <c r="L338" s="21">
        <v>-0.117964</v>
      </c>
      <c r="M338" s="21">
        <v>7.1722999999999995E-2</v>
      </c>
      <c r="N338" s="21">
        <v>0.68549599999999999</v>
      </c>
      <c r="O338" s="21">
        <v>0.85365199999999997</v>
      </c>
      <c r="P338" s="21">
        <v>0.50610299999999997</v>
      </c>
      <c r="Q338" s="21">
        <v>0.43267699999999998</v>
      </c>
      <c r="R338" s="21">
        <v>0.495002</v>
      </c>
      <c r="S338" s="21">
        <v>0.428512</v>
      </c>
      <c r="T338" s="21">
        <v>0.33351900000000001</v>
      </c>
      <c r="U338" s="21">
        <v>0.218585</v>
      </c>
      <c r="V338" s="5"/>
    </row>
    <row r="339" spans="1:22" x14ac:dyDescent="0.2">
      <c r="A339" s="5" t="s">
        <v>1205</v>
      </c>
      <c r="B339" s="20" t="s">
        <v>52</v>
      </c>
      <c r="C339" s="20" t="s">
        <v>52</v>
      </c>
      <c r="D339" s="20" t="s">
        <v>52</v>
      </c>
      <c r="E339" s="21" t="s">
        <v>1173</v>
      </c>
      <c r="F339" s="21">
        <v>0.32681399999999999</v>
      </c>
      <c r="G339" s="21">
        <v>7.6000999999999999E-2</v>
      </c>
      <c r="H339" s="21">
        <v>0.31698100000000001</v>
      </c>
      <c r="I339" s="21">
        <v>0.81409100000000001</v>
      </c>
      <c r="J339" s="21">
        <v>0.856437</v>
      </c>
      <c r="K339" s="21">
        <v>7.5510999999999995E-2</v>
      </c>
      <c r="L339" s="21">
        <v>-0.117964</v>
      </c>
      <c r="M339" s="21">
        <v>7.1722999999999995E-2</v>
      </c>
      <c r="N339" s="21">
        <v>0.68549599999999999</v>
      </c>
      <c r="O339" s="21">
        <v>0.85365199999999997</v>
      </c>
      <c r="P339" s="21">
        <v>0.50610299999999997</v>
      </c>
      <c r="Q339" s="21">
        <v>0.43267699999999998</v>
      </c>
      <c r="R339" s="21">
        <v>0.495002</v>
      </c>
      <c r="S339" s="21">
        <v>0.428512</v>
      </c>
      <c r="T339" s="21">
        <v>0.33351900000000001</v>
      </c>
      <c r="U339" s="21">
        <v>0.218585</v>
      </c>
      <c r="V339" s="5"/>
    </row>
    <row r="340" spans="1:22" x14ac:dyDescent="0.2">
      <c r="A340" s="5" t="s">
        <v>1206</v>
      </c>
      <c r="B340" s="20" t="s">
        <v>52</v>
      </c>
      <c r="C340" s="20" t="s">
        <v>52</v>
      </c>
      <c r="D340" s="20" t="s">
        <v>52</v>
      </c>
      <c r="E340" s="21">
        <v>1.1951719999999999</v>
      </c>
      <c r="F340" s="21">
        <v>0.25102099999999999</v>
      </c>
      <c r="G340" s="21">
        <v>6.8478999999999998E-2</v>
      </c>
      <c r="H340" s="21">
        <v>0.41585800000000001</v>
      </c>
      <c r="I340" s="21">
        <v>1.019104</v>
      </c>
      <c r="J340" s="21">
        <v>1.2124490000000001</v>
      </c>
      <c r="K340" s="21">
        <v>1.7426000000000001E-2</v>
      </c>
      <c r="L340" s="21">
        <v>-6.8963999999999998E-2</v>
      </c>
      <c r="M340" s="21">
        <v>-9.8919999999999998E-3</v>
      </c>
      <c r="N340" s="21">
        <v>0.70713999999999999</v>
      </c>
      <c r="O340" s="21">
        <v>0.77610900000000005</v>
      </c>
      <c r="P340" s="21">
        <v>0.42349100000000001</v>
      </c>
      <c r="Q340" s="21">
        <v>0.39383600000000002</v>
      </c>
      <c r="R340" s="21">
        <v>0.43346600000000002</v>
      </c>
      <c r="S340" s="21">
        <v>0.39909099999999997</v>
      </c>
      <c r="T340" s="21">
        <v>0.296541</v>
      </c>
      <c r="U340" s="21">
        <v>0.21049799999999999</v>
      </c>
      <c r="V340" s="5"/>
    </row>
    <row r="341" spans="1:22" x14ac:dyDescent="0.2">
      <c r="A341" s="5" t="s">
        <v>1207</v>
      </c>
      <c r="B341" s="20" t="s">
        <v>52</v>
      </c>
      <c r="C341" s="20" t="s">
        <v>52</v>
      </c>
      <c r="D341" s="20" t="s">
        <v>52</v>
      </c>
      <c r="E341" s="20" t="s">
        <v>52</v>
      </c>
      <c r="F341" s="21">
        <v>0.32681399999999999</v>
      </c>
      <c r="G341" s="21">
        <v>2.6627999999999999E-2</v>
      </c>
      <c r="H341" s="21">
        <v>-0.73180900000000004</v>
      </c>
      <c r="I341" s="21">
        <v>-0.63057300000000005</v>
      </c>
      <c r="J341" s="21">
        <v>-0.603769</v>
      </c>
      <c r="K341" s="21">
        <v>6.4641000000000004E-2</v>
      </c>
      <c r="L341" s="21">
        <v>-0.12693599999999999</v>
      </c>
      <c r="M341" s="21">
        <v>6.0816000000000002E-2</v>
      </c>
      <c r="N341" s="21">
        <v>0.68412899999999999</v>
      </c>
      <c r="O341" s="21">
        <v>0.851684</v>
      </c>
      <c r="P341" s="21">
        <v>0.50397000000000003</v>
      </c>
      <c r="Q341" s="21">
        <v>0.43170900000000001</v>
      </c>
      <c r="R341" s="21">
        <v>0.48300300000000002</v>
      </c>
      <c r="S341" s="21">
        <v>0.40150999999999998</v>
      </c>
      <c r="T341" s="20" t="s">
        <v>52</v>
      </c>
      <c r="U341" s="20" t="s">
        <v>52</v>
      </c>
      <c r="V341" s="5"/>
    </row>
    <row r="342" spans="1:22" x14ac:dyDescent="0.2">
      <c r="A342" s="5"/>
      <c r="B342" s="5"/>
      <c r="C342" s="5"/>
      <c r="D342" s="5"/>
      <c r="E342" s="5"/>
      <c r="F342" s="5"/>
      <c r="G342" s="5"/>
      <c r="H342" s="5"/>
      <c r="I342" s="5"/>
      <c r="J342" s="5"/>
      <c r="K342" s="5"/>
      <c r="L342" s="5"/>
      <c r="M342" s="5"/>
      <c r="N342" s="5"/>
      <c r="O342" s="5"/>
      <c r="P342" s="5"/>
      <c r="Q342" s="5"/>
      <c r="R342" s="5"/>
      <c r="S342" s="5"/>
      <c r="T342" s="5"/>
      <c r="U342" s="5"/>
      <c r="V342" s="5"/>
    </row>
    <row r="343" spans="1:22" x14ac:dyDescent="0.2">
      <c r="A343" s="5" t="s">
        <v>1208</v>
      </c>
      <c r="B343" s="20" t="s">
        <v>52</v>
      </c>
      <c r="C343" s="20" t="s">
        <v>52</v>
      </c>
      <c r="D343" s="20" t="s">
        <v>52</v>
      </c>
      <c r="E343" s="21">
        <v>0.962449</v>
      </c>
      <c r="F343" s="21">
        <v>0.66224300000000003</v>
      </c>
      <c r="G343" s="21">
        <v>0.44017299999999998</v>
      </c>
      <c r="H343" s="21">
        <v>0.57090300000000005</v>
      </c>
      <c r="I343" s="21">
        <v>0.214473</v>
      </c>
      <c r="J343" s="21">
        <v>0.246665</v>
      </c>
      <c r="K343" s="21">
        <v>-8.0438999999999997E-2</v>
      </c>
      <c r="L343" s="21">
        <v>0.15110799999999999</v>
      </c>
      <c r="M343" s="21">
        <v>0.125004</v>
      </c>
      <c r="N343" s="21">
        <v>0.14618700000000001</v>
      </c>
      <c r="O343" s="21">
        <v>0.10077</v>
      </c>
      <c r="P343" s="21">
        <v>0.16483900000000001</v>
      </c>
      <c r="Q343" s="21">
        <v>0.34143299999999999</v>
      </c>
      <c r="R343" s="21">
        <v>0.48097899999999999</v>
      </c>
      <c r="S343" s="21">
        <v>0.39329799999999998</v>
      </c>
      <c r="T343" s="21">
        <v>0.26012099999999999</v>
      </c>
      <c r="U343" s="21">
        <v>0.20088300000000001</v>
      </c>
      <c r="V343" s="5"/>
    </row>
    <row r="344" spans="1:22" x14ac:dyDescent="0.2">
      <c r="A344" s="5" t="s">
        <v>1209</v>
      </c>
      <c r="B344" s="20" t="s">
        <v>52</v>
      </c>
      <c r="C344" s="20" t="s">
        <v>52</v>
      </c>
      <c r="D344" s="20" t="s">
        <v>52</v>
      </c>
      <c r="E344" s="21">
        <v>-0.32901999999999998</v>
      </c>
      <c r="F344" s="21">
        <v>0.46338600000000002</v>
      </c>
      <c r="G344" s="21">
        <v>0.73705100000000001</v>
      </c>
      <c r="H344" s="21">
        <v>2.0084789999999999</v>
      </c>
      <c r="I344" s="21">
        <v>0.18951100000000001</v>
      </c>
      <c r="J344" s="21">
        <v>-9.8960000000000006E-2</v>
      </c>
      <c r="K344" s="21">
        <v>-0.41922799999999999</v>
      </c>
      <c r="L344" s="21">
        <v>-0.15992999999999999</v>
      </c>
      <c r="M344" s="21">
        <v>0.180565</v>
      </c>
      <c r="N344" s="21">
        <v>0.17102600000000001</v>
      </c>
      <c r="O344" s="21">
        <v>0.155247</v>
      </c>
      <c r="P344" s="21">
        <v>0.27251300000000001</v>
      </c>
      <c r="Q344" s="21">
        <v>0.37229299999999999</v>
      </c>
      <c r="R344" s="21">
        <v>0.96666399999999997</v>
      </c>
      <c r="S344" s="21">
        <v>0.72665199999999996</v>
      </c>
      <c r="T344" s="21">
        <v>0.62703100000000001</v>
      </c>
      <c r="U344" s="21">
        <v>9.7269999999999995E-2</v>
      </c>
      <c r="V344" s="5"/>
    </row>
    <row r="345" spans="1:22" x14ac:dyDescent="0.2">
      <c r="A345" s="5" t="s">
        <v>1210</v>
      </c>
      <c r="B345" s="20" t="s">
        <v>52</v>
      </c>
      <c r="C345" s="20" t="s">
        <v>52</v>
      </c>
      <c r="D345" s="20" t="s">
        <v>52</v>
      </c>
      <c r="E345" s="21">
        <v>0.31259300000000001</v>
      </c>
      <c r="F345" s="21">
        <v>0.390737</v>
      </c>
      <c r="G345" s="21">
        <v>0.29975200000000002</v>
      </c>
      <c r="H345" s="21">
        <v>0.112099</v>
      </c>
      <c r="I345" s="21">
        <v>-5.4247999999999998E-2</v>
      </c>
      <c r="J345" s="21">
        <v>0.101296</v>
      </c>
      <c r="K345" s="21">
        <v>0.17648800000000001</v>
      </c>
      <c r="L345" s="21">
        <v>1.9879999999999998E-2</v>
      </c>
      <c r="M345" s="21">
        <v>-0.132157</v>
      </c>
      <c r="N345" s="21">
        <v>-2.4066000000000001E-2</v>
      </c>
      <c r="O345" s="21">
        <v>4.6037000000000002E-2</v>
      </c>
      <c r="P345" s="21">
        <v>-6.2952999999999995E-2</v>
      </c>
      <c r="Q345" s="21">
        <v>7.4209999999999998E-2</v>
      </c>
      <c r="R345" s="21">
        <v>1.18401</v>
      </c>
      <c r="S345" s="21">
        <v>1.580373</v>
      </c>
      <c r="T345" s="21">
        <v>1.1070660000000001</v>
      </c>
      <c r="U345" s="21">
        <v>0.14210300000000001</v>
      </c>
      <c r="V345" s="5"/>
    </row>
    <row r="346" spans="1:22" x14ac:dyDescent="0.2">
      <c r="A346" s="5" t="s">
        <v>1079</v>
      </c>
      <c r="B346" s="20" t="s">
        <v>52</v>
      </c>
      <c r="C346" s="20" t="s">
        <v>52</v>
      </c>
      <c r="D346" s="20" t="s">
        <v>52</v>
      </c>
      <c r="E346" s="21">
        <v>0.76691799999999999</v>
      </c>
      <c r="F346" s="21">
        <v>0.612209</v>
      </c>
      <c r="G346" s="21">
        <v>0.42502099999999998</v>
      </c>
      <c r="H346" s="21">
        <v>0.57698000000000005</v>
      </c>
      <c r="I346" s="21">
        <v>0.28254000000000001</v>
      </c>
      <c r="J346" s="21">
        <v>0.27841399999999999</v>
      </c>
      <c r="K346" s="21">
        <v>-4.0821000000000003E-2</v>
      </c>
      <c r="L346" s="21">
        <v>6.6397999999999999E-2</v>
      </c>
      <c r="M346" s="21">
        <v>0.16955799999999999</v>
      </c>
      <c r="N346" s="21">
        <v>0.23264199999999999</v>
      </c>
      <c r="O346" s="21">
        <v>0.28951100000000002</v>
      </c>
      <c r="P346" s="21">
        <v>0.19549</v>
      </c>
      <c r="Q346" s="21">
        <v>0.24268100000000001</v>
      </c>
      <c r="R346" s="21">
        <v>0.37573600000000001</v>
      </c>
      <c r="S346" s="21">
        <v>0.335171</v>
      </c>
      <c r="T346" s="21">
        <v>0.35913299999999998</v>
      </c>
      <c r="U346" s="21">
        <v>0.31321599999999999</v>
      </c>
      <c r="V346" s="5"/>
    </row>
    <row r="347" spans="1:22" x14ac:dyDescent="0.2">
      <c r="A347" s="5"/>
      <c r="B347" s="5"/>
      <c r="C347" s="5"/>
      <c r="D347" s="5"/>
      <c r="E347" s="5"/>
      <c r="F347" s="5"/>
      <c r="G347" s="5"/>
      <c r="H347" s="5"/>
      <c r="I347" s="5"/>
      <c r="J347" s="5"/>
      <c r="K347" s="5"/>
      <c r="L347" s="5"/>
      <c r="M347" s="5"/>
      <c r="N347" s="5"/>
      <c r="O347" s="5"/>
      <c r="P347" s="5"/>
      <c r="Q347" s="5"/>
      <c r="R347" s="5"/>
      <c r="S347" s="5"/>
      <c r="T347" s="5"/>
      <c r="U347" s="5"/>
      <c r="V347" s="5"/>
    </row>
    <row r="348" spans="1:22" x14ac:dyDescent="0.2">
      <c r="A348" s="5" t="s">
        <v>1211</v>
      </c>
      <c r="B348" s="20" t="s">
        <v>52</v>
      </c>
      <c r="C348" s="20" t="s">
        <v>52</v>
      </c>
      <c r="D348" s="20" t="s">
        <v>52</v>
      </c>
      <c r="E348" s="21">
        <v>1.583035</v>
      </c>
      <c r="F348" s="21">
        <v>0.838121</v>
      </c>
      <c r="G348" s="21">
        <v>0.45400699999999999</v>
      </c>
      <c r="H348" s="21">
        <v>0.55104399999999998</v>
      </c>
      <c r="I348" s="21">
        <v>0.57926800000000001</v>
      </c>
      <c r="J348" s="21">
        <v>0.65929099999999996</v>
      </c>
      <c r="K348" s="21">
        <v>0.14279700000000001</v>
      </c>
      <c r="L348" s="21">
        <v>0.12709200000000001</v>
      </c>
      <c r="M348" s="21">
        <v>0.12640799999999999</v>
      </c>
      <c r="N348" s="21">
        <v>0.46537099999999998</v>
      </c>
      <c r="O348" s="21">
        <v>0.51429999999999998</v>
      </c>
      <c r="P348" s="21">
        <v>0.253002</v>
      </c>
      <c r="Q348" s="21">
        <v>0.36199799999999999</v>
      </c>
      <c r="R348" s="21">
        <v>0.40343800000000002</v>
      </c>
      <c r="S348" s="21">
        <v>0.53881800000000002</v>
      </c>
      <c r="T348" s="21">
        <v>0.42064499999999999</v>
      </c>
      <c r="U348" s="21">
        <v>0.32187199999999999</v>
      </c>
      <c r="V348" s="5"/>
    </row>
    <row r="349" spans="1:22" x14ac:dyDescent="0.2">
      <c r="A349" s="5" t="s">
        <v>1212</v>
      </c>
      <c r="B349" s="20" t="s">
        <v>52</v>
      </c>
      <c r="C349" s="20" t="s">
        <v>52</v>
      </c>
      <c r="D349" s="20" t="s">
        <v>52</v>
      </c>
      <c r="E349" s="21">
        <v>1.451848</v>
      </c>
      <c r="F349" s="21">
        <v>0.838121</v>
      </c>
      <c r="G349" s="21">
        <v>0.45400699999999999</v>
      </c>
      <c r="H349" s="21">
        <v>0.65735900000000003</v>
      </c>
      <c r="I349" s="21">
        <v>0.57926800000000001</v>
      </c>
      <c r="J349" s="21">
        <v>0.65929099999999996</v>
      </c>
      <c r="K349" s="21">
        <v>6.9489999999999996E-2</v>
      </c>
      <c r="L349" s="21">
        <v>0.12709200000000001</v>
      </c>
      <c r="M349" s="21">
        <v>0.12640799999999999</v>
      </c>
      <c r="N349" s="21">
        <v>0.46537099999999998</v>
      </c>
      <c r="O349" s="21">
        <v>0.51429999999999998</v>
      </c>
      <c r="P349" s="21">
        <v>0.253002</v>
      </c>
      <c r="Q349" s="21">
        <v>0.36199799999999999</v>
      </c>
      <c r="R349" s="21">
        <v>0.40343800000000002</v>
      </c>
      <c r="S349" s="21">
        <v>0.54314300000000004</v>
      </c>
      <c r="T349" s="21">
        <v>0.42408699999999999</v>
      </c>
      <c r="U349" s="21">
        <v>0.32398500000000002</v>
      </c>
      <c r="V349" s="5"/>
    </row>
    <row r="350" spans="1:22" x14ac:dyDescent="0.2">
      <c r="A350" s="5" t="s">
        <v>1213</v>
      </c>
      <c r="B350" s="20" t="s">
        <v>52</v>
      </c>
      <c r="C350" s="20" t="s">
        <v>52</v>
      </c>
      <c r="D350" s="20" t="s">
        <v>52</v>
      </c>
      <c r="E350" s="21" t="s">
        <v>1173</v>
      </c>
      <c r="F350" s="21" t="s">
        <v>1173</v>
      </c>
      <c r="G350" s="21">
        <v>0.51235600000000003</v>
      </c>
      <c r="H350" s="21" t="s">
        <v>1173</v>
      </c>
      <c r="I350" s="21" t="s">
        <v>1173</v>
      </c>
      <c r="J350" s="21" t="s">
        <v>1173</v>
      </c>
      <c r="K350" s="21" t="s">
        <v>1173</v>
      </c>
      <c r="L350" s="21">
        <v>-0.57266099999999998</v>
      </c>
      <c r="M350" s="21" t="s">
        <v>1173</v>
      </c>
      <c r="N350" s="21" t="s">
        <v>1173</v>
      </c>
      <c r="O350" s="21">
        <v>1.6293169999999999</v>
      </c>
      <c r="P350" s="21">
        <v>0.33000400000000002</v>
      </c>
      <c r="Q350" s="21">
        <v>-0.39311699999999999</v>
      </c>
      <c r="R350" s="21">
        <v>0.244506</v>
      </c>
      <c r="S350" s="21">
        <v>0.25462299999999999</v>
      </c>
      <c r="T350" s="21">
        <v>1.9027579999999999</v>
      </c>
      <c r="U350" s="21">
        <v>0.48095199999999999</v>
      </c>
      <c r="V350" s="5"/>
    </row>
    <row r="351" spans="1:22" x14ac:dyDescent="0.2">
      <c r="A351" s="5" t="s">
        <v>1214</v>
      </c>
      <c r="B351" s="20" t="s">
        <v>52</v>
      </c>
      <c r="C351" s="20" t="s">
        <v>52</v>
      </c>
      <c r="D351" s="20" t="s">
        <v>52</v>
      </c>
      <c r="E351" s="21">
        <v>0.80527099999999996</v>
      </c>
      <c r="F351" s="21">
        <v>0.96677400000000002</v>
      </c>
      <c r="G351" s="21">
        <v>0.203685</v>
      </c>
      <c r="H351" s="21">
        <v>-2.2689000000000001E-2</v>
      </c>
      <c r="I351" s="21">
        <v>-0.165769</v>
      </c>
      <c r="J351" s="21">
        <v>0.37048399999999998</v>
      </c>
      <c r="K351" s="21">
        <v>0.48111700000000002</v>
      </c>
      <c r="L351" s="21">
        <v>-0.112888</v>
      </c>
      <c r="M351" s="21">
        <v>-0.33810099999999998</v>
      </c>
      <c r="N351" s="21">
        <v>-4.0365999999999999E-2</v>
      </c>
      <c r="O351" s="21">
        <v>0.15917899999999999</v>
      </c>
      <c r="P351" s="21">
        <v>0.16433500000000001</v>
      </c>
      <c r="Q351" s="21">
        <v>0.35852000000000001</v>
      </c>
      <c r="R351" s="21">
        <v>2.0251999999999999</v>
      </c>
      <c r="S351" s="21">
        <v>1.2734780000000001</v>
      </c>
      <c r="T351" s="21">
        <v>0.46792299999999998</v>
      </c>
      <c r="U351" s="21">
        <v>-0.2102</v>
      </c>
      <c r="V351" s="5"/>
    </row>
    <row r="352" spans="1:22" x14ac:dyDescent="0.2">
      <c r="A352" s="5" t="s">
        <v>1215</v>
      </c>
      <c r="B352" s="20" t="s">
        <v>52</v>
      </c>
      <c r="C352" s="20" t="s">
        <v>52</v>
      </c>
      <c r="D352" s="20" t="s">
        <v>52</v>
      </c>
      <c r="E352" s="20" t="s">
        <v>52</v>
      </c>
      <c r="F352" s="21" t="s">
        <v>1173</v>
      </c>
      <c r="G352" s="21" t="s">
        <v>1173</v>
      </c>
      <c r="H352" s="21" t="s">
        <v>1173</v>
      </c>
      <c r="I352" s="21" t="s">
        <v>1173</v>
      </c>
      <c r="J352" s="21" t="s">
        <v>1173</v>
      </c>
      <c r="K352" s="21" t="s">
        <v>1173</v>
      </c>
      <c r="L352" s="21">
        <v>-0.85365899999999995</v>
      </c>
      <c r="M352" s="21" t="s">
        <v>1173</v>
      </c>
      <c r="N352" s="21" t="s">
        <v>1173</v>
      </c>
      <c r="O352" s="21">
        <v>5.1879840000000002</v>
      </c>
      <c r="P352" s="21">
        <v>0.31209900000000002</v>
      </c>
      <c r="Q352" s="21" t="s">
        <v>1173</v>
      </c>
      <c r="R352" s="21">
        <v>-0.206343</v>
      </c>
      <c r="S352" s="21">
        <v>0.23037099999999999</v>
      </c>
      <c r="T352" s="21" t="s">
        <v>1173</v>
      </c>
      <c r="U352" s="21">
        <v>1.5475669999999999</v>
      </c>
      <c r="V352" s="5"/>
    </row>
    <row r="353" spans="1:22" x14ac:dyDescent="0.2">
      <c r="A353" s="5" t="s">
        <v>1216</v>
      </c>
      <c r="B353" s="20" t="s">
        <v>52</v>
      </c>
      <c r="C353" s="20" t="s">
        <v>52</v>
      </c>
      <c r="D353" s="20" t="s">
        <v>52</v>
      </c>
      <c r="E353" s="20" t="s">
        <v>52</v>
      </c>
      <c r="F353" s="21" t="s">
        <v>1173</v>
      </c>
      <c r="G353" s="21" t="s">
        <v>1173</v>
      </c>
      <c r="H353" s="21" t="s">
        <v>1173</v>
      </c>
      <c r="I353" s="21" t="s">
        <v>1173</v>
      </c>
      <c r="J353" s="21" t="s">
        <v>1173</v>
      </c>
      <c r="K353" s="21" t="s">
        <v>1173</v>
      </c>
      <c r="L353" s="21">
        <v>-0.81633</v>
      </c>
      <c r="M353" s="21" t="s">
        <v>1173</v>
      </c>
      <c r="N353" s="21" t="s">
        <v>1173</v>
      </c>
      <c r="O353" s="21">
        <v>3.9289589999999999</v>
      </c>
      <c r="P353" s="21">
        <v>0.31385099999999999</v>
      </c>
      <c r="Q353" s="21" t="s">
        <v>1173</v>
      </c>
      <c r="R353" s="21">
        <v>-0.206377</v>
      </c>
      <c r="S353" s="21">
        <v>0.227853</v>
      </c>
      <c r="T353" s="21" t="s">
        <v>1173</v>
      </c>
      <c r="U353" s="21">
        <v>1.5475669999999999</v>
      </c>
      <c r="V353" s="5"/>
    </row>
    <row r="354" spans="1:22" x14ac:dyDescent="0.2">
      <c r="A354" s="5" t="s">
        <v>1217</v>
      </c>
      <c r="B354" s="20" t="s">
        <v>52</v>
      </c>
      <c r="C354" s="20" t="s">
        <v>52</v>
      </c>
      <c r="D354" s="20" t="s">
        <v>52</v>
      </c>
      <c r="E354" s="20" t="s">
        <v>52</v>
      </c>
      <c r="F354" s="20" t="s">
        <v>52</v>
      </c>
      <c r="G354" s="20" t="s">
        <v>52</v>
      </c>
      <c r="H354" s="20" t="s">
        <v>52</v>
      </c>
      <c r="I354" s="20" t="s">
        <v>52</v>
      </c>
      <c r="J354" s="20" t="s">
        <v>52</v>
      </c>
      <c r="K354" s="20" t="s">
        <v>52</v>
      </c>
      <c r="L354" s="20" t="s">
        <v>52</v>
      </c>
      <c r="M354" s="20" t="s">
        <v>52</v>
      </c>
      <c r="N354" s="20" t="s">
        <v>52</v>
      </c>
      <c r="O354" s="20" t="s">
        <v>52</v>
      </c>
      <c r="P354" s="20" t="s">
        <v>52</v>
      </c>
      <c r="Q354" s="20" t="s">
        <v>52</v>
      </c>
      <c r="R354" s="20" t="s">
        <v>52</v>
      </c>
      <c r="S354" s="20" t="s">
        <v>52</v>
      </c>
      <c r="T354" s="20" t="s">
        <v>52</v>
      </c>
      <c r="U354" s="20" t="s">
        <v>52</v>
      </c>
      <c r="V354" s="5"/>
    </row>
    <row r="355" spans="1:22" x14ac:dyDescent="0.2">
      <c r="A355" s="5"/>
      <c r="B355" s="5"/>
      <c r="C355" s="5"/>
      <c r="D355" s="5"/>
      <c r="E355" s="5"/>
      <c r="F355" s="5"/>
      <c r="G355" s="5"/>
      <c r="H355" s="5"/>
      <c r="I355" s="5"/>
      <c r="J355" s="5"/>
      <c r="K355" s="5"/>
      <c r="L355" s="5"/>
      <c r="M355" s="5"/>
      <c r="N355" s="5"/>
      <c r="O355" s="5"/>
      <c r="P355" s="5"/>
      <c r="Q355" s="5"/>
      <c r="R355" s="5"/>
      <c r="S355" s="5"/>
      <c r="T355" s="5"/>
      <c r="U355" s="5"/>
      <c r="V355" s="5"/>
    </row>
    <row r="356" spans="1:22" ht="10.5" x14ac:dyDescent="0.2">
      <c r="A356" s="14" t="s">
        <v>1220</v>
      </c>
      <c r="B356" s="5"/>
      <c r="C356" s="5"/>
      <c r="D356" s="5"/>
      <c r="E356" s="5"/>
      <c r="F356" s="5"/>
      <c r="G356" s="5"/>
      <c r="H356" s="5"/>
      <c r="I356" s="5"/>
      <c r="J356" s="5"/>
      <c r="K356" s="5"/>
      <c r="L356" s="5"/>
      <c r="M356" s="5"/>
      <c r="N356" s="5"/>
      <c r="O356" s="5"/>
      <c r="P356" s="5"/>
      <c r="Q356" s="5"/>
      <c r="R356" s="5"/>
      <c r="S356" s="5"/>
      <c r="T356" s="5"/>
      <c r="U356" s="5"/>
      <c r="V356" s="5"/>
    </row>
    <row r="357" spans="1:22" x14ac:dyDescent="0.2">
      <c r="A357" s="5" t="s">
        <v>1199</v>
      </c>
      <c r="B357" s="20" t="s">
        <v>52</v>
      </c>
      <c r="C357" s="20" t="s">
        <v>52</v>
      </c>
      <c r="D357" s="20" t="s">
        <v>52</v>
      </c>
      <c r="E357" s="20" t="s">
        <v>52</v>
      </c>
      <c r="F357" s="20" t="s">
        <v>52</v>
      </c>
      <c r="G357" s="21">
        <v>0.65758000000000005</v>
      </c>
      <c r="H357" s="21">
        <v>0.51963099999999995</v>
      </c>
      <c r="I357" s="21">
        <v>0.342976</v>
      </c>
      <c r="J357" s="21">
        <v>0.256629</v>
      </c>
      <c r="K357" s="21">
        <v>0.25466100000000003</v>
      </c>
      <c r="L357" s="21">
        <v>0.16118299999999999</v>
      </c>
      <c r="M357" s="21">
        <v>0.182171</v>
      </c>
      <c r="N357" s="21">
        <v>0.211233</v>
      </c>
      <c r="O357" s="21">
        <v>0.172097</v>
      </c>
      <c r="P357" s="21">
        <v>0.20611199999999999</v>
      </c>
      <c r="Q357" s="21">
        <v>0.26649899999999999</v>
      </c>
      <c r="R357" s="21">
        <v>0.27812599999999998</v>
      </c>
      <c r="S357" s="21">
        <v>0.30914900000000001</v>
      </c>
      <c r="T357" s="21">
        <v>0.34871400000000002</v>
      </c>
      <c r="U357" s="21">
        <v>0.32537500000000003</v>
      </c>
      <c r="V357" s="5"/>
    </row>
    <row r="358" spans="1:22" x14ac:dyDescent="0.2">
      <c r="A358" s="5" t="s">
        <v>1200</v>
      </c>
      <c r="B358" s="20" t="s">
        <v>52</v>
      </c>
      <c r="C358" s="20" t="s">
        <v>52</v>
      </c>
      <c r="D358" s="20" t="s">
        <v>52</v>
      </c>
      <c r="E358" s="20" t="s">
        <v>52</v>
      </c>
      <c r="F358" s="20" t="s">
        <v>52</v>
      </c>
      <c r="G358" s="21">
        <v>0.43449100000000002</v>
      </c>
      <c r="H358" s="21">
        <v>0.421705</v>
      </c>
      <c r="I358" s="21">
        <v>0.302701</v>
      </c>
      <c r="J358" s="21">
        <v>0.253834</v>
      </c>
      <c r="K358" s="21">
        <v>0.219279</v>
      </c>
      <c r="L358" s="21">
        <v>0.190696</v>
      </c>
      <c r="M358" s="21">
        <v>0.16264999999999999</v>
      </c>
      <c r="N358" s="21">
        <v>0.21873699999999999</v>
      </c>
      <c r="O358" s="21">
        <v>0.204595</v>
      </c>
      <c r="P358" s="21">
        <v>0.27205699999999999</v>
      </c>
      <c r="Q358" s="21">
        <v>0.31872600000000001</v>
      </c>
      <c r="R358" s="21">
        <v>0.29938300000000001</v>
      </c>
      <c r="S358" s="21">
        <v>0.28973599999999999</v>
      </c>
      <c r="T358" s="21">
        <v>0.320081</v>
      </c>
      <c r="U358" s="21">
        <v>0.29226400000000002</v>
      </c>
      <c r="V358" s="5"/>
    </row>
    <row r="359" spans="1:22" x14ac:dyDescent="0.2">
      <c r="A359" s="5" t="s">
        <v>1201</v>
      </c>
      <c r="B359" s="20" t="s">
        <v>52</v>
      </c>
      <c r="C359" s="20" t="s">
        <v>52</v>
      </c>
      <c r="D359" s="20" t="s">
        <v>52</v>
      </c>
      <c r="E359" s="20" t="s">
        <v>52</v>
      </c>
      <c r="F359" s="20" t="s">
        <v>52</v>
      </c>
      <c r="G359" s="21">
        <v>0.73043899999999995</v>
      </c>
      <c r="H359" s="21">
        <v>0.45768199999999998</v>
      </c>
      <c r="I359" s="21">
        <v>0.27484500000000001</v>
      </c>
      <c r="J359" s="21">
        <v>0.209702</v>
      </c>
      <c r="K359" s="21">
        <v>0.17163700000000001</v>
      </c>
      <c r="L359" s="21">
        <v>9.1647999999999993E-2</v>
      </c>
      <c r="M359" s="21">
        <v>0.18704899999999999</v>
      </c>
      <c r="N359" s="21">
        <v>0.26515899999999998</v>
      </c>
      <c r="O359" s="21">
        <v>0.28621099999999999</v>
      </c>
      <c r="P359" s="21">
        <v>0.49868000000000001</v>
      </c>
      <c r="Q359" s="21">
        <v>0.61899099999999996</v>
      </c>
      <c r="R359" s="21">
        <v>0.46055699999999999</v>
      </c>
      <c r="S359" s="21">
        <v>0.37255199999999999</v>
      </c>
      <c r="T359" s="21">
        <v>0.37042799999999998</v>
      </c>
      <c r="U359" s="21">
        <v>0.32050000000000001</v>
      </c>
      <c r="V359" s="5"/>
    </row>
    <row r="360" spans="1:22" x14ac:dyDescent="0.2">
      <c r="A360" s="5" t="s">
        <v>1202</v>
      </c>
      <c r="B360" s="20" t="s">
        <v>52</v>
      </c>
      <c r="C360" s="20" t="s">
        <v>52</v>
      </c>
      <c r="D360" s="20" t="s">
        <v>52</v>
      </c>
      <c r="E360" s="20" t="s">
        <v>52</v>
      </c>
      <c r="F360" s="20" t="s">
        <v>52</v>
      </c>
      <c r="G360" s="21">
        <v>0.85466399999999998</v>
      </c>
      <c r="H360" s="21">
        <v>0.466754</v>
      </c>
      <c r="I360" s="21">
        <v>0.28073300000000001</v>
      </c>
      <c r="J360" s="21">
        <v>0.207513</v>
      </c>
      <c r="K360" s="21">
        <v>0.16545000000000001</v>
      </c>
      <c r="L360" s="21">
        <v>0.102344</v>
      </c>
      <c r="M360" s="21">
        <v>0.21963199999999999</v>
      </c>
      <c r="N360" s="21">
        <v>0.28199400000000002</v>
      </c>
      <c r="O360" s="21">
        <v>0.29992400000000002</v>
      </c>
      <c r="P360" s="21">
        <v>0.54298500000000005</v>
      </c>
      <c r="Q360" s="21">
        <v>0.65486500000000003</v>
      </c>
      <c r="R360" s="21">
        <v>0.462308</v>
      </c>
      <c r="S360" s="21">
        <v>0.36680099999999999</v>
      </c>
      <c r="T360" s="21">
        <v>0.36857200000000001</v>
      </c>
      <c r="U360" s="21">
        <v>0.31587799999999999</v>
      </c>
      <c r="V360" s="5"/>
    </row>
    <row r="361" spans="1:22" x14ac:dyDescent="0.2">
      <c r="A361" s="5" t="s">
        <v>1203</v>
      </c>
      <c r="B361" s="20" t="s">
        <v>52</v>
      </c>
      <c r="C361" s="20" t="s">
        <v>52</v>
      </c>
      <c r="D361" s="20" t="s">
        <v>52</v>
      </c>
      <c r="E361" s="20" t="s">
        <v>52</v>
      </c>
      <c r="F361" s="20" t="s">
        <v>52</v>
      </c>
      <c r="G361" s="21">
        <v>0.85466399999999998</v>
      </c>
      <c r="H361" s="21">
        <v>0.45429399999999998</v>
      </c>
      <c r="I361" s="21">
        <v>0.28073300000000001</v>
      </c>
      <c r="J361" s="21">
        <v>0.207513</v>
      </c>
      <c r="K361" s="21">
        <v>0.16545000000000001</v>
      </c>
      <c r="L361" s="21">
        <v>0.102344</v>
      </c>
      <c r="M361" s="21">
        <v>0.23008100000000001</v>
      </c>
      <c r="N361" s="21">
        <v>0.28199400000000002</v>
      </c>
      <c r="O361" s="21">
        <v>0.29992400000000002</v>
      </c>
      <c r="P361" s="21">
        <v>0.54298500000000005</v>
      </c>
      <c r="Q361" s="21">
        <v>0.65486500000000003</v>
      </c>
      <c r="R361" s="21">
        <v>0.462308</v>
      </c>
      <c r="S361" s="21">
        <v>0.36680099999999999</v>
      </c>
      <c r="T361" s="21">
        <v>0.36857200000000001</v>
      </c>
      <c r="U361" s="21">
        <v>0.31587799999999999</v>
      </c>
      <c r="V361" s="5"/>
    </row>
    <row r="362" spans="1:22" x14ac:dyDescent="0.2">
      <c r="A362" s="5" t="s">
        <v>1204</v>
      </c>
      <c r="B362" s="20" t="s">
        <v>52</v>
      </c>
      <c r="C362" s="20" t="s">
        <v>52</v>
      </c>
      <c r="D362" s="20" t="s">
        <v>52</v>
      </c>
      <c r="E362" s="20" t="s">
        <v>52</v>
      </c>
      <c r="F362" s="20" t="s">
        <v>52</v>
      </c>
      <c r="G362" s="21" t="s">
        <v>1173</v>
      </c>
      <c r="H362" s="21">
        <v>0.43591099999999999</v>
      </c>
      <c r="I362" s="21">
        <v>0.31032100000000001</v>
      </c>
      <c r="J362" s="21">
        <v>0.277391</v>
      </c>
      <c r="K362" s="21">
        <v>0.17854300000000001</v>
      </c>
      <c r="L362" s="21">
        <v>0.125224</v>
      </c>
      <c r="M362" s="21">
        <v>0.25708999999999999</v>
      </c>
      <c r="N362" s="21">
        <v>0.272088</v>
      </c>
      <c r="O362" s="21">
        <v>0.25106699999999998</v>
      </c>
      <c r="P362" s="21">
        <v>0.53854500000000005</v>
      </c>
      <c r="Q362" s="21">
        <v>0.70182199999999995</v>
      </c>
      <c r="R362" s="21">
        <v>0.52762200000000004</v>
      </c>
      <c r="S362" s="21">
        <v>0.39316899999999999</v>
      </c>
      <c r="T362" s="21">
        <v>0.39667999999999998</v>
      </c>
      <c r="U362" s="21">
        <v>0.34529199999999999</v>
      </c>
      <c r="V362" s="5"/>
    </row>
    <row r="363" spans="1:22" x14ac:dyDescent="0.2">
      <c r="A363" s="5" t="s">
        <v>1205</v>
      </c>
      <c r="B363" s="20" t="s">
        <v>52</v>
      </c>
      <c r="C363" s="20" t="s">
        <v>52</v>
      </c>
      <c r="D363" s="20" t="s">
        <v>52</v>
      </c>
      <c r="E363" s="20" t="s">
        <v>52</v>
      </c>
      <c r="F363" s="20" t="s">
        <v>52</v>
      </c>
      <c r="G363" s="21" t="s">
        <v>1173</v>
      </c>
      <c r="H363" s="21">
        <v>0.50797099999999995</v>
      </c>
      <c r="I363" s="21">
        <v>0.41080699999999998</v>
      </c>
      <c r="J363" s="21">
        <v>0.42254000000000003</v>
      </c>
      <c r="K363" s="21">
        <v>0.32946199999999998</v>
      </c>
      <c r="L363" s="21">
        <v>0.25219399999999997</v>
      </c>
      <c r="M363" s="21">
        <v>0.25708999999999999</v>
      </c>
      <c r="N363" s="21">
        <v>0.272088</v>
      </c>
      <c r="O363" s="21">
        <v>0.25106699999999998</v>
      </c>
      <c r="P363" s="21">
        <v>0.53854500000000005</v>
      </c>
      <c r="Q363" s="21">
        <v>0.70182199999999995</v>
      </c>
      <c r="R363" s="21">
        <v>0.52762200000000004</v>
      </c>
      <c r="S363" s="21">
        <v>0.39316899999999999</v>
      </c>
      <c r="T363" s="21">
        <v>0.39667999999999998</v>
      </c>
      <c r="U363" s="21">
        <v>0.34529199999999999</v>
      </c>
      <c r="V363" s="5"/>
    </row>
    <row r="364" spans="1:22" x14ac:dyDescent="0.2">
      <c r="A364" s="5" t="s">
        <v>1206</v>
      </c>
      <c r="B364" s="20" t="s">
        <v>52</v>
      </c>
      <c r="C364" s="20" t="s">
        <v>52</v>
      </c>
      <c r="D364" s="20" t="s">
        <v>52</v>
      </c>
      <c r="E364" s="20" t="s">
        <v>52</v>
      </c>
      <c r="F364" s="20" t="s">
        <v>52</v>
      </c>
      <c r="G364" s="21">
        <v>0.53831300000000004</v>
      </c>
      <c r="H364" s="21">
        <v>0.61622299999999997</v>
      </c>
      <c r="I364" s="21">
        <v>0.44098900000000002</v>
      </c>
      <c r="J364" s="21">
        <v>0.545566</v>
      </c>
      <c r="K364" s="21">
        <v>0.42772399999999999</v>
      </c>
      <c r="L364" s="21">
        <v>0.32672400000000001</v>
      </c>
      <c r="M364" s="21">
        <v>0.247054</v>
      </c>
      <c r="N364" s="21">
        <v>0.29095300000000002</v>
      </c>
      <c r="O364" s="21">
        <v>0.16289000000000001</v>
      </c>
      <c r="P364" s="21">
        <v>0.52544500000000005</v>
      </c>
      <c r="Q364" s="21">
        <v>0.64459</v>
      </c>
      <c r="R364" s="21">
        <v>0.45198199999999999</v>
      </c>
      <c r="S364" s="21">
        <v>0.35376299999999999</v>
      </c>
      <c r="T364" s="21">
        <v>0.36159400000000003</v>
      </c>
      <c r="U364" s="21">
        <v>0.31742799999999999</v>
      </c>
      <c r="V364" s="5"/>
    </row>
    <row r="365" spans="1:22" x14ac:dyDescent="0.2">
      <c r="A365" s="5" t="s">
        <v>1207</v>
      </c>
      <c r="B365" s="20" t="s">
        <v>52</v>
      </c>
      <c r="C365" s="20" t="s">
        <v>52</v>
      </c>
      <c r="D365" s="20" t="s">
        <v>52</v>
      </c>
      <c r="E365" s="20" t="s">
        <v>52</v>
      </c>
      <c r="F365" s="20" t="s">
        <v>52</v>
      </c>
      <c r="G365" s="20" t="s">
        <v>52</v>
      </c>
      <c r="H365" s="21">
        <v>-0.41961599999999999</v>
      </c>
      <c r="I365" s="21">
        <v>-0.45701399999999998</v>
      </c>
      <c r="J365" s="21">
        <v>-0.45249800000000001</v>
      </c>
      <c r="K365" s="21">
        <v>-0.49143199999999998</v>
      </c>
      <c r="L365" s="21">
        <v>-0.50731499999999996</v>
      </c>
      <c r="M365" s="21">
        <v>0.24939800000000001</v>
      </c>
      <c r="N365" s="21">
        <v>0.26374199999999998</v>
      </c>
      <c r="O365" s="21">
        <v>0.24262400000000001</v>
      </c>
      <c r="P365" s="21">
        <v>0.53717199999999998</v>
      </c>
      <c r="Q365" s="21">
        <v>0.70037099999999997</v>
      </c>
      <c r="R365" s="21">
        <v>0.51929000000000003</v>
      </c>
      <c r="S365" s="21">
        <v>0.37674999999999997</v>
      </c>
      <c r="T365" s="20" t="s">
        <v>52</v>
      </c>
      <c r="U365" s="20" t="s">
        <v>52</v>
      </c>
      <c r="V365" s="5"/>
    </row>
    <row r="366" spans="1:22" x14ac:dyDescent="0.2">
      <c r="A366" s="5"/>
      <c r="B366" s="5"/>
      <c r="C366" s="5"/>
      <c r="D366" s="5"/>
      <c r="E366" s="5"/>
      <c r="F366" s="5"/>
      <c r="G366" s="5"/>
      <c r="H366" s="5"/>
      <c r="I366" s="5"/>
      <c r="J366" s="5"/>
      <c r="K366" s="5"/>
      <c r="L366" s="5"/>
      <c r="M366" s="5"/>
      <c r="N366" s="5"/>
      <c r="O366" s="5"/>
      <c r="P366" s="5"/>
      <c r="Q366" s="5"/>
      <c r="R366" s="5"/>
      <c r="S366" s="5"/>
      <c r="T366" s="5"/>
      <c r="U366" s="5"/>
      <c r="V366" s="5"/>
    </row>
    <row r="367" spans="1:22" x14ac:dyDescent="0.2">
      <c r="A367" s="5" t="s">
        <v>1208</v>
      </c>
      <c r="B367" s="20" t="s">
        <v>52</v>
      </c>
      <c r="C367" s="20" t="s">
        <v>52</v>
      </c>
      <c r="D367" s="20" t="s">
        <v>52</v>
      </c>
      <c r="E367" s="20" t="s">
        <v>52</v>
      </c>
      <c r="F367" s="20" t="s">
        <v>52</v>
      </c>
      <c r="G367" s="21">
        <v>0.64430399999999999</v>
      </c>
      <c r="H367" s="21">
        <v>0.68736299999999995</v>
      </c>
      <c r="I367" s="21">
        <v>0.34361900000000001</v>
      </c>
      <c r="J367" s="21">
        <v>0.25242900000000001</v>
      </c>
      <c r="K367" s="21">
        <v>0.18287800000000001</v>
      </c>
      <c r="L367" s="21">
        <v>0.174619</v>
      </c>
      <c r="M367" s="21">
        <v>2.5076000000000001E-2</v>
      </c>
      <c r="N367" s="21">
        <v>0.142512</v>
      </c>
      <c r="O367" s="21">
        <v>9.0095999999999996E-2</v>
      </c>
      <c r="P367" s="21">
        <v>0.18131900000000001</v>
      </c>
      <c r="Q367" s="21">
        <v>0.25236999999999998</v>
      </c>
      <c r="R367" s="21">
        <v>0.28558800000000001</v>
      </c>
      <c r="S367" s="21">
        <v>0.328129</v>
      </c>
      <c r="T367" s="21">
        <v>0.35819499999999999</v>
      </c>
      <c r="U367" s="21">
        <v>0.30930999999999997</v>
      </c>
      <c r="V367" s="5"/>
    </row>
    <row r="368" spans="1:22" x14ac:dyDescent="0.2">
      <c r="A368" s="5" t="s">
        <v>1209</v>
      </c>
      <c r="B368" s="20" t="s">
        <v>52</v>
      </c>
      <c r="C368" s="20" t="s">
        <v>52</v>
      </c>
      <c r="D368" s="20" t="s">
        <v>52</v>
      </c>
      <c r="E368" s="20" t="s">
        <v>52</v>
      </c>
      <c r="F368" s="20" t="s">
        <v>52</v>
      </c>
      <c r="G368" s="21">
        <v>0.165877</v>
      </c>
      <c r="H368" s="21">
        <v>0.87831400000000004</v>
      </c>
      <c r="I368" s="21">
        <v>0.35187600000000002</v>
      </c>
      <c r="J368" s="21">
        <v>0.39146900000000001</v>
      </c>
      <c r="K368" s="21">
        <v>7.8838000000000005E-2</v>
      </c>
      <c r="L368" s="21">
        <v>-0.12574399999999999</v>
      </c>
      <c r="M368" s="21">
        <v>-0.20618500000000001</v>
      </c>
      <c r="N368" s="21">
        <v>6.8748000000000004E-2</v>
      </c>
      <c r="O368" s="21">
        <v>1.4839E-2</v>
      </c>
      <c r="P368" s="21">
        <v>0.27090500000000001</v>
      </c>
      <c r="Q368" s="21">
        <v>0.43467600000000001</v>
      </c>
      <c r="R368" s="21">
        <v>0.37841900000000001</v>
      </c>
      <c r="S368" s="21">
        <v>0.60433899999999996</v>
      </c>
      <c r="T368" s="21">
        <v>0.76192099999999996</v>
      </c>
      <c r="U368" s="21">
        <v>0.26116499999999998</v>
      </c>
      <c r="V368" s="5"/>
    </row>
    <row r="369" spans="1:22" x14ac:dyDescent="0.2">
      <c r="A369" s="5" t="s">
        <v>1210</v>
      </c>
      <c r="B369" s="20" t="s">
        <v>52</v>
      </c>
      <c r="C369" s="20" t="s">
        <v>52</v>
      </c>
      <c r="D369" s="20" t="s">
        <v>52</v>
      </c>
      <c r="E369" s="20" t="s">
        <v>52</v>
      </c>
      <c r="F369" s="20" t="s">
        <v>52</v>
      </c>
      <c r="G369" s="21">
        <v>0.335731</v>
      </c>
      <c r="H369" s="21">
        <v>0.181954</v>
      </c>
      <c r="I369" s="21">
        <v>9.6414E-2</v>
      </c>
      <c r="J369" s="21">
        <v>0.20221800000000001</v>
      </c>
      <c r="K369" s="21">
        <v>6.9070000000000006E-2</v>
      </c>
      <c r="L369" s="21">
        <v>-5.2045000000000001E-2</v>
      </c>
      <c r="M369" s="21">
        <v>3.6005000000000002E-2</v>
      </c>
      <c r="N369" s="21">
        <v>8.9412000000000005E-2</v>
      </c>
      <c r="O369" s="21">
        <v>-8.0877000000000004E-2</v>
      </c>
      <c r="P369" s="21">
        <v>-9.6212000000000006E-2</v>
      </c>
      <c r="Q369" s="21">
        <v>0.12386999999999999</v>
      </c>
      <c r="R369" s="21">
        <v>0.59904800000000002</v>
      </c>
      <c r="S369" s="21">
        <v>0.61965899999999996</v>
      </c>
      <c r="T369" s="21">
        <v>0.710781</v>
      </c>
      <c r="U369" s="21">
        <v>0.80064400000000002</v>
      </c>
      <c r="V369" s="5"/>
    </row>
    <row r="370" spans="1:22" x14ac:dyDescent="0.2">
      <c r="A370" s="5" t="s">
        <v>1079</v>
      </c>
      <c r="B370" s="20" t="s">
        <v>52</v>
      </c>
      <c r="C370" s="20" t="s">
        <v>52</v>
      </c>
      <c r="D370" s="20" t="s">
        <v>52</v>
      </c>
      <c r="E370" s="20" t="s">
        <v>52</v>
      </c>
      <c r="F370" s="20" t="s">
        <v>52</v>
      </c>
      <c r="G370" s="21">
        <v>0.55371999999999999</v>
      </c>
      <c r="H370" s="21">
        <v>0.65238300000000005</v>
      </c>
      <c r="I370" s="21">
        <v>0.37762299999999999</v>
      </c>
      <c r="J370" s="21">
        <v>0.27951700000000002</v>
      </c>
      <c r="K370" s="21">
        <v>0.210034</v>
      </c>
      <c r="L370" s="21">
        <v>0.15768199999999999</v>
      </c>
      <c r="M370" s="21">
        <v>6.9457000000000005E-2</v>
      </c>
      <c r="N370" s="21">
        <v>0.181564</v>
      </c>
      <c r="O370" s="21">
        <v>0.16370199999999999</v>
      </c>
      <c r="P370" s="21">
        <v>0.22053700000000001</v>
      </c>
      <c r="Q370" s="21">
        <v>0.29515400000000003</v>
      </c>
      <c r="R370" s="21">
        <v>0.28277200000000002</v>
      </c>
      <c r="S370" s="21">
        <v>0.28047499999999997</v>
      </c>
      <c r="T370" s="21">
        <v>0.33666699999999999</v>
      </c>
      <c r="U370" s="21">
        <v>0.35713600000000001</v>
      </c>
      <c r="V370" s="5"/>
    </row>
    <row r="371" spans="1:22" x14ac:dyDescent="0.2">
      <c r="A371" s="5"/>
      <c r="B371" s="5"/>
      <c r="C371" s="5"/>
      <c r="D371" s="5"/>
      <c r="E371" s="5"/>
      <c r="F371" s="5"/>
      <c r="G371" s="5"/>
      <c r="H371" s="5"/>
      <c r="I371" s="5"/>
      <c r="J371" s="5"/>
      <c r="K371" s="5"/>
      <c r="L371" s="5"/>
      <c r="M371" s="5"/>
      <c r="N371" s="5"/>
      <c r="O371" s="5"/>
      <c r="P371" s="5"/>
      <c r="Q371" s="5"/>
      <c r="R371" s="5"/>
      <c r="S371" s="5"/>
      <c r="T371" s="5"/>
      <c r="U371" s="5"/>
      <c r="V371" s="5"/>
    </row>
    <row r="372" spans="1:22" x14ac:dyDescent="0.2">
      <c r="A372" s="5" t="s">
        <v>1211</v>
      </c>
      <c r="B372" s="20" t="s">
        <v>52</v>
      </c>
      <c r="C372" s="20" t="s">
        <v>52</v>
      </c>
      <c r="D372" s="20" t="s">
        <v>52</v>
      </c>
      <c r="E372" s="20" t="s">
        <v>52</v>
      </c>
      <c r="F372" s="20" t="s">
        <v>52</v>
      </c>
      <c r="G372" s="21">
        <v>0.990483</v>
      </c>
      <c r="H372" s="21">
        <v>0.76606799999999997</v>
      </c>
      <c r="I372" s="21">
        <v>0.55211699999999997</v>
      </c>
      <c r="J372" s="21">
        <v>0.52627800000000002</v>
      </c>
      <c r="K372" s="21">
        <v>0.32789800000000002</v>
      </c>
      <c r="L372" s="21">
        <v>0.33217200000000002</v>
      </c>
      <c r="M372" s="21">
        <v>0.25972800000000001</v>
      </c>
      <c r="N372" s="21">
        <v>0.26957900000000001</v>
      </c>
      <c r="O372" s="21">
        <v>0.26105499999999998</v>
      </c>
      <c r="P372" s="21">
        <v>0.33127000000000001</v>
      </c>
      <c r="Q372" s="21">
        <v>0.422296</v>
      </c>
      <c r="R372" s="21">
        <v>0.43890600000000002</v>
      </c>
      <c r="S372" s="21">
        <v>0.37091299999999999</v>
      </c>
      <c r="T372" s="21">
        <v>0.36884400000000001</v>
      </c>
      <c r="U372" s="21">
        <v>0.48585099999999998</v>
      </c>
      <c r="V372" s="5"/>
    </row>
    <row r="373" spans="1:22" x14ac:dyDescent="0.2">
      <c r="A373" s="5" t="s">
        <v>1212</v>
      </c>
      <c r="B373" s="20" t="s">
        <v>52</v>
      </c>
      <c r="C373" s="20" t="s">
        <v>52</v>
      </c>
      <c r="D373" s="20" t="s">
        <v>52</v>
      </c>
      <c r="E373" s="20" t="s">
        <v>52</v>
      </c>
      <c r="F373" s="20" t="s">
        <v>52</v>
      </c>
      <c r="G373" s="21">
        <v>0.92919600000000002</v>
      </c>
      <c r="H373" s="21">
        <v>0.83773600000000004</v>
      </c>
      <c r="I373" s="21">
        <v>0.55211699999999997</v>
      </c>
      <c r="J373" s="21">
        <v>0.52627800000000002</v>
      </c>
      <c r="K373" s="21">
        <v>0.32789800000000002</v>
      </c>
      <c r="L373" s="21">
        <v>0.33217200000000002</v>
      </c>
      <c r="M373" s="21">
        <v>0.21060100000000001</v>
      </c>
      <c r="N373" s="21">
        <v>0.26957900000000001</v>
      </c>
      <c r="O373" s="21">
        <v>0.26105499999999998</v>
      </c>
      <c r="P373" s="21">
        <v>0.33127000000000001</v>
      </c>
      <c r="Q373" s="21">
        <v>0.422296</v>
      </c>
      <c r="R373" s="21">
        <v>0.43890600000000002</v>
      </c>
      <c r="S373" s="21">
        <v>0.373224</v>
      </c>
      <c r="T373" s="21">
        <v>0.37083300000000002</v>
      </c>
      <c r="U373" s="21">
        <v>0.48727500000000001</v>
      </c>
      <c r="V373" s="5"/>
    </row>
    <row r="374" spans="1:22" x14ac:dyDescent="0.2">
      <c r="A374" s="5" t="s">
        <v>1213</v>
      </c>
      <c r="B374" s="20" t="s">
        <v>52</v>
      </c>
      <c r="C374" s="20" t="s">
        <v>52</v>
      </c>
      <c r="D374" s="20" t="s">
        <v>52</v>
      </c>
      <c r="E374" s="20" t="s">
        <v>52</v>
      </c>
      <c r="F374" s="20" t="s">
        <v>52</v>
      </c>
      <c r="G374" s="21">
        <v>0.85257799999999995</v>
      </c>
      <c r="H374" s="21" t="s">
        <v>1173</v>
      </c>
      <c r="I374" s="21">
        <v>0.94547000000000003</v>
      </c>
      <c r="J374" s="21" t="s">
        <v>1173</v>
      </c>
      <c r="K374" s="21" t="s">
        <v>1173</v>
      </c>
      <c r="L374" s="21">
        <v>-8.8626999999999997E-2</v>
      </c>
      <c r="M374" s="21" t="s">
        <v>1173</v>
      </c>
      <c r="N374" s="21">
        <v>4.0961999999999998E-2</v>
      </c>
      <c r="O374" s="21" t="s">
        <v>1173</v>
      </c>
      <c r="P374" s="21" t="s">
        <v>1173</v>
      </c>
      <c r="Q374" s="21">
        <v>0.28479599999999999</v>
      </c>
      <c r="R374" s="21">
        <v>0.30884699999999998</v>
      </c>
      <c r="S374" s="21">
        <v>0.22029199999999999</v>
      </c>
      <c r="T374" s="21">
        <v>0.36337399999999997</v>
      </c>
      <c r="U374" s="21">
        <v>0.39605200000000002</v>
      </c>
      <c r="V374" s="5"/>
    </row>
    <row r="375" spans="1:22" x14ac:dyDescent="0.2">
      <c r="A375" s="5" t="s">
        <v>1214</v>
      </c>
      <c r="B375" s="20" t="s">
        <v>52</v>
      </c>
      <c r="C375" s="20" t="s">
        <v>52</v>
      </c>
      <c r="D375" s="20" t="s">
        <v>52</v>
      </c>
      <c r="E375" s="20" t="s">
        <v>52</v>
      </c>
      <c r="F375" s="20" t="s">
        <v>52</v>
      </c>
      <c r="G375" s="21">
        <v>0.68283400000000005</v>
      </c>
      <c r="H375" s="21">
        <v>0.18779699999999999</v>
      </c>
      <c r="I375" s="21">
        <v>5.8019000000000001E-2</v>
      </c>
      <c r="J375" s="21">
        <v>0.42639700000000003</v>
      </c>
      <c r="K375" s="21">
        <v>1.944E-3</v>
      </c>
      <c r="L375" s="21">
        <v>-0.119006</v>
      </c>
      <c r="M375" s="21">
        <v>0.12900500000000001</v>
      </c>
      <c r="N375" s="21">
        <v>8.9770000000000003E-2</v>
      </c>
      <c r="O375" s="21">
        <v>-0.20322000000000001</v>
      </c>
      <c r="P375" s="21">
        <v>-2.2787999999999999E-2</v>
      </c>
      <c r="Q375" s="21">
        <v>0.40730300000000003</v>
      </c>
      <c r="R375" s="21">
        <v>0.98296899999999998</v>
      </c>
      <c r="S375" s="21">
        <v>0.63960799999999995</v>
      </c>
      <c r="T375" s="21">
        <v>0.62150799999999995</v>
      </c>
      <c r="U375" s="21">
        <v>0.57101199999999996</v>
      </c>
      <c r="V375" s="5"/>
    </row>
    <row r="376" spans="1:22" x14ac:dyDescent="0.2">
      <c r="A376" s="5" t="s">
        <v>1215</v>
      </c>
      <c r="B376" s="20" t="s">
        <v>52</v>
      </c>
      <c r="C376" s="20" t="s">
        <v>52</v>
      </c>
      <c r="D376" s="20" t="s">
        <v>52</v>
      </c>
      <c r="E376" s="20" t="s">
        <v>52</v>
      </c>
      <c r="F376" s="20" t="s">
        <v>52</v>
      </c>
      <c r="G376" s="20" t="s">
        <v>52</v>
      </c>
      <c r="H376" s="21" t="s">
        <v>1173</v>
      </c>
      <c r="I376" s="21" t="s">
        <v>1173</v>
      </c>
      <c r="J376" s="21" t="s">
        <v>1173</v>
      </c>
      <c r="K376" s="21" t="s">
        <v>1173</v>
      </c>
      <c r="L376" s="21" t="s">
        <v>1173</v>
      </c>
      <c r="M376" s="21" t="s">
        <v>1173</v>
      </c>
      <c r="N376" s="21">
        <v>-4.1356999999999998E-2</v>
      </c>
      <c r="O376" s="21" t="s">
        <v>1173</v>
      </c>
      <c r="P376" s="21" t="s">
        <v>1173</v>
      </c>
      <c r="Q376" s="21" t="s">
        <v>1173</v>
      </c>
      <c r="R376" s="21">
        <v>-1.5768000000000001E-2</v>
      </c>
      <c r="S376" s="21">
        <v>0.158744</v>
      </c>
      <c r="T376" s="21">
        <v>0.424875</v>
      </c>
      <c r="U376" s="21">
        <v>0.46552399999999999</v>
      </c>
      <c r="V376" s="5"/>
    </row>
    <row r="377" spans="1:22" x14ac:dyDescent="0.2">
      <c r="A377" s="5" t="s">
        <v>1216</v>
      </c>
      <c r="B377" s="20" t="s">
        <v>52</v>
      </c>
      <c r="C377" s="20" t="s">
        <v>52</v>
      </c>
      <c r="D377" s="20" t="s">
        <v>52</v>
      </c>
      <c r="E377" s="20" t="s">
        <v>52</v>
      </c>
      <c r="F377" s="20" t="s">
        <v>52</v>
      </c>
      <c r="G377" s="20" t="s">
        <v>52</v>
      </c>
      <c r="H377" s="21" t="s">
        <v>1173</v>
      </c>
      <c r="I377" s="21" t="s">
        <v>1173</v>
      </c>
      <c r="J377" s="21" t="s">
        <v>1173</v>
      </c>
      <c r="K377" s="21" t="s">
        <v>1173</v>
      </c>
      <c r="L377" s="21">
        <v>-7.2301000000000004E-2</v>
      </c>
      <c r="M377" s="21" t="s">
        <v>1173</v>
      </c>
      <c r="N377" s="21">
        <v>-4.1514000000000002E-2</v>
      </c>
      <c r="O377" s="21" t="s">
        <v>1173</v>
      </c>
      <c r="P377" s="21" t="s">
        <v>1173</v>
      </c>
      <c r="Q377" s="21" t="s">
        <v>1173</v>
      </c>
      <c r="R377" s="21">
        <v>-1.619E-2</v>
      </c>
      <c r="S377" s="21">
        <v>0.15870799999999999</v>
      </c>
      <c r="T377" s="21">
        <v>0.42483900000000002</v>
      </c>
      <c r="U377" s="21">
        <v>0.463723</v>
      </c>
      <c r="V377" s="5"/>
    </row>
    <row r="378" spans="1:22" x14ac:dyDescent="0.2">
      <c r="A378" s="5" t="s">
        <v>1217</v>
      </c>
      <c r="B378" s="20" t="s">
        <v>52</v>
      </c>
      <c r="C378" s="20" t="s">
        <v>52</v>
      </c>
      <c r="D378" s="20" t="s">
        <v>52</v>
      </c>
      <c r="E378" s="20" t="s">
        <v>52</v>
      </c>
      <c r="F378" s="20" t="s">
        <v>52</v>
      </c>
      <c r="G378" s="20" t="s">
        <v>52</v>
      </c>
      <c r="H378" s="20" t="s">
        <v>52</v>
      </c>
      <c r="I378" s="20" t="s">
        <v>52</v>
      </c>
      <c r="J378" s="20" t="s">
        <v>52</v>
      </c>
      <c r="K378" s="20" t="s">
        <v>52</v>
      </c>
      <c r="L378" s="20" t="s">
        <v>52</v>
      </c>
      <c r="M378" s="20" t="s">
        <v>52</v>
      </c>
      <c r="N378" s="20" t="s">
        <v>52</v>
      </c>
      <c r="O378" s="20" t="s">
        <v>52</v>
      </c>
      <c r="P378" s="20" t="s">
        <v>52</v>
      </c>
      <c r="Q378" s="20" t="s">
        <v>52</v>
      </c>
      <c r="R378" s="20" t="s">
        <v>52</v>
      </c>
      <c r="S378" s="20" t="s">
        <v>52</v>
      </c>
      <c r="T378" s="20" t="s">
        <v>52</v>
      </c>
      <c r="U378" s="20" t="s">
        <v>52</v>
      </c>
      <c r="V378" s="5"/>
    </row>
    <row r="379" spans="1:22" x14ac:dyDescent="0.2">
      <c r="A379" s="5"/>
      <c r="B379" s="5"/>
      <c r="C379" s="5"/>
      <c r="D379" s="5"/>
      <c r="E379" s="5"/>
      <c r="F379" s="5"/>
      <c r="G379" s="5"/>
      <c r="H379" s="5"/>
      <c r="I379" s="5"/>
      <c r="J379" s="5"/>
      <c r="K379" s="5"/>
      <c r="L379" s="5"/>
      <c r="M379" s="5"/>
      <c r="N379" s="5"/>
      <c r="O379" s="5"/>
      <c r="P379" s="5"/>
      <c r="Q379" s="5"/>
      <c r="R379" s="5"/>
      <c r="S379" s="5"/>
      <c r="T379" s="5"/>
      <c r="U379" s="5"/>
      <c r="V379" s="5"/>
    </row>
    <row r="380" spans="1:22" x14ac:dyDescent="0.2">
      <c r="A380" s="5"/>
      <c r="B380" s="5"/>
      <c r="C380" s="5"/>
      <c r="D380" s="5"/>
      <c r="E380" s="5"/>
      <c r="F380" s="5"/>
      <c r="G380" s="5"/>
      <c r="H380" s="5"/>
      <c r="I380" s="5"/>
      <c r="J380" s="5"/>
      <c r="K380" s="5"/>
      <c r="L380" s="5"/>
      <c r="M380" s="5"/>
      <c r="N380" s="5"/>
      <c r="O380" s="5"/>
      <c r="P380" s="5"/>
      <c r="Q380" s="5"/>
      <c r="R380" s="5"/>
      <c r="S380" s="5"/>
      <c r="T380" s="5"/>
      <c r="U380" s="5"/>
      <c r="V380" s="5"/>
    </row>
    <row r="381" spans="1:22" x14ac:dyDescent="0.2">
      <c r="V381" s="5"/>
    </row>
    <row r="382" spans="1:22" x14ac:dyDescent="0.2">
      <c r="V382" s="5"/>
    </row>
    <row r="383" spans="1:22" x14ac:dyDescent="0.2">
      <c r="V383" s="5"/>
    </row>
    <row r="384" spans="1:22" x14ac:dyDescent="0.2">
      <c r="V384" s="5"/>
    </row>
    <row r="385" spans="22:22" x14ac:dyDescent="0.2">
      <c r="V385" s="5"/>
    </row>
    <row r="386" spans="22:22" x14ac:dyDescent="0.2">
      <c r="V386" s="5"/>
    </row>
    <row r="387" spans="22:22" x14ac:dyDescent="0.2">
      <c r="V387" s="5"/>
    </row>
    <row r="388" spans="22:22" x14ac:dyDescent="0.2">
      <c r="V388" s="5"/>
    </row>
    <row r="389" spans="22:22" x14ac:dyDescent="0.2">
      <c r="V389" s="5"/>
    </row>
    <row r="390" spans="22:22" x14ac:dyDescent="0.2">
      <c r="V390" s="5"/>
    </row>
    <row r="391" spans="22:22" x14ac:dyDescent="0.2">
      <c r="V391" s="5"/>
    </row>
    <row r="392" spans="22:22" x14ac:dyDescent="0.2">
      <c r="V392" s="5"/>
    </row>
    <row r="393" spans="22:22" x14ac:dyDescent="0.2">
      <c r="V393" s="5"/>
    </row>
    <row r="394" spans="22:22" x14ac:dyDescent="0.2">
      <c r="V394" s="5"/>
    </row>
    <row r="395" spans="22:22" x14ac:dyDescent="0.2">
      <c r="V395" s="5"/>
    </row>
    <row r="396" spans="22:22" x14ac:dyDescent="0.2">
      <c r="V396" s="5"/>
    </row>
    <row r="397" spans="22:22" x14ac:dyDescent="0.2">
      <c r="V397" s="5"/>
    </row>
    <row r="398" spans="22:22" x14ac:dyDescent="0.2">
      <c r="V398" s="5"/>
    </row>
    <row r="399" spans="22:22" x14ac:dyDescent="0.2">
      <c r="V399" s="5"/>
    </row>
    <row r="400" spans="22:22" x14ac:dyDescent="0.2">
      <c r="V400" s="5"/>
    </row>
    <row r="401" spans="22:22" x14ac:dyDescent="0.2">
      <c r="V401" s="5"/>
    </row>
    <row r="402" spans="22:22" x14ac:dyDescent="0.2">
      <c r="V402" s="5"/>
    </row>
    <row r="403" spans="22:22" x14ac:dyDescent="0.2">
      <c r="V403" s="5"/>
    </row>
    <row r="404" spans="22:22" x14ac:dyDescent="0.2">
      <c r="V404" s="5"/>
    </row>
    <row r="405" spans="22:22" x14ac:dyDescent="0.2">
      <c r="V405" s="5"/>
    </row>
    <row r="406" spans="22:22" x14ac:dyDescent="0.2">
      <c r="V406" s="5"/>
    </row>
    <row r="407" spans="22:22" x14ac:dyDescent="0.2">
      <c r="V407" s="5"/>
    </row>
    <row r="408" spans="22:22" x14ac:dyDescent="0.2">
      <c r="V408" s="5"/>
    </row>
    <row r="409" spans="22:22" x14ac:dyDescent="0.2">
      <c r="V409" s="5"/>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B113"/>
  <sheetViews>
    <sheetView view="pageBreakPreview" zoomScale="75" zoomScaleNormal="100" zoomScaleSheetLayoutView="75" workbookViewId="0"/>
  </sheetViews>
  <sheetFormatPr defaultColWidth="9.1796875" defaultRowHeight="10" outlineLevelRow="1" outlineLevelCol="1" x14ac:dyDescent="0.2"/>
  <cols>
    <col min="1" max="1" width="22.7265625" style="32" customWidth="1"/>
    <col min="2" max="2" width="9.1796875" style="32" customWidth="1"/>
    <col min="3" max="3" width="9.1796875" style="32"/>
    <col min="4" max="8" width="9.1796875" style="32" customWidth="1"/>
    <col min="9" max="12" width="9.1796875" style="32"/>
    <col min="13" max="13" width="9.1796875" style="32" customWidth="1"/>
    <col min="14" max="14" width="1.7265625" style="32" customWidth="1"/>
    <col min="15" max="16" width="9.1796875" style="32" customWidth="1"/>
    <col min="17" max="17" width="9.1796875" style="32"/>
    <col min="18" max="18" width="3.7265625" style="32" customWidth="1"/>
    <col min="19" max="23" width="9.1796875" style="32" hidden="1" customWidth="1" outlineLevel="1"/>
    <col min="24" max="24" width="8.54296875" style="32" customWidth="1" collapsed="1"/>
    <col min="25" max="25" width="8.54296875" style="32" customWidth="1"/>
    <col min="26" max="16384" width="9.1796875" style="32"/>
  </cols>
  <sheetData>
    <row r="1" spans="1:23" ht="13.5" x14ac:dyDescent="0.55000000000000004">
      <c r="A1" s="30" t="s">
        <v>1387</v>
      </c>
      <c r="B1" s="31" t="s">
        <v>1388</v>
      </c>
      <c r="T1" s="33" t="s">
        <v>1389</v>
      </c>
      <c r="U1" s="34" t="s">
        <v>1390</v>
      </c>
      <c r="V1" s="35" t="s">
        <v>1391</v>
      </c>
    </row>
    <row r="2" spans="1:23" ht="10.5" x14ac:dyDescent="0.25">
      <c r="A2" s="30" t="s">
        <v>1392</v>
      </c>
      <c r="B2" s="31" t="s">
        <v>1393</v>
      </c>
      <c r="C2" s="32" t="s">
        <v>1394</v>
      </c>
      <c r="E2" s="30"/>
      <c r="F2" s="36"/>
      <c r="T2" s="37" t="s">
        <v>1395</v>
      </c>
      <c r="U2" s="38">
        <v>0.4</v>
      </c>
    </row>
    <row r="3" spans="1:23" ht="10.5" thickBot="1" x14ac:dyDescent="0.25">
      <c r="Q3" s="39">
        <f ca="1">+TODAY()</f>
        <v>45797</v>
      </c>
      <c r="T3" s="37" t="s">
        <v>1396</v>
      </c>
      <c r="U3" s="38">
        <v>0.26500000000000001</v>
      </c>
    </row>
    <row r="4" spans="1:23" ht="13.5" thickBot="1" x14ac:dyDescent="0.35">
      <c r="A4" s="40" t="str">
        <f>_xll.ciqfunctions.udf.CIQ($B$1, "IQ_COMPANY_NAME")&amp;" ("&amp;_xll.ciqfunctions.udf.CIQ($B$1, "IQ_COMPANY_TICKER")&amp;")"</f>
        <v>Softcat plc (LSE:SCT)</v>
      </c>
      <c r="B4" s="41"/>
      <c r="C4" s="42"/>
      <c r="D4" s="42"/>
      <c r="E4" s="42"/>
      <c r="F4" s="42"/>
      <c r="G4" s="42"/>
      <c r="H4" s="42"/>
      <c r="I4" s="42"/>
      <c r="J4" s="42"/>
      <c r="K4" s="42"/>
      <c r="L4" s="42"/>
      <c r="M4" s="42"/>
      <c r="N4" s="42"/>
      <c r="O4" s="42"/>
      <c r="P4" s="42"/>
      <c r="Q4" s="43"/>
      <c r="T4" s="37" t="s">
        <v>1397</v>
      </c>
      <c r="U4" s="38">
        <v>0.2</v>
      </c>
    </row>
    <row r="5" spans="1:23" ht="10.5" outlineLevel="1" x14ac:dyDescent="0.25">
      <c r="A5" s="44" t="s">
        <v>1398</v>
      </c>
      <c r="B5" s="45"/>
      <c r="C5" s="45"/>
      <c r="D5" s="45"/>
      <c r="E5" s="45"/>
      <c r="F5" s="45"/>
      <c r="G5" s="45"/>
      <c r="H5" s="45"/>
      <c r="I5" s="45"/>
      <c r="J5" s="45"/>
      <c r="K5" s="45"/>
      <c r="L5" s="45"/>
      <c r="M5" s="45"/>
      <c r="N5" s="45"/>
      <c r="O5" s="45"/>
      <c r="P5" s="45"/>
      <c r="Q5" s="46"/>
      <c r="T5" s="37" t="s">
        <v>1399</v>
      </c>
      <c r="U5" s="38">
        <v>0.33333299999999999</v>
      </c>
    </row>
    <row r="6" spans="1:23" ht="11.25" customHeight="1" outlineLevel="1" x14ac:dyDescent="0.2">
      <c r="A6" s="1562" t="str">
        <f>_xll.ciqfunctions.udf.CIQ($B$1, "IQ_BUSINESS_DESCRIPTION")</f>
        <v>Softcat plc operates as a value-added IT reseller and IT infrastructure solutions provider in the United Kingdom. The company advices, procures, designs, implements, and manages technology, such as software licensing, workplace technology, networking, security, and cloud and datacenter for businesses and public sector organizations. It also offers public cloud, collaboration, networking and connectivity, data centre and private cloud, devices, and financial solution services. In addition, the company provides Softcat intelligence services, lifecycle solutions, modern management, security, software licensing, supply chain operation, and virtual desktop and application, as well as IT service provider. Softcat plc was incorporated in 1987 and is headquartered in Marlow, the United Kingdom.</v>
      </c>
      <c r="B6" s="1563"/>
      <c r="C6" s="1563"/>
      <c r="D6" s="1563"/>
      <c r="E6" s="1563"/>
      <c r="F6" s="1563"/>
      <c r="G6" s="1563"/>
      <c r="H6" s="1563"/>
      <c r="I6" s="1563"/>
      <c r="J6" s="1563"/>
      <c r="K6" s="1563"/>
      <c r="L6" s="1563"/>
      <c r="M6" s="1563"/>
      <c r="N6" s="1563"/>
      <c r="O6" s="1563"/>
      <c r="P6" s="1563"/>
      <c r="Q6" s="1564"/>
      <c r="T6" s="37" t="s">
        <v>1400</v>
      </c>
      <c r="U6" s="38">
        <v>0.29649999999999999</v>
      </c>
    </row>
    <row r="7" spans="1:23" outlineLevel="1" x14ac:dyDescent="0.2">
      <c r="A7" s="1565"/>
      <c r="B7" s="1566"/>
      <c r="C7" s="1566"/>
      <c r="D7" s="1566"/>
      <c r="E7" s="1566"/>
      <c r="F7" s="1566"/>
      <c r="G7" s="1566"/>
      <c r="H7" s="1566"/>
      <c r="I7" s="1566"/>
      <c r="J7" s="1566"/>
      <c r="K7" s="1566"/>
      <c r="L7" s="1566"/>
      <c r="M7" s="1566"/>
      <c r="N7" s="1566"/>
      <c r="O7" s="1566"/>
      <c r="P7" s="1566"/>
      <c r="Q7" s="1567"/>
      <c r="T7" s="37" t="s">
        <v>1401</v>
      </c>
      <c r="U7" s="38">
        <v>0.27</v>
      </c>
    </row>
    <row r="8" spans="1:23" ht="13.5" outlineLevel="1" x14ac:dyDescent="0.55000000000000004">
      <c r="A8" s="1565"/>
      <c r="B8" s="1566"/>
      <c r="C8" s="1566"/>
      <c r="D8" s="1566"/>
      <c r="E8" s="1566"/>
      <c r="F8" s="1566"/>
      <c r="G8" s="1566"/>
      <c r="H8" s="1566"/>
      <c r="I8" s="1566"/>
      <c r="J8" s="1566"/>
      <c r="K8" s="1566"/>
      <c r="L8" s="1566"/>
      <c r="M8" s="1566"/>
      <c r="N8" s="1566"/>
      <c r="O8" s="1566"/>
      <c r="P8" s="1566"/>
      <c r="Q8" s="1567"/>
      <c r="T8" s="37" t="s">
        <v>1402</v>
      </c>
      <c r="U8" s="38">
        <v>0.22</v>
      </c>
      <c r="W8" s="34"/>
    </row>
    <row r="9" spans="1:23" outlineLevel="1" x14ac:dyDescent="0.2">
      <c r="A9" s="1565"/>
      <c r="B9" s="1566"/>
      <c r="C9" s="1566"/>
      <c r="D9" s="1566"/>
      <c r="E9" s="1566"/>
      <c r="F9" s="1566"/>
      <c r="G9" s="1566"/>
      <c r="H9" s="1566"/>
      <c r="I9" s="1566"/>
      <c r="J9" s="1566"/>
      <c r="K9" s="1566"/>
      <c r="L9" s="1566"/>
      <c r="M9" s="1566"/>
      <c r="N9" s="1566"/>
      <c r="O9" s="1566"/>
      <c r="P9" s="1566"/>
      <c r="Q9" s="1567"/>
      <c r="T9" s="37" t="s">
        <v>1403</v>
      </c>
      <c r="U9" s="38">
        <v>0.314</v>
      </c>
    </row>
    <row r="10" spans="1:23" outlineLevel="1" x14ac:dyDescent="0.2">
      <c r="A10" s="1565"/>
      <c r="B10" s="1566"/>
      <c r="C10" s="1566"/>
      <c r="D10" s="1566"/>
      <c r="E10" s="1566"/>
      <c r="F10" s="1566"/>
      <c r="G10" s="1566"/>
      <c r="H10" s="1566"/>
      <c r="I10" s="1566"/>
      <c r="J10" s="1566"/>
      <c r="K10" s="1566"/>
      <c r="L10" s="1566"/>
      <c r="M10" s="1566"/>
      <c r="N10" s="1566"/>
      <c r="O10" s="1566"/>
      <c r="P10" s="1566"/>
      <c r="Q10" s="1567"/>
      <c r="T10" s="37" t="s">
        <v>1404</v>
      </c>
      <c r="U10" s="38">
        <v>0.28000000000000003</v>
      </c>
    </row>
    <row r="11" spans="1:23" outlineLevel="1" x14ac:dyDescent="0.2">
      <c r="A11" s="1565"/>
      <c r="B11" s="1566"/>
      <c r="C11" s="1566"/>
      <c r="D11" s="1566"/>
      <c r="E11" s="1566"/>
      <c r="F11" s="1566"/>
      <c r="G11" s="1566"/>
      <c r="H11" s="1566"/>
      <c r="I11" s="1566"/>
      <c r="J11" s="1566"/>
      <c r="K11" s="1566"/>
      <c r="L11" s="1566"/>
      <c r="M11" s="1566"/>
      <c r="N11" s="1566"/>
      <c r="O11" s="1566"/>
      <c r="P11" s="1566"/>
      <c r="Q11" s="1567"/>
      <c r="T11" s="37" t="s">
        <v>1405</v>
      </c>
      <c r="U11" s="38">
        <v>0.3</v>
      </c>
    </row>
    <row r="12" spans="1:23" outlineLevel="1" x14ac:dyDescent="0.2">
      <c r="A12" s="1565"/>
      <c r="B12" s="1566"/>
      <c r="C12" s="1566"/>
      <c r="D12" s="1566"/>
      <c r="E12" s="1566"/>
      <c r="F12" s="1566"/>
      <c r="G12" s="1566"/>
      <c r="H12" s="1566"/>
      <c r="I12" s="1566"/>
      <c r="J12" s="1566"/>
      <c r="K12" s="1566"/>
      <c r="L12" s="1566"/>
      <c r="M12" s="1566"/>
      <c r="N12" s="1566"/>
      <c r="O12" s="1566"/>
      <c r="P12" s="1566"/>
      <c r="Q12" s="1567"/>
      <c r="T12" s="37" t="s">
        <v>1406</v>
      </c>
      <c r="U12" s="38">
        <v>0.28000000000000003</v>
      </c>
    </row>
    <row r="13" spans="1:23" outlineLevel="1" x14ac:dyDescent="0.2">
      <c r="A13" s="1565"/>
      <c r="B13" s="1566"/>
      <c r="C13" s="1566"/>
      <c r="D13" s="1566"/>
      <c r="E13" s="1566"/>
      <c r="F13" s="1566"/>
      <c r="G13" s="1566"/>
      <c r="H13" s="1566"/>
      <c r="I13" s="1566"/>
      <c r="J13" s="1566"/>
      <c r="K13" s="1566"/>
      <c r="L13" s="1566"/>
      <c r="M13" s="1566"/>
      <c r="N13" s="1566"/>
      <c r="O13" s="1566"/>
      <c r="P13" s="1566"/>
      <c r="Q13" s="1567"/>
      <c r="T13" s="37" t="s">
        <v>1407</v>
      </c>
      <c r="U13" s="38">
        <v>0.24199999999999999</v>
      </c>
    </row>
    <row r="14" spans="1:23" outlineLevel="1" x14ac:dyDescent="0.2">
      <c r="A14" s="1565"/>
      <c r="B14" s="1566"/>
      <c r="C14" s="1566"/>
      <c r="D14" s="1566"/>
      <c r="E14" s="1566"/>
      <c r="F14" s="1566"/>
      <c r="G14" s="1566"/>
      <c r="H14" s="1566"/>
      <c r="I14" s="1566"/>
      <c r="J14" s="1566"/>
      <c r="K14" s="1566"/>
      <c r="L14" s="1566"/>
      <c r="M14" s="1566"/>
      <c r="N14" s="1566"/>
      <c r="O14" s="1566"/>
      <c r="P14" s="1566"/>
      <c r="Q14" s="1567"/>
      <c r="T14" s="37" t="s">
        <v>1408</v>
      </c>
      <c r="U14" s="38">
        <v>0.3306</v>
      </c>
    </row>
    <row r="15" spans="1:23" outlineLevel="1" x14ac:dyDescent="0.2">
      <c r="A15" s="1565"/>
      <c r="B15" s="1566"/>
      <c r="C15" s="1566"/>
      <c r="D15" s="1566"/>
      <c r="E15" s="1566"/>
      <c r="F15" s="1566"/>
      <c r="G15" s="1566"/>
      <c r="H15" s="1566"/>
      <c r="I15" s="1566"/>
      <c r="J15" s="1566"/>
      <c r="K15" s="1566"/>
      <c r="L15" s="1566"/>
      <c r="M15" s="1566"/>
      <c r="N15" s="1566"/>
      <c r="O15" s="1566"/>
      <c r="P15" s="1566"/>
      <c r="Q15" s="1567"/>
    </row>
    <row r="16" spans="1:23" outlineLevel="1" x14ac:dyDescent="0.2">
      <c r="A16" s="1568"/>
      <c r="B16" s="1569"/>
      <c r="C16" s="1569"/>
      <c r="D16" s="1569"/>
      <c r="E16" s="1569"/>
      <c r="F16" s="1569"/>
      <c r="G16" s="1569"/>
      <c r="H16" s="1569"/>
      <c r="I16" s="1569"/>
      <c r="J16" s="1569"/>
      <c r="K16" s="1569"/>
      <c r="L16" s="1569"/>
      <c r="M16" s="1569"/>
      <c r="N16" s="1569"/>
      <c r="O16" s="1569"/>
      <c r="P16" s="1569"/>
      <c r="Q16" s="1570"/>
    </row>
    <row r="17" spans="1:28" ht="11.5" outlineLevel="1" x14ac:dyDescent="0.35">
      <c r="A17" s="47" t="s">
        <v>1409</v>
      </c>
      <c r="B17" s="32" t="str">
        <f>_xll.ciqfunctions.udf.CIQ($B$1, "IQ_PRIMARY_INDUSTRY")</f>
        <v>IT Consulting and Other Services</v>
      </c>
      <c r="E17" s="48" t="s">
        <v>250</v>
      </c>
      <c r="H17" s="49" t="s">
        <v>1410</v>
      </c>
      <c r="I17" s="49" t="s">
        <v>1411</v>
      </c>
      <c r="J17" s="49" t="s">
        <v>1412</v>
      </c>
      <c r="L17" s="48" t="s">
        <v>1413</v>
      </c>
      <c r="O17" s="49" t="s">
        <v>1410</v>
      </c>
      <c r="P17" s="49" t="s">
        <v>1411</v>
      </c>
      <c r="Q17" s="50" t="s">
        <v>1412</v>
      </c>
    </row>
    <row r="18" spans="1:28" outlineLevel="1" x14ac:dyDescent="0.2">
      <c r="A18" s="47" t="s">
        <v>1414</v>
      </c>
      <c r="B18" s="51">
        <f ca="1">_xll.ciqfunctions.udf.CIQ($B$1,"IQ_PERIODDATE",IQ_FY,$Q$3)</f>
        <v>45504</v>
      </c>
      <c r="D18" s="52" t="str">
        <f>_xll.ciqfunctions.udf.CIQ($B$1, "IQ_BOARD_MEMBER_ID", 1)</f>
        <v>IQ557953221</v>
      </c>
      <c r="E18" s="32" t="s">
        <v>1415</v>
      </c>
      <c r="F18" s="37" t="str">
        <f>IFERROR(_xll.ciqfunctions.udf.CIQ($B$1,"IQ_BOARD_MEMBER","1"),"n/a")</f>
        <v>Watt, Graeme</v>
      </c>
      <c r="H18" s="53">
        <f>IFERROR(_xll.ciqfunctions.udf.CIQ($B$1,"IQ_HOLDER_SHARES",$D18)/1000000,"n/a")</f>
        <v>0.15432999999999999</v>
      </c>
      <c r="I18" s="54">
        <f>+IFERROR(H18*$C$27,"n/a ")</f>
        <v>3.7362194195494056</v>
      </c>
      <c r="J18" s="55">
        <f>+IFERROR(I18/$C$29,"n/a ")</f>
        <v>7.6838436644261886E-4</v>
      </c>
      <c r="K18" s="52" t="str">
        <f>_xll.ciqfunctions.udf.CIQ($B$1, "IQ_HOLDER_CIQID", 1)</f>
        <v>IQ26654085</v>
      </c>
      <c r="L18" s="37" t="str">
        <f>IFERROR(_xll.ciqfunctions.udf.CIQ($B$1, "IQ_HOLDER_NAME", 1),"n/a")</f>
        <v>Kelly, Peter David John</v>
      </c>
      <c r="O18" s="53">
        <f>IFERROR(_xll.ciqfunctions.udf.CIQ($B$1,"IQ_HOLDER_SHARES",$K18)/1000000,"n/a")</f>
        <v>64.976057999999995</v>
      </c>
      <c r="P18" s="54">
        <f>+IFERROR(O18*$C$27,"n/a ")</f>
        <v>1573.0241022832147</v>
      </c>
      <c r="Q18" s="56">
        <f>+IFERROR(P18/$C$29,"n/a ")</f>
        <v>0.32350539208364454</v>
      </c>
    </row>
    <row r="19" spans="1:28" outlineLevel="1" x14ac:dyDescent="0.2">
      <c r="A19" s="47" t="s">
        <v>1416</v>
      </c>
      <c r="B19" s="51">
        <f ca="1">_xll.ciqfunctions.udf.CIQ($B$1,"IQ_PERIODDATE",IQ_FQ,$Q$3)</f>
        <v>45688</v>
      </c>
      <c r="D19" s="52" t="str">
        <f>_xll.ciqfunctions.udf.CIQ($B$1, "IQ_BOARD_MEMBER_ID", 1)</f>
        <v>IQ557953221</v>
      </c>
      <c r="E19" s="32" t="s">
        <v>1417</v>
      </c>
      <c r="F19" s="37" t="str">
        <f>IFERROR(_xll.ciqfunctions.udf.CIQ($B$1,"IQ_PROFESSIONAL","1"),"n/a")</f>
        <v>Charlton, Graham</v>
      </c>
      <c r="H19" s="53">
        <f>IFERROR(_xll.ciqfunctions.udf.CIQ($B$1,"IQ_HOLDER_SHARES",$D19)/1000000,"n/a")</f>
        <v>0.15432999999999999</v>
      </c>
      <c r="I19" s="54">
        <f t="shared" ref="I19:I21" si="0">+IFERROR(H19*$C$27,"n/a ")</f>
        <v>3.7362194195494056</v>
      </c>
      <c r="J19" s="55">
        <f>+IFERROR(I19/$C$29,"n/a ")</f>
        <v>7.6838436644261886E-4</v>
      </c>
      <c r="K19" s="52" t="str">
        <f>_xll.ciqfunctions.udf.CIQ($B$1, "IQ_HOLDER_CIQID", 2)</f>
        <v>IQ27129189</v>
      </c>
      <c r="L19" s="37" t="str">
        <f>IFERROR(_xll.ciqfunctions.udf.CIQ($B$1, "IQ_HOLDER_NAME", 2),"n/a")</f>
        <v>Mawer Investment Management Ltd.</v>
      </c>
      <c r="O19" s="53">
        <f>IFERROR(_xll.ciqfunctions.udf.CIQ($B$1,"IQ_HOLDER_SHARES",$K19)/1000000,"n/a")</f>
        <v>11.869431000000001</v>
      </c>
      <c r="P19" s="54">
        <f t="shared" ref="P19:P21" si="1">+IFERROR(O19*$C$27,"n/a ")</f>
        <v>287.35047366812495</v>
      </c>
      <c r="Q19" s="56">
        <f>+IFERROR(P19/$C$29,"n/a ")</f>
        <v>5.9095997012696043E-2</v>
      </c>
    </row>
    <row r="20" spans="1:28" outlineLevel="1" x14ac:dyDescent="0.2">
      <c r="A20" s="47" t="s">
        <v>1418</v>
      </c>
      <c r="B20" s="51" t="str">
        <f>_xll.ciqfunctions.udf.CIQ($B$1, "IQ_COUNTRY_OF_INC")</f>
        <v>United Kingdom</v>
      </c>
      <c r="D20" s="52" t="str">
        <f>_xll.ciqfunctions.udf.CIQ($B$1, "IQ_BOARD_MEMBER_ID", 1)</f>
        <v>IQ557953221</v>
      </c>
      <c r="E20" s="32" t="s">
        <v>1419</v>
      </c>
      <c r="F20" s="37" t="str">
        <f>IFERROR(_xll.ciqfunctions.udf.CIQ($B$1,"IQ_PROFESSIONAL","2"),"n/a")</f>
        <v>Mecklenburgh, Kathryn</v>
      </c>
      <c r="H20" s="53">
        <f>IFERROR(_xll.ciqfunctions.udf.CIQ($B$1,"IQ_HOLDER_SHARES",$D20)/1000000,"n/a")</f>
        <v>0.15432999999999999</v>
      </c>
      <c r="I20" s="54">
        <f t="shared" si="0"/>
        <v>3.7362194195494056</v>
      </c>
      <c r="J20" s="55">
        <f t="shared" ref="J20:J21" si="2">+IFERROR(I20/$C$29,"n/a ")</f>
        <v>7.6838436644261886E-4</v>
      </c>
      <c r="K20" s="52" t="str">
        <f>_xll.ciqfunctions.udf.CIQ($B$1, "IQ_HOLDER_CIQID", 3)</f>
        <v>IQ109783</v>
      </c>
      <c r="L20" s="37" t="str">
        <f>IFERROR(_xll.ciqfunctions.udf.CIQ($B$1, "IQ_HOLDER_NAME", 3),"n/a")</f>
        <v>Capital Research and Management Company</v>
      </c>
      <c r="O20" s="53">
        <f>IFERROR(_xll.ciqfunctions.udf.CIQ($B$1,"IQ_HOLDER_SHARES",$K20)/1000000,"n/a")</f>
        <v>9.9656680000000009</v>
      </c>
      <c r="P20" s="54">
        <f t="shared" si="1"/>
        <v>241.26172688642578</v>
      </c>
      <c r="Q20" s="56">
        <f t="shared" ref="Q20:Q21" si="3">+IFERROR(P20/$C$29,"n/a ")</f>
        <v>4.9617465770475482E-2</v>
      </c>
    </row>
    <row r="21" spans="1:28" ht="10.5" outlineLevel="1" thickBot="1" x14ac:dyDescent="0.25">
      <c r="A21" s="57"/>
      <c r="B21" s="58"/>
      <c r="C21" s="58"/>
      <c r="D21" s="59" t="str">
        <f>_xll.ciqfunctions.udf.CIQ($B$1, "IQ_PROFESSIONAL_ID", 3)</f>
        <v>IQ1831635974</v>
      </c>
      <c r="E21" s="58" t="s">
        <v>1419</v>
      </c>
      <c r="F21" s="60" t="str">
        <f>IFERROR(_xll.ciqfunctions.udf.CIQ($B$1,"IQ_PROFESSIONAL","3"),"n/a")</f>
        <v>Pulisciano, Anna</v>
      </c>
      <c r="G21" s="58"/>
      <c r="H21" s="61" t="str">
        <f>IFERROR(_xll.ciqfunctions.udf.CIQ($B$1,"IQ_HOLDER_SHARES",$D21)/1000000,"n/a")</f>
        <v>n/a</v>
      </c>
      <c r="I21" s="62" t="str">
        <f t="shared" si="0"/>
        <v xml:space="preserve">n/a </v>
      </c>
      <c r="J21" s="63" t="str">
        <f t="shared" si="2"/>
        <v xml:space="preserve">n/a </v>
      </c>
      <c r="K21" s="59" t="str">
        <f>_xll.ciqfunctions.udf.CIQ($B$1, "IQ_HOLDER_CIQID", 4)</f>
        <v>IQ4848961</v>
      </c>
      <c r="L21" s="60" t="str">
        <f>IFERROR(_xll.ciqfunctions.udf.CIQ($B$1, "IQ_HOLDER_NAME", 4),"n/a")</f>
        <v>Baillie Gifford &amp; Co.</v>
      </c>
      <c r="M21" s="58"/>
      <c r="N21" s="58"/>
      <c r="O21" s="61">
        <f>IFERROR(_xll.ciqfunctions.udf.CIQ($B$1,"IQ_HOLDER_SHARES",$K21)/1000000,"n/a")</f>
        <v>8.188739</v>
      </c>
      <c r="P21" s="62">
        <f t="shared" si="1"/>
        <v>198.24354094098089</v>
      </c>
      <c r="Q21" s="64">
        <f t="shared" si="3"/>
        <v>4.0770420711974113E-2</v>
      </c>
    </row>
    <row r="22" spans="1:28" ht="3" customHeight="1" thickBot="1" x14ac:dyDescent="0.25"/>
    <row r="23" spans="1:28" ht="10.5" x14ac:dyDescent="0.25">
      <c r="A23" s="44" t="s">
        <v>1420</v>
      </c>
      <c r="B23" s="45"/>
      <c r="C23" s="45"/>
      <c r="D23" s="45"/>
      <c r="E23" s="45"/>
      <c r="F23" s="45"/>
      <c r="G23" s="45"/>
      <c r="H23" s="45"/>
      <c r="I23" s="45"/>
      <c r="J23" s="45"/>
      <c r="K23" s="45"/>
      <c r="L23" s="45"/>
      <c r="M23" s="45"/>
      <c r="N23" s="45"/>
      <c r="O23" s="45"/>
      <c r="P23" s="45"/>
      <c r="Q23" s="46"/>
    </row>
    <row r="24" spans="1:28" x14ac:dyDescent="0.2">
      <c r="A24" s="65" t="str">
        <f>"(in "&amp;IF($B$26="Reported",_xll.ciqfunctions.udf.CIQ($B$1,"IQ_FILING_CURRENCY"),IF($B$26="Trading",_xll.ciqfunctions.udf.CIQ($B$1,"IQ_TRADING_CURRENCY"),$B$26))&amp;" millions, except per share data and unless otherwise noted)"</f>
        <v>(in GBP millions, except per share data and unless otherwise noted)</v>
      </c>
      <c r="Q24" s="66"/>
    </row>
    <row r="25" spans="1:28" ht="10.5" x14ac:dyDescent="0.25">
      <c r="A25" s="67" t="s">
        <v>175</v>
      </c>
      <c r="E25" s="68" t="s">
        <v>1421</v>
      </c>
      <c r="H25" s="69"/>
      <c r="I25" s="69" t="s">
        <v>1422</v>
      </c>
      <c r="J25" s="69"/>
      <c r="L25" s="68" t="s">
        <v>1423</v>
      </c>
      <c r="Q25" s="66"/>
    </row>
    <row r="26" spans="1:28" ht="13.5" x14ac:dyDescent="0.55000000000000004">
      <c r="A26" s="70"/>
      <c r="B26" s="71" t="s">
        <v>1424</v>
      </c>
      <c r="C26" s="71" t="s">
        <v>89</v>
      </c>
      <c r="G26" s="34" t="str">
        <f>+M39</f>
        <v>LTM</v>
      </c>
      <c r="H26" s="72">
        <f ca="1">+O40</f>
        <v>45869</v>
      </c>
      <c r="I26" s="72">
        <f ca="1">+P40</f>
        <v>46234</v>
      </c>
      <c r="J26" s="72">
        <f ca="1">+Q40</f>
        <v>46599</v>
      </c>
      <c r="N26" s="73"/>
      <c r="Q26" s="66"/>
      <c r="S26" s="71" t="str">
        <f>+B2</f>
        <v>Reported</v>
      </c>
      <c r="AA26" s="32">
        <v>9.4</v>
      </c>
      <c r="AB26" s="32">
        <v>11.9</v>
      </c>
    </row>
    <row r="27" spans="1:28" x14ac:dyDescent="0.2">
      <c r="A27" s="47" t="s">
        <v>1425</v>
      </c>
      <c r="B27" s="53">
        <f>_xll.ciqfunctions.udf.CIQ($B$1, "IQ_LASTSALEPRICE", , B$26)</f>
        <v>18.11</v>
      </c>
      <c r="C27" s="53">
        <f>_xll.ciqfunctions.udf.CIQ(B1, "IQ_LASTSALEPRICE", , C$26)</f>
        <v>24.20928801626</v>
      </c>
      <c r="D27" s="74">
        <f ca="1">DATE(YEAR($Q$3)-1,12,31)</f>
        <v>45657</v>
      </c>
      <c r="E27" s="32" t="s">
        <v>1426</v>
      </c>
      <c r="G27" s="75">
        <f>+IFERROR($S$34/M43,"n/a")</f>
        <v>3.3856517124290986</v>
      </c>
      <c r="H27" s="75">
        <f>+IFERROR($S$34/O43,"n/a")</f>
        <v>3.1498284623646322</v>
      </c>
      <c r="I27" s="75">
        <f t="shared" ref="I27:J27" si="4">+IFERROR($S$34/P43,"n/a")</f>
        <v>2.7983634971077405</v>
      </c>
      <c r="J27" s="75">
        <f t="shared" si="4"/>
        <v>2.5451044927445876</v>
      </c>
      <c r="L27" s="32" t="s">
        <v>1427</v>
      </c>
      <c r="O27" s="76">
        <f ca="1">IFERROR(_xll.ciqfunctions.udf.CIQ($B$1, "IQ_LASTSALEPRICE")/_xll.ciqfunctions.udf.CIQ($B$1, "IQ_LASTSALEPRICE",$D27)-1,"n/a ")</f>
        <v>0.18832020997375332</v>
      </c>
      <c r="Q27" s="66"/>
      <c r="S27" s="53">
        <f>_xll.ciqfunctions.udf.CIQ($B$1, "IQ_LASTSALEPRICE", , S$26)</f>
        <v>18.11</v>
      </c>
      <c r="AA27" s="32">
        <v>12.1</v>
      </c>
      <c r="AB27" s="32">
        <v>14.3</v>
      </c>
    </row>
    <row r="28" spans="1:28" ht="11.5" x14ac:dyDescent="0.35">
      <c r="A28" s="77" t="s">
        <v>1428</v>
      </c>
      <c r="B28" s="78">
        <f>_xll.ciqfunctions.udf.CIQ($B$1, "IQ_DILUT_WEIGHT","IQ_FQ")</f>
        <v>200.85</v>
      </c>
      <c r="C28" s="78">
        <f>+B28</f>
        <v>200.85</v>
      </c>
      <c r="D28" s="74">
        <f ca="1">+$Q$3-30</f>
        <v>45767</v>
      </c>
      <c r="E28" s="32" t="s">
        <v>1429</v>
      </c>
      <c r="G28" s="75" t="str">
        <f>+IFERROR(IF($S$34/(M50+M64)&lt;0,"n/a ",$S$34/(M50+M64)),"n/a ")</f>
        <v xml:space="preserve">n/a </v>
      </c>
      <c r="H28" s="75" t="str">
        <f>+IFERROR(IF($S$34/(O50+O64)&lt;0,"n/a ",$S$34/(O50+O64)),"n/a ")</f>
        <v xml:space="preserve">n/a </v>
      </c>
      <c r="I28" s="75" t="str">
        <f t="shared" ref="I28:J28" si="5">+IFERROR(IF($S$34/(P50+P64)&lt;0,"n/a ",$S$34/(P50+P64)),"n/a ")</f>
        <v xml:space="preserve">n/a </v>
      </c>
      <c r="J28" s="75" t="str">
        <f t="shared" si="5"/>
        <v xml:space="preserve">n/a </v>
      </c>
      <c r="L28" s="32" t="s">
        <v>1430</v>
      </c>
      <c r="O28" s="76">
        <f ca="1">IFERROR(_xll.ciqfunctions.udf.CIQ($B$1, "IQ_LASTSALEPRICE")/_xll.ciqfunctions.udf.CIQ($B$1, "IQ_LASTSALEPRICE",$D28)-1,"n/a ")</f>
        <v>0.14330808080808088</v>
      </c>
      <c r="Q28" s="66"/>
      <c r="S28" s="78">
        <f>_xll.ciqfunctions.udf.CIQ($B$1, "IQ_DILUT_WEIGHT","IQ_FQ")</f>
        <v>200.85</v>
      </c>
      <c r="AA28" s="32">
        <v>5</v>
      </c>
      <c r="AB28" s="32">
        <v>5.6</v>
      </c>
    </row>
    <row r="29" spans="1:28" ht="10.5" x14ac:dyDescent="0.25">
      <c r="A29" s="70" t="s">
        <v>1431</v>
      </c>
      <c r="B29" s="79">
        <f>+IFERROR(B27*B28,"n/a ")</f>
        <v>3637.3934999999997</v>
      </c>
      <c r="C29" s="79">
        <f>+IFERROR(C27*C28,"n/a ")</f>
        <v>4862.4354980658209</v>
      </c>
      <c r="D29" s="74">
        <f ca="1">+$Q$3-90</f>
        <v>45707</v>
      </c>
      <c r="E29" s="32" t="s">
        <v>1432</v>
      </c>
      <c r="G29" s="75">
        <f>+IFERROR(IF($S$34/(M50+SUM(M81:M83))&lt;0,"n/a ",$S$34/(M50+SUM(M81:M83))),"n/a ")</f>
        <v>22.729042263693461</v>
      </c>
      <c r="H29" s="75">
        <f>+IFERROR(IF($S$34/(O50+SUM(O81:O83))&lt;0,"n/a ",$S$34/(O50+SUM(O81:O83))),"n/a ")</f>
        <v>21.864088684984932</v>
      </c>
      <c r="I29" s="75">
        <f>+IFERROR(IF($S$34/(P50+SUM(P81:P83))&lt;0,"n/a ",$S$34/(P50+SUM(P81:P83))),"n/a ")</f>
        <v>19.187226332921572</v>
      </c>
      <c r="J29" s="75">
        <f t="shared" ref="J29" si="6">+IFERROR(IF($S$34/(Q50+SUM(Q81:Q83))&lt;0,"n/a ",$S$34/(Q50+SUM(Q81:Q83))),"n/a ")</f>
        <v>17.155458619727451</v>
      </c>
      <c r="L29" s="32" t="s">
        <v>1433</v>
      </c>
      <c r="O29" s="76">
        <f ca="1">IFERROR(_xll.ciqfunctions.udf.CIQ($B$1, "IQ_LASTSALEPRICE")/_xll.ciqfunctions.udf.CIQ($B$1, "IQ_LASTSALEPRICE",$D29)-1,"n/a ")</f>
        <v>0.12834890965732071</v>
      </c>
      <c r="Q29" s="66"/>
      <c r="S29" s="79">
        <f>+IFERROR(S27*S28,"n/a ")</f>
        <v>3637.3934999999997</v>
      </c>
      <c r="AB29" s="32">
        <f>AB28/AA28-1</f>
        <v>0.11999999999999988</v>
      </c>
    </row>
    <row r="30" spans="1:28" x14ac:dyDescent="0.2">
      <c r="A30" s="77" t="s">
        <v>1434</v>
      </c>
      <c r="B30" s="54">
        <f>_xll.ciqfunctions.udf.CIQ($B$1, "IQ_TOTAL_DEBT", , , , , B$26, "C")</f>
        <v>28.335000000000001</v>
      </c>
      <c r="C30" s="54">
        <f>_xll.ciqfunctions.udf.CIQ(B1, "IQ_TOTAL_DEBT", , , , , C$26, "C")</f>
        <v>37.877977999999999</v>
      </c>
      <c r="D30" s="74">
        <f ca="1">+$Q$3-365</f>
        <v>45432</v>
      </c>
      <c r="E30" s="32" t="s">
        <v>1435</v>
      </c>
      <c r="G30" s="75">
        <f>+IFERROR(IF($S$34/M56&lt;0,"n/a ",$S$34/M56),"n/a ")</f>
        <v>21.768055212450591</v>
      </c>
      <c r="H30" s="75">
        <f>+IFERROR(IF($S$34/O56&lt;0,"n/a ",$S$34/O56),"n/a ")</f>
        <v>20.291439444504633</v>
      </c>
      <c r="I30" s="75">
        <f t="shared" ref="I30:J30" si="7">+IFERROR(IF($S$34/P56&lt;0,"n/a ",$S$34/P56),"n/a ")</f>
        <v>18.340369122535122</v>
      </c>
      <c r="J30" s="75">
        <f t="shared" si="7"/>
        <v>16.479287742839432</v>
      </c>
      <c r="L30" s="32" t="s">
        <v>1436</v>
      </c>
      <c r="O30" s="76">
        <f ca="1">IFERROR(_xll.ciqfunctions.udf.CIQ($B$1, "IQ_LASTSALEPRICE")/_xll.ciqfunctions.udf.CIQ($B$1, "IQ_LASTSALEPRICE",$D30)-1,"n/a ")</f>
        <v>6.7806603773584717E-2</v>
      </c>
      <c r="Q30" s="66"/>
      <c r="S30" s="54">
        <f>_xll.ciqfunctions.udf.CIQ($B$1, "IQ_TOTAL_DEBT", , , , , S$26, "C")</f>
        <v>28.335000000000001</v>
      </c>
    </row>
    <row r="31" spans="1:28" x14ac:dyDescent="0.2">
      <c r="A31" s="77" t="s">
        <v>1437</v>
      </c>
      <c r="B31" s="54" t="str">
        <f>_xll.ciqfunctions.udf.CIQ($B$1, "IQ_PREF_EQUITY", , , , , B$26, "C")</f>
        <v>NA</v>
      </c>
      <c r="C31" s="54" t="str">
        <f>_xll.ciqfunctions.udf.CIQ(B1, "IQ_PREF_EQUITY", , , , , C$26, "C")</f>
        <v>NA</v>
      </c>
      <c r="E31" s="32" t="s">
        <v>1438</v>
      </c>
      <c r="G31" s="75">
        <f>+IFERROR(IF($S$27/M67&lt;0,"n/a ",$S$27/M67),"n/a ")</f>
        <v>26.907868744187699</v>
      </c>
      <c r="H31" s="75">
        <f>+IFERROR(IF($S$27/O67&lt;0,"n/a ",$S$27/O67),"n/a ")</f>
        <v>26.318590356898817</v>
      </c>
      <c r="I31" s="75">
        <f t="shared" ref="I31:J31" si="8">+IFERROR(IF($S$27/P67&lt;0,"n/a ",$S$27/P67),"n/a ")</f>
        <v>23.769281187916967</v>
      </c>
      <c r="J31" s="75">
        <f t="shared" si="8"/>
        <v>21.348557564990156</v>
      </c>
      <c r="Q31" s="66"/>
      <c r="S31" s="54" t="str">
        <f>_xll.ciqfunctions.udf.CIQ($B$1, "IQ_PREF_EQUITY", , , , , S$26, "C")</f>
        <v>NA</v>
      </c>
      <c r="AA31" s="32">
        <v>1.8</v>
      </c>
      <c r="AB31" s="32">
        <v>2.2999999999999998</v>
      </c>
    </row>
    <row r="32" spans="1:28" x14ac:dyDescent="0.2">
      <c r="A32" s="77" t="s">
        <v>1439</v>
      </c>
      <c r="B32" s="54" t="str">
        <f>_xll.ciqfunctions.udf.CIQ($B$1, "IQ_MINORITY_INTEREST_TOTAL", , , , , B$26, "C")</f>
        <v>NA</v>
      </c>
      <c r="C32" s="54" t="str">
        <f>_xll.ciqfunctions.udf.CIQ(B1, "IQ_MINORITY_INTEREST_TOTAL", , , , , C$26, "C")</f>
        <v>NA</v>
      </c>
      <c r="D32" s="74">
        <f ca="1">+$Q$3-365*3</f>
        <v>44702</v>
      </c>
      <c r="E32" s="32" t="s">
        <v>1440</v>
      </c>
      <c r="G32" s="75">
        <f>+IFERROR(IF($S$27/M85&lt;0,"n/a ",$S$27/M85),"n/a ")</f>
        <v>28.989487110762255</v>
      </c>
      <c r="H32" s="75">
        <f>+IFERROR(IF($S$27/O85&lt;0,"n/a ",$S$27/O85),"n/a ")</f>
        <v>29.660906348682083</v>
      </c>
      <c r="I32" s="75">
        <f t="shared" ref="I32:J32" si="9">+IFERROR(IF($S$27/P85&lt;0,"n/a ",$S$27/P85),"n/a ")</f>
        <v>25.781447581638734</v>
      </c>
      <c r="J32" s="75">
        <f t="shared" si="9"/>
        <v>23.000195013395381</v>
      </c>
      <c r="L32" s="32" t="s">
        <v>1441</v>
      </c>
      <c r="O32" s="76">
        <f ca="1">IFERROR((_xll.ciqfunctions.udf.CIQ($B$1, "IQ_CLOSEPRICE_ADJ")/_xll.ciqfunctions.udf.CIQ($B$1, "IQ_CLOSEPRICE_ADJ",$D32))^(1/3)-1,"n/a ")</f>
        <v>0.14206358274494746</v>
      </c>
      <c r="Q32" s="66"/>
      <c r="S32" s="54" t="str">
        <f>_xll.ciqfunctions.udf.CIQ($B$1, "IQ_MINORITY_INTEREST_TOTAL", , , , , S$26, "C")</f>
        <v>NA</v>
      </c>
      <c r="AA32" s="32">
        <v>4</v>
      </c>
      <c r="AB32" s="32">
        <v>4.5</v>
      </c>
    </row>
    <row r="33" spans="1:28" ht="11.5" x14ac:dyDescent="0.35">
      <c r="A33" s="77" t="s">
        <v>1442</v>
      </c>
      <c r="B33" s="80">
        <f>IFERROR(-_xll.ciqfunctions.udf.CIQ($B$1, "IQ_CASH_ST_INVEST", , , , , B$26, "C"),"n/a ")</f>
        <v>-141.04499999999999</v>
      </c>
      <c r="C33" s="80">
        <f>IFERROR(-_xll.ciqfunctions.udf.CIQ(B1, "IQ_CASH_ST_INVEST", , , , , C$26, "C"),"n/a ")</f>
        <v>-188.54771</v>
      </c>
      <c r="D33" s="74">
        <f ca="1">+$Q$3-365*5</f>
        <v>43972</v>
      </c>
      <c r="E33" s="32" t="s">
        <v>1443</v>
      </c>
      <c r="G33" s="75">
        <f>+IFERROR(IF($S$29/M91&lt;0,"n/a ",$S$29/M91),"n/a ")</f>
        <v>30.953642637710505</v>
      </c>
      <c r="H33" s="75">
        <f>+IFERROR(IF($S$29/O91&lt;0,"n/a ",$S$29/O91),"n/a ")</f>
        <v>30.85836123436869</v>
      </c>
      <c r="I33" s="75">
        <f t="shared" ref="I33:J33" si="10">+IFERROR(IF($S$29/P91&lt;0,"n/a ",$S$29/P91),"n/a ")</f>
        <v>26.740478195872559</v>
      </c>
      <c r="J33" s="75">
        <f t="shared" si="10"/>
        <v>23.859785566130849</v>
      </c>
      <c r="L33" s="32" t="s">
        <v>1444</v>
      </c>
      <c r="O33" s="76">
        <f ca="1">IFERROR((_xll.ciqfunctions.udf.CIQ($B$1, "IQ_CLOSEPRICE_ADJ")/_xll.ciqfunctions.udf.CIQ($B$1, "IQ_CLOSEPRICE_ADJ",$D33))^(1/5)-1,"n/a ")</f>
        <v>0.10733683874206013</v>
      </c>
      <c r="Q33" s="66"/>
      <c r="S33" s="80">
        <f>IFERROR(-_xll.ciqfunctions.udf.CIQ($B$1, "IQ_CASH_ST_INVEST", , , , , S$26, "C"),"n/a ")</f>
        <v>-141.04499999999999</v>
      </c>
      <c r="AA33" s="32">
        <f>7.4-AA28</f>
        <v>2.4000000000000004</v>
      </c>
      <c r="AB33" s="32">
        <f>8.6-AB28</f>
        <v>3</v>
      </c>
    </row>
    <row r="34" spans="1:28" ht="10.5" x14ac:dyDescent="0.25">
      <c r="A34" s="70" t="s">
        <v>97</v>
      </c>
      <c r="B34" s="81">
        <f>+IFERROR(SUM(B29:B33),"n/a ")</f>
        <v>3524.6834999999996</v>
      </c>
      <c r="C34" s="81">
        <f>+IFERROR(SUM(C29:C33),"n/a ")</f>
        <v>4711.7657660658215</v>
      </c>
      <c r="D34" s="82">
        <f ca="1">+$Q$3-365*10</f>
        <v>42147</v>
      </c>
      <c r="L34" s="32" t="s">
        <v>1445</v>
      </c>
      <c r="O34" s="76" t="str">
        <f ca="1">IFERROR((_xll.ciqfunctions.udf.CIQ($B$1, "IQ_CLOSEPRICE_ADJ")/_xll.ciqfunctions.udf.CIQ($B$1, "IQ_CLOSEPRICE_ADJ",$D34))^(1/10)-1,"n/a ")</f>
        <v xml:space="preserve">n/a </v>
      </c>
      <c r="Q34" s="66"/>
      <c r="S34" s="81">
        <f>+IFERROR(SUM(S29:S33),"n/a ")</f>
        <v>3524.6834999999996</v>
      </c>
      <c r="AB34" s="32">
        <f>AB33/AA33-1</f>
        <v>0.24999999999999978</v>
      </c>
    </row>
    <row r="35" spans="1:28" ht="11" thickBot="1" x14ac:dyDescent="0.3">
      <c r="A35" s="83"/>
      <c r="B35" s="84"/>
      <c r="C35" s="85"/>
      <c r="D35" s="86"/>
      <c r="E35" s="87" t="s">
        <v>1446</v>
      </c>
      <c r="F35" s="88"/>
      <c r="G35" s="88"/>
      <c r="H35" s="89">
        <f>+IFERROR(IF($S$27/O71&lt;0,"n/a ",$S$27/O71),"n/a ")</f>
        <v>27.363935813363153</v>
      </c>
      <c r="I35" s="89">
        <f>+IFERROR(IF($S$27/P71&lt;0,"n/a ",$S$27/P71),"n/a ")</f>
        <v>24.9188177665254</v>
      </c>
      <c r="J35" s="89">
        <f>+IFERROR(IF($S$27/Q71&lt;0,"n/a ",$S$27/Q71),"n/a ")</f>
        <v>22.63071078676397</v>
      </c>
      <c r="K35" s="58"/>
      <c r="L35" s="58"/>
      <c r="M35" s="58"/>
      <c r="N35" s="58"/>
      <c r="O35" s="58"/>
      <c r="P35" s="58"/>
      <c r="Q35" s="90"/>
      <c r="S35" s="81"/>
    </row>
    <row r="36" spans="1:28" ht="3" customHeight="1" thickBot="1" x14ac:dyDescent="0.25"/>
    <row r="37" spans="1:28" ht="10.5" x14ac:dyDescent="0.25">
      <c r="A37" s="44" t="s">
        <v>142</v>
      </c>
      <c r="B37" s="45"/>
      <c r="C37" s="45"/>
      <c r="D37" s="45"/>
      <c r="E37" s="45"/>
      <c r="F37" s="45"/>
      <c r="G37" s="45"/>
      <c r="H37" s="45"/>
      <c r="I37" s="45"/>
      <c r="J37" s="45"/>
      <c r="K37" s="45"/>
      <c r="L37" s="45"/>
      <c r="M37" s="45"/>
      <c r="N37" s="45"/>
      <c r="O37" s="45"/>
      <c r="P37" s="45"/>
      <c r="Q37" s="46"/>
      <c r="S37" s="91"/>
    </row>
    <row r="38" spans="1:28" ht="10.5" x14ac:dyDescent="0.25">
      <c r="A38" s="65" t="str">
        <f>"(in "&amp;IF($B$2="Reported",_xll.ciqfunctions.udf.CIQ($B$1,"IQ_FILING_CURRENCY"),IF($B$2="Trading",_xll.ciqfunctions.udf.CIQ($B$1,"IQ_TRADING_CURRENCY"),$B$2))&amp;" millions, except per share data)"</f>
        <v>(in GBP millions, except per share data)</v>
      </c>
      <c r="B38" s="92"/>
      <c r="C38" s="93"/>
      <c r="D38" s="93"/>
      <c r="E38" s="93"/>
      <c r="F38" s="93"/>
      <c r="G38" s="93"/>
      <c r="H38" s="93"/>
      <c r="I38" s="93"/>
      <c r="J38" s="93"/>
      <c r="K38" s="93"/>
      <c r="L38" s="93"/>
      <c r="M38" s="93"/>
      <c r="O38" s="94"/>
      <c r="P38" s="95" t="s">
        <v>1447</v>
      </c>
      <c r="Q38" s="96"/>
      <c r="S38" s="91"/>
    </row>
    <row r="39" spans="1:28" ht="10.5" x14ac:dyDescent="0.25">
      <c r="A39" s="47"/>
      <c r="B39" s="97" t="s">
        <v>1422</v>
      </c>
      <c r="C39" s="97"/>
      <c r="D39" s="97"/>
      <c r="E39" s="97"/>
      <c r="F39" s="97"/>
      <c r="G39" s="97"/>
      <c r="H39" s="97"/>
      <c r="I39" s="97"/>
      <c r="J39" s="97"/>
      <c r="K39" s="97"/>
      <c r="L39" s="97"/>
      <c r="M39" s="69" t="s">
        <v>1448</v>
      </c>
      <c r="O39" s="1571" t="s">
        <v>1422</v>
      </c>
      <c r="P39" s="1571"/>
      <c r="Q39" s="1572"/>
      <c r="S39" s="69" t="s">
        <v>1448</v>
      </c>
      <c r="V39" s="98"/>
    </row>
    <row r="40" spans="1:28" ht="13.5" x14ac:dyDescent="0.55000000000000004">
      <c r="A40" s="65"/>
      <c r="B40" s="72">
        <f ca="1">_xll.ciqfunctions.udf.CIQ($B$1,"IQ_PERIODDATE",B$41,$Q$3)</f>
        <v>41851</v>
      </c>
      <c r="C40" s="72">
        <f ca="1">_xll.ciqfunctions.udf.CIQ($B$1,"IQ_PERIODDATE",C$41,$Q$3)</f>
        <v>42216</v>
      </c>
      <c r="D40" s="72">
        <f ca="1">_xll.ciqfunctions.udf.CIQ($B$1,"IQ_PERIODDATE",D$41,$Q$3)</f>
        <v>42582</v>
      </c>
      <c r="E40" s="72">
        <f ca="1">_xll.ciqfunctions.udf.CIQ($B$1,"IQ_PERIODDATE",E$41,$Q$3)</f>
        <v>42947</v>
      </c>
      <c r="F40" s="72">
        <f ca="1">_xll.ciqfunctions.udf.CIQ($B$1,"IQ_PERIODDATE",F$41,$Q$3)</f>
        <v>43312</v>
      </c>
      <c r="G40" s="72">
        <f ca="1">_xll.ciqfunctions.udf.CIQ($B$1,"IQ_PERIODDATE",G$41,$Q$3)</f>
        <v>43677</v>
      </c>
      <c r="H40" s="72">
        <f ca="1">_xll.ciqfunctions.udf.CIQ($B$1,"IQ_PERIODDATE",H$41,$Q$3)</f>
        <v>44043</v>
      </c>
      <c r="I40" s="72">
        <f ca="1">_xll.ciqfunctions.udf.CIQ($B$1,"IQ_PERIODDATE",I$41,$Q$3)</f>
        <v>44408</v>
      </c>
      <c r="J40" s="72">
        <f ca="1">_xll.ciqfunctions.udf.CIQ($B$1,"IQ_PERIODDATE",J$41,$Q$3)</f>
        <v>44773</v>
      </c>
      <c r="K40" s="72">
        <f ca="1">_xll.ciqfunctions.udf.CIQ($B$1,"IQ_PERIODDATE",K$41,$Q$3)</f>
        <v>45138</v>
      </c>
      <c r="L40" s="72">
        <f ca="1">_xll.ciqfunctions.udf.CIQ($B$1,"IQ_PERIODDATE",L$41,$Q$3)</f>
        <v>45504</v>
      </c>
      <c r="M40" s="72">
        <f ca="1">_xll.ciqfunctions.udf.CIQ($B$1,"IQ_PERIODDATE",M$41,$Q$3)</f>
        <v>45688</v>
      </c>
      <c r="O40" s="72">
        <f ca="1">+DATE(YEAR($L40)+1,MONTH($L40),DAY($L40))</f>
        <v>45869</v>
      </c>
      <c r="P40" s="72">
        <f ca="1">+DATE(YEAR($L40)+2,MONTH($L40),DAY($L40))</f>
        <v>46234</v>
      </c>
      <c r="Q40" s="99">
        <f ca="1">+DATE(YEAR($L40)+3,MONTH($L40),DAY($L40))</f>
        <v>46599</v>
      </c>
      <c r="S40" s="72">
        <f ca="1">+DATE(YEAR($M40)-1,MONTH($M40),DAY(EOMONTH($M40,0)))</f>
        <v>45322</v>
      </c>
      <c r="X40" s="100" t="s">
        <v>1449</v>
      </c>
      <c r="Y40" s="100" t="s">
        <v>1450</v>
      </c>
    </row>
    <row r="41" spans="1:28" ht="10.5" x14ac:dyDescent="0.25">
      <c r="A41" s="67" t="s">
        <v>1010</v>
      </c>
      <c r="B41" s="101">
        <f t="shared" ref="B41:J41" si="11">+C41-1</f>
        <v>990</v>
      </c>
      <c r="C41" s="101">
        <f t="shared" si="11"/>
        <v>991</v>
      </c>
      <c r="D41" s="101">
        <f t="shared" si="11"/>
        <v>992</v>
      </c>
      <c r="E41" s="101">
        <f t="shared" si="11"/>
        <v>993</v>
      </c>
      <c r="F41" s="101">
        <f t="shared" si="11"/>
        <v>994</v>
      </c>
      <c r="G41" s="101">
        <f t="shared" si="11"/>
        <v>995</v>
      </c>
      <c r="H41" s="101">
        <f t="shared" si="11"/>
        <v>996</v>
      </c>
      <c r="I41" s="101">
        <f t="shared" si="11"/>
        <v>997</v>
      </c>
      <c r="J41" s="101">
        <f t="shared" si="11"/>
        <v>998</v>
      </c>
      <c r="K41" s="101">
        <f>+L41-1</f>
        <v>999</v>
      </c>
      <c r="L41" s="101">
        <f>IQ_FY</f>
        <v>1000</v>
      </c>
      <c r="M41" s="101">
        <f>IQ_LTM</f>
        <v>2000</v>
      </c>
      <c r="N41" s="82"/>
      <c r="O41" s="82">
        <f>+$L41+1</f>
        <v>1001</v>
      </c>
      <c r="P41" s="82">
        <f>+$L41+2</f>
        <v>1002</v>
      </c>
      <c r="Q41" s="102">
        <f>+$L41+3</f>
        <v>1003</v>
      </c>
      <c r="S41" s="101">
        <f>IQ_LTM</f>
        <v>2000</v>
      </c>
      <c r="T41" s="98"/>
      <c r="X41" s="103"/>
      <c r="Y41" s="101"/>
      <c r="AB41" s="32">
        <f>55*22</f>
        <v>1210</v>
      </c>
    </row>
    <row r="42" spans="1:28" ht="3" customHeight="1" x14ac:dyDescent="0.25">
      <c r="A42" s="67"/>
      <c r="Q42" s="66"/>
      <c r="T42" s="98"/>
      <c r="X42" s="103" t="e">
        <f>(L42/C42)^(1/10)-1</f>
        <v>#DIV/0!</v>
      </c>
    </row>
    <row r="43" spans="1:28" ht="10.5" x14ac:dyDescent="0.25">
      <c r="A43" s="104" t="s">
        <v>737</v>
      </c>
      <c r="B43" s="1550">
        <f>_xll.ciqfunctions.udf.CIQ($B$1, "IQ_TOTAL_REV",B$41,,,,$B$2)</f>
        <v>504.79700000000003</v>
      </c>
      <c r="C43" s="1550">
        <f>_xll.ciqfunctions.udf.CIQ($B$1, "IQ_TOTAL_REV",C$41,,,,$B$2)</f>
        <v>596.08399999999995</v>
      </c>
      <c r="D43" s="1550">
        <f>_xll.ciqfunctions.udf.CIQ($B$1, "IQ_TOTAL_REV",D$41,,,,$B$2)</f>
        <v>672.351</v>
      </c>
      <c r="E43" s="1550">
        <f>_xll.ciqfunctions.udf.CIQ($B$1, "IQ_TOTAL_REV",E$41,,,,$B$2)</f>
        <v>832.48599999999999</v>
      </c>
      <c r="F43" s="1550">
        <f>_xll.ciqfunctions.udf.CIQ($B$1, "IQ_TOTAL_REV",F$41,,,,$B$2)</f>
        <v>797.20799999999997</v>
      </c>
      <c r="G43" s="1550">
        <f>_xll.ciqfunctions.udf.CIQ($B$1, "IQ_TOTAL_REV",G$41,,,,$B$2)</f>
        <v>991.84900000000005</v>
      </c>
      <c r="H43" s="1550">
        <f>_xll.ciqfunctions.udf.CIQ($B$1, "IQ_TOTAL_REV",H$41,,,,$B$2)</f>
        <v>1077.127</v>
      </c>
      <c r="I43" s="1550">
        <f>_xll.ciqfunctions.udf.CIQ($B$1, "IQ_TOTAL_REV",I$41,,,,$B$2)</f>
        <v>784.04899999999998</v>
      </c>
      <c r="J43" s="1550">
        <f>_xll.ciqfunctions.udf.CIQ($B$1, "IQ_TOTAL_REV",J$41,,,,$B$2)</f>
        <v>1077.9459999999999</v>
      </c>
      <c r="K43" s="1550">
        <f>_xll.ciqfunctions.udf.CIQ($B$1, "IQ_TOTAL_REV",K$41,,,,$B$2)</f>
        <v>985.3</v>
      </c>
      <c r="L43" s="1550">
        <f>_xll.ciqfunctions.udf.CIQ($B$1, "IQ_TOTAL_REV",L$41,,,,$B$2)</f>
        <v>962.63300000000004</v>
      </c>
      <c r="M43" s="1550">
        <f>_xll.ciqfunctions.udf.CIQ($B$1, "IQ_TOTAL_REV",M$41,,,,$B$2)</f>
        <v>1041.0650000000001</v>
      </c>
      <c r="N43" s="91"/>
      <c r="O43" s="1550">
        <f>_xll.ciqfunctions.udf.CIQ($B$1,"IQ_REVENUE_EST",O$41,,,,$B$2)</f>
        <v>1119.0080800000001</v>
      </c>
      <c r="P43" s="1550">
        <f>_xll.ciqfunctions.udf.CIQ($B$1,"IQ_REVENUE_EST",P$41,,,,$B$2)</f>
        <v>1259.5517</v>
      </c>
      <c r="Q43" s="105">
        <f>_xll.ciqfunctions.udf.CIQ($B$1,"IQ_REVENUE_EST",Q$41,,,,$B$2)</f>
        <v>1384.8875399999999</v>
      </c>
      <c r="S43" s="1550">
        <f ca="1">_xll.ciqfunctions.udf.CIQ($B$1, "IQ_TOTAL_REV",S$41,$S$40,,,$B$2)</f>
        <v>940.04700000000003</v>
      </c>
      <c r="X43" s="106">
        <f>(L43/G43)^(1/5)-1</f>
        <v>-5.9618849147669017E-3</v>
      </c>
      <c r="Y43" s="106">
        <f>(L43/B43)^(1/10)-1</f>
        <v>6.6680603696013696E-2</v>
      </c>
    </row>
    <row r="44" spans="1:28" s="111" customFormat="1" x14ac:dyDescent="0.2">
      <c r="A44" s="107" t="s">
        <v>1451</v>
      </c>
      <c r="B44" s="108"/>
      <c r="C44" s="109">
        <f>+IFERROR(C43/B43-1,"n/a ")</f>
        <v>0.18083903034289017</v>
      </c>
      <c r="D44" s="109">
        <f t="shared" ref="D44:L44" si="12">+IFERROR(D43/C43-1,"n/a ")</f>
        <v>0.12794673233973741</v>
      </c>
      <c r="E44" s="109">
        <f t="shared" si="12"/>
        <v>0.23817172875477244</v>
      </c>
      <c r="F44" s="109">
        <f t="shared" si="12"/>
        <v>-4.2376688616985736E-2</v>
      </c>
      <c r="G44" s="109">
        <f t="shared" si="12"/>
        <v>0.24415334517465959</v>
      </c>
      <c r="H44" s="109">
        <f t="shared" si="12"/>
        <v>8.5978813307267421E-2</v>
      </c>
      <c r="I44" s="109">
        <f t="shared" si="12"/>
        <v>-0.27209233451579984</v>
      </c>
      <c r="J44" s="109">
        <f t="shared" si="12"/>
        <v>0.37484519462431543</v>
      </c>
      <c r="K44" s="109">
        <f t="shared" si="12"/>
        <v>-8.5946791397713773E-2</v>
      </c>
      <c r="L44" s="109">
        <f t="shared" si="12"/>
        <v>-2.3005176088500834E-2</v>
      </c>
      <c r="M44" s="109">
        <f ca="1">+IFERROR(M43/S43-1,"n/a ")</f>
        <v>0.10746058441758777</v>
      </c>
      <c r="N44" s="108"/>
      <c r="O44" s="109">
        <f>+IFERROR(O43/L43-1,"n/a ")</f>
        <v>0.16244516861566138</v>
      </c>
      <c r="P44" s="109">
        <f>+IFERROR(P43/O43-1,"n/a ")</f>
        <v>0.12559660873941136</v>
      </c>
      <c r="Q44" s="110">
        <f>+IFERROR(Q43/P43-1,"n/a ")</f>
        <v>9.9508293307849049E-2</v>
      </c>
      <c r="S44" s="108"/>
      <c r="T44" s="101"/>
      <c r="X44" s="101"/>
      <c r="Y44" s="108"/>
    </row>
    <row r="45" spans="1:28" ht="10.5" x14ac:dyDescent="0.25">
      <c r="A45" s="104" t="s">
        <v>49</v>
      </c>
      <c r="B45" s="1550">
        <f>_xll.ciqfunctions.udf.CIQ($B$1, "IQ_EBITDA",B$41,,,,$B$2)</f>
        <v>37.093000000000004</v>
      </c>
      <c r="C45" s="1550">
        <f>_xll.ciqfunctions.udf.CIQ($B$1, "IQ_EBITDA",C$41,,,,$B$2)</f>
        <v>41.375999999999998</v>
      </c>
      <c r="D45" s="1550">
        <f>_xll.ciqfunctions.udf.CIQ($B$1, "IQ_EBITDA",D$41,,,,$B$2)</f>
        <v>43.985999999999997</v>
      </c>
      <c r="E45" s="1550">
        <f>_xll.ciqfunctions.udf.CIQ($B$1, "IQ_EBITDA",E$41,,,,$B$2)</f>
        <v>51.802999999999997</v>
      </c>
      <c r="F45" s="1550">
        <f>_xll.ciqfunctions.udf.CIQ($B$1, "IQ_EBITDA",F$41,,,,$B$2)</f>
        <v>69.481999999999999</v>
      </c>
      <c r="G45" s="1550">
        <f>_xll.ciqfunctions.udf.CIQ($B$1, "IQ_EBITDA",G$41,,,,$B$2)</f>
        <v>85.760999999999996</v>
      </c>
      <c r="H45" s="1550">
        <f>_xll.ciqfunctions.udf.CIQ($B$1, "IQ_EBITDA",H$41,,,,$B$2)</f>
        <v>95.114999999999995</v>
      </c>
      <c r="I45" s="1550">
        <f>_xll.ciqfunctions.udf.CIQ($B$1, "IQ_EBITDA",I$41,,,,$B$2)</f>
        <v>121.748</v>
      </c>
      <c r="J45" s="1550">
        <f>_xll.ciqfunctions.udf.CIQ($B$1, "IQ_EBITDA",J$41,,,,$B$2)</f>
        <v>138.518</v>
      </c>
      <c r="K45" s="1550">
        <f>_xll.ciqfunctions.udf.CIQ($B$1, "IQ_EBITDA",K$41,,,,$B$2)</f>
        <v>143.364</v>
      </c>
      <c r="L45" s="1550">
        <f>_xll.ciqfunctions.udf.CIQ($B$1, "IQ_EBITDA",L$41,,,,$B$2)</f>
        <v>156.69499999999999</v>
      </c>
      <c r="M45" s="1550">
        <f>_xll.ciqfunctions.udf.CIQ($B$1, "IQ_EBITDA",M$41,,,,$B$2)</f>
        <v>163.73699999999999</v>
      </c>
      <c r="N45" s="91"/>
      <c r="O45" s="1550">
        <f>+IFERROR(O50-O49,IFERROR(O50,"n/a"))</f>
        <v>176.69607343777767</v>
      </c>
      <c r="P45" s="1550">
        <f t="shared" ref="P45:Q45" si="13">+IFERROR(P50-P49,IFERROR(P50,"n/a"))</f>
        <v>195.61852896855623</v>
      </c>
      <c r="Q45" s="105">
        <f t="shared" si="13"/>
        <v>216.5182916853895</v>
      </c>
      <c r="S45" s="1550">
        <f ca="1">_xll.ciqfunctions.udf.CIQ($B$1, "IQ_EBITDA",S$41,$S$40,,,$B$2)</f>
        <v>147.14400000000001</v>
      </c>
      <c r="X45" s="106">
        <f>(L45/G45)^(1/5)-1</f>
        <v>0.12811418592464685</v>
      </c>
      <c r="Y45" s="106">
        <f>(L45/B45)^(1/10)-1</f>
        <v>0.15498493063367325</v>
      </c>
    </row>
    <row r="46" spans="1:28" ht="10.5" x14ac:dyDescent="0.25">
      <c r="A46" s="107" t="s">
        <v>1451</v>
      </c>
      <c r="B46" s="91"/>
      <c r="C46" s="109">
        <f>+IFERROR(C45/B45-1,"n/a ")</f>
        <v>0.11546653007305951</v>
      </c>
      <c r="D46" s="109">
        <f t="shared" ref="D46:L46" si="14">+IFERROR(D45/C45-1,"n/a ")</f>
        <v>6.3080046403712231E-2</v>
      </c>
      <c r="E46" s="109">
        <f t="shared" si="14"/>
        <v>0.17771563679352531</v>
      </c>
      <c r="F46" s="109">
        <f t="shared" si="14"/>
        <v>0.3412736714089919</v>
      </c>
      <c r="G46" s="109">
        <f t="shared" si="14"/>
        <v>0.23429089548372239</v>
      </c>
      <c r="H46" s="109">
        <f t="shared" si="14"/>
        <v>0.10907055654668207</v>
      </c>
      <c r="I46" s="109">
        <f t="shared" si="14"/>
        <v>0.28000841087105099</v>
      </c>
      <c r="J46" s="109">
        <f t="shared" si="14"/>
        <v>0.13774353582810384</v>
      </c>
      <c r="K46" s="109">
        <f t="shared" si="14"/>
        <v>3.4984622937091148E-2</v>
      </c>
      <c r="L46" s="109">
        <f t="shared" si="14"/>
        <v>9.2987081833654006E-2</v>
      </c>
      <c r="M46" s="109">
        <f ca="1">+IFERROR(M45/S45-1,"n/a ")</f>
        <v>0.11276708530419177</v>
      </c>
      <c r="N46" s="91"/>
      <c r="O46" s="109">
        <f>+IFERROR(O45/L45-1,"n/a ")</f>
        <v>0.12764334176443204</v>
      </c>
      <c r="P46" s="109">
        <f>+IFERROR(P45/O45-1,"n/a ")</f>
        <v>0.10709041328777458</v>
      </c>
      <c r="Q46" s="110">
        <f>+IFERROR(Q45/P45-1,"n/a ")</f>
        <v>0.10683938186751574</v>
      </c>
      <c r="S46" s="91"/>
      <c r="T46" s="79"/>
      <c r="X46" s="79"/>
      <c r="Y46" s="91"/>
    </row>
    <row r="47" spans="1:28" x14ac:dyDescent="0.2">
      <c r="A47" s="107" t="s">
        <v>1452</v>
      </c>
      <c r="B47" s="109">
        <f t="shared" ref="B47:M47" si="15">+IFERROR(B45/B43,"n/a ")</f>
        <v>7.3481023064717113E-2</v>
      </c>
      <c r="C47" s="109">
        <f t="shared" si="15"/>
        <v>6.9413035746639734E-2</v>
      </c>
      <c r="D47" s="109">
        <f t="shared" si="15"/>
        <v>6.5421186255393379E-2</v>
      </c>
      <c r="E47" s="109">
        <f t="shared" si="15"/>
        <v>6.2226872283738105E-2</v>
      </c>
      <c r="F47" s="109">
        <f t="shared" si="15"/>
        <v>8.7156676802039118E-2</v>
      </c>
      <c r="G47" s="109">
        <f t="shared" si="15"/>
        <v>8.6465782593923055E-2</v>
      </c>
      <c r="H47" s="109">
        <f t="shared" si="15"/>
        <v>8.8304350369083684E-2</v>
      </c>
      <c r="I47" s="109">
        <f t="shared" si="15"/>
        <v>0.15528111125707705</v>
      </c>
      <c r="J47" s="109">
        <f t="shared" si="15"/>
        <v>0.12850179879140514</v>
      </c>
      <c r="K47" s="109">
        <f t="shared" si="15"/>
        <v>0.14550289252004467</v>
      </c>
      <c r="L47" s="109">
        <f t="shared" si="15"/>
        <v>0.16277750710810868</v>
      </c>
      <c r="M47" s="109">
        <f t="shared" si="15"/>
        <v>0.1572783639830366</v>
      </c>
      <c r="N47" s="91"/>
      <c r="O47" s="109">
        <f>+IFERROR(O45/O43,"n/a ")</f>
        <v>0.15790419800880942</v>
      </c>
      <c r="P47" s="109">
        <f>+IFERROR(P45/P43,"n/a ")</f>
        <v>0.15530805838978759</v>
      </c>
      <c r="Q47" s="110">
        <f>+IFERROR(Q45/Q43,"n/a ")</f>
        <v>0.15634359139760151</v>
      </c>
      <c r="S47" s="109">
        <f ca="1">+IFERROR(S45/S43,"n/a ")</f>
        <v>0.15652834379557617</v>
      </c>
      <c r="T47" s="108"/>
      <c r="X47" s="108"/>
      <c r="Y47" s="109"/>
    </row>
    <row r="48" spans="1:28" outlineLevel="1" x14ac:dyDescent="0.2">
      <c r="A48" s="107" t="s">
        <v>1453</v>
      </c>
      <c r="B48" s="109"/>
      <c r="C48" s="109">
        <f>IFERROR((C45-B45)/(C43-B43),"n/a")</f>
        <v>4.6917962031833647E-2</v>
      </c>
      <c r="D48" s="109">
        <f t="shared" ref="D48:L48" si="16">IFERROR((D45-C45)/(D43-C43),"n/a")</f>
        <v>3.4221878400881083E-2</v>
      </c>
      <c r="E48" s="109">
        <f t="shared" si="16"/>
        <v>4.8815062291191813E-2</v>
      </c>
      <c r="F48" s="109">
        <f t="shared" si="16"/>
        <v>-0.50113385112534703</v>
      </c>
      <c r="G48" s="109">
        <f t="shared" si="16"/>
        <v>8.3636027352921485E-2</v>
      </c>
      <c r="H48" s="109">
        <f t="shared" si="16"/>
        <v>0.10968831351579551</v>
      </c>
      <c r="I48" s="109">
        <f t="shared" si="16"/>
        <v>-9.0873419362763538E-2</v>
      </c>
      <c r="J48" s="109">
        <f t="shared" si="16"/>
        <v>5.706080701742447E-2</v>
      </c>
      <c r="K48" s="109">
        <f t="shared" si="16"/>
        <v>-5.230662953608365E-2</v>
      </c>
      <c r="L48" s="109">
        <f t="shared" si="16"/>
        <v>-0.58812370406317727</v>
      </c>
      <c r="M48" s="109"/>
      <c r="N48" s="91"/>
      <c r="O48" s="109">
        <f>IFERROR((O45-L45)/(O43-L43),"n/a")</f>
        <v>0.12790448092993892</v>
      </c>
      <c r="P48" s="109">
        <f t="shared" ref="P48:Q48" si="17">IFERROR((P45-O45)/(P43-O43),"n/a")</f>
        <v>0.13463759885207577</v>
      </c>
      <c r="Q48" s="110">
        <f t="shared" si="17"/>
        <v>0.16675009093036175</v>
      </c>
      <c r="S48" s="109"/>
      <c r="T48" s="108"/>
      <c r="X48" s="108"/>
      <c r="Y48" s="109"/>
    </row>
    <row r="49" spans="1:25" ht="11.5" x14ac:dyDescent="0.35">
      <c r="A49" s="47" t="s">
        <v>1454</v>
      </c>
      <c r="B49" s="80" t="str">
        <f>+_xll.ciqfunctions.udf.CIQ($B$1, "IQ_STOCK_BASED_CF",B$41,,,,$B$2)</f>
        <v>NA</v>
      </c>
      <c r="C49" s="80">
        <f>+_xll.ciqfunctions.udf.CIQ($B$1, "IQ_STOCK_BASED_CF",C$41,,,,$B$2)</f>
        <v>5.0000000000000001E-3</v>
      </c>
      <c r="D49" s="80">
        <f>+_xll.ciqfunctions.udf.CIQ($B$1, "IQ_STOCK_BASED_CF",D$41,,,,$B$2)</f>
        <v>0.57199999999999995</v>
      </c>
      <c r="E49" s="80">
        <f>+_xll.ciqfunctions.udf.CIQ($B$1, "IQ_STOCK_BASED_CF",E$41,,,,$B$2)</f>
        <v>1.07</v>
      </c>
      <c r="F49" s="80">
        <f>+_xll.ciqfunctions.udf.CIQ($B$1, "IQ_STOCK_BASED_CF",F$41,,,,$B$2)</f>
        <v>1.7589999999999999</v>
      </c>
      <c r="G49" s="80">
        <f>+_xll.ciqfunctions.udf.CIQ($B$1, "IQ_STOCK_BASED_CF",G$41,,,,$B$2)</f>
        <v>1.732</v>
      </c>
      <c r="H49" s="80">
        <f>+_xll.ciqfunctions.udf.CIQ($B$1, "IQ_STOCK_BASED_CF",H$41,,,,$B$2)</f>
        <v>1.958</v>
      </c>
      <c r="I49" s="80">
        <f>+_xll.ciqfunctions.udf.CIQ($B$1, "IQ_STOCK_BASED_CF",I$41,,,,$B$2)</f>
        <v>2.2669999999999999</v>
      </c>
      <c r="J49" s="80">
        <f>+_xll.ciqfunctions.udf.CIQ($B$1, "IQ_STOCK_BASED_CF",J$41,,,,$B$2)</f>
        <v>2.5409999999999999</v>
      </c>
      <c r="K49" s="80">
        <f>+_xll.ciqfunctions.udf.CIQ($B$1, "IQ_STOCK_BASED_CF",K$41,,,,$B$2)</f>
        <v>3.33</v>
      </c>
      <c r="L49" s="80">
        <f>+_xll.ciqfunctions.udf.CIQ($B$1, "IQ_STOCK_BASED_CF",L$41,,,,$B$2)</f>
        <v>3.6120000000000001</v>
      </c>
      <c r="M49" s="80">
        <f>+_xll.ciqfunctions.udf.CIQ($B$1, "IQ_STOCK_BASED_CF",M$41,,,,$B$2)</f>
        <v>3.5649999999999999</v>
      </c>
      <c r="N49" s="91"/>
      <c r="O49" s="80">
        <f>IF(O50="n/a","n/a",IFERROR($M49/$M43*O43,"n/a"))</f>
        <v>3.8319065622223398</v>
      </c>
      <c r="P49" s="80">
        <f t="shared" ref="P49:Q49" si="18">IF(P50="n/a","n/a",IFERROR($M49/$M43*P43,"n/a"))</f>
        <v>4.3131810314437615</v>
      </c>
      <c r="Q49" s="112">
        <f t="shared" si="18"/>
        <v>4.7423783146105185</v>
      </c>
      <c r="S49" s="80">
        <f ca="1">+_xll.ciqfunctions.udf.CIQ($B$1, "IQ_STOCK_BASED_CF",S$41,$S$40,,,$B$2)</f>
        <v>3.4380000000000002</v>
      </c>
      <c r="T49" s="79"/>
      <c r="X49" s="79"/>
      <c r="Y49" s="80"/>
    </row>
    <row r="50" spans="1:25" ht="10.5" x14ac:dyDescent="0.25">
      <c r="A50" s="104" t="s">
        <v>1455</v>
      </c>
      <c r="B50" s="1550">
        <f>+IFERROR(B45+B49,IFERROR(B45,"n/a"))</f>
        <v>37.093000000000004</v>
      </c>
      <c r="C50" s="1550">
        <f t="shared" ref="C50:M50" si="19">+IFERROR(C45+C49,IFERROR(C45,"n/a"))</f>
        <v>41.381</v>
      </c>
      <c r="D50" s="1550">
        <f t="shared" si="19"/>
        <v>44.558</v>
      </c>
      <c r="E50" s="1550">
        <f t="shared" si="19"/>
        <v>52.872999999999998</v>
      </c>
      <c r="F50" s="1550">
        <f t="shared" si="19"/>
        <v>71.241</v>
      </c>
      <c r="G50" s="1550">
        <f t="shared" si="19"/>
        <v>87.492999999999995</v>
      </c>
      <c r="H50" s="1550">
        <f t="shared" si="19"/>
        <v>97.072999999999993</v>
      </c>
      <c r="I50" s="1550">
        <f t="shared" si="19"/>
        <v>124.015</v>
      </c>
      <c r="J50" s="1550">
        <f t="shared" si="19"/>
        <v>141.059</v>
      </c>
      <c r="K50" s="1550">
        <f t="shared" si="19"/>
        <v>146.69400000000002</v>
      </c>
      <c r="L50" s="1550">
        <f t="shared" si="19"/>
        <v>160.30699999999999</v>
      </c>
      <c r="M50" s="1550">
        <f t="shared" si="19"/>
        <v>167.30199999999999</v>
      </c>
      <c r="N50" s="91"/>
      <c r="O50" s="1550">
        <f>_xll.ciqfunctions.udf.CIQ($B$1,"IQ_EBITDA_EST",O$41,,,,$B$2)</f>
        <v>180.52798000000001</v>
      </c>
      <c r="P50" s="1550">
        <f>_xll.ciqfunctions.udf.CIQ($B$1,"IQ_EBITDA_EST",P$41,,,,$B$2)</f>
        <v>199.93171000000001</v>
      </c>
      <c r="Q50" s="105">
        <f>_xll.ciqfunctions.udf.CIQ($B$1,"IQ_EBITDA_EST",Q$41,,,,$B$2)</f>
        <v>221.26067</v>
      </c>
      <c r="S50" s="1550">
        <f t="shared" ref="S50" ca="1" si="20">+IFERROR(S45+S49,IFERROR(S45,"n/a"))</f>
        <v>150.58199999999999</v>
      </c>
      <c r="T50" s="91"/>
      <c r="X50" s="91"/>
      <c r="Y50" s="79"/>
    </row>
    <row r="51" spans="1:25" x14ac:dyDescent="0.2">
      <c r="A51" s="107" t="s">
        <v>1451</v>
      </c>
      <c r="B51" s="109"/>
      <c r="C51" s="109">
        <f>+IFERROR(C50/B50-1,"n/a ")</f>
        <v>0.11560132639581577</v>
      </c>
      <c r="D51" s="109">
        <f t="shared" ref="D51:L51" si="21">+IFERROR(D50/C50-1,"n/a ")</f>
        <v>7.6774365046760495E-2</v>
      </c>
      <c r="E51" s="109">
        <f t="shared" si="21"/>
        <v>0.18661070963687765</v>
      </c>
      <c r="F51" s="109">
        <f t="shared" si="21"/>
        <v>0.34739848315775546</v>
      </c>
      <c r="G51" s="109">
        <f t="shared" si="21"/>
        <v>0.22812706166392949</v>
      </c>
      <c r="H51" s="109">
        <f t="shared" si="21"/>
        <v>0.10949447384362165</v>
      </c>
      <c r="I51" s="109">
        <f t="shared" si="21"/>
        <v>0.27754370422259544</v>
      </c>
      <c r="J51" s="109">
        <f t="shared" si="21"/>
        <v>0.13743498770310048</v>
      </c>
      <c r="K51" s="109">
        <f t="shared" si="21"/>
        <v>3.9947823251263781E-2</v>
      </c>
      <c r="L51" s="109">
        <f t="shared" si="21"/>
        <v>9.2798614803604629E-2</v>
      </c>
      <c r="M51" s="109">
        <f ca="1">+IFERROR(M50/S50-1,"n/a ")</f>
        <v>0.11103584757806373</v>
      </c>
      <c r="N51" s="91"/>
      <c r="O51" s="109">
        <f>+IFERROR(O50/L50-1,"n/a ")</f>
        <v>0.1261390956102979</v>
      </c>
      <c r="P51" s="109">
        <f>+IFERROR(P50/O50-1,"n/a ")</f>
        <v>0.10748322780767827</v>
      </c>
      <c r="Q51" s="110">
        <f>+IFERROR(Q50/P50-1,"n/a ")</f>
        <v>0.10668122630472165</v>
      </c>
      <c r="S51" s="109"/>
      <c r="T51" s="109"/>
      <c r="X51" s="109"/>
      <c r="Y51" s="109"/>
    </row>
    <row r="52" spans="1:25" ht="11.5" x14ac:dyDescent="0.35">
      <c r="A52" s="107" t="s">
        <v>1452</v>
      </c>
      <c r="B52" s="109">
        <f>+IFERROR(B50/B43,"n/a ")</f>
        <v>7.3481023064717113E-2</v>
      </c>
      <c r="C52" s="109">
        <f t="shared" ref="C52:M52" si="22">+IFERROR(C50/C43,"n/a ")</f>
        <v>6.9421423826172154E-2</v>
      </c>
      <c r="D52" s="109">
        <f t="shared" si="22"/>
        <v>6.6271932368658637E-2</v>
      </c>
      <c r="E52" s="109">
        <f t="shared" si="22"/>
        <v>6.3512179183794079E-2</v>
      </c>
      <c r="F52" s="109">
        <f t="shared" si="22"/>
        <v>8.9363127314327009E-2</v>
      </c>
      <c r="G52" s="109">
        <f t="shared" si="22"/>
        <v>8.8212016143586369E-2</v>
      </c>
      <c r="H52" s="109">
        <f t="shared" si="22"/>
        <v>9.0122149013069017E-2</v>
      </c>
      <c r="I52" s="109">
        <f t="shared" si="22"/>
        <v>0.1581725121771726</v>
      </c>
      <c r="J52" s="109">
        <f t="shared" si="22"/>
        <v>0.13085905973026479</v>
      </c>
      <c r="K52" s="109">
        <f t="shared" si="22"/>
        <v>0.14888257383538012</v>
      </c>
      <c r="L52" s="109">
        <f t="shared" si="22"/>
        <v>0.16652971589380375</v>
      </c>
      <c r="M52" s="109">
        <f t="shared" si="22"/>
        <v>0.16070274190372358</v>
      </c>
      <c r="N52" s="91"/>
      <c r="O52" s="109">
        <f>+IFERROR(O50/O43,"n/a ")</f>
        <v>0.16132857592949643</v>
      </c>
      <c r="P52" s="109">
        <f t="shared" ref="P52:Q52" si="23">+IFERROR(P50/P43,"n/a ")</f>
        <v>0.1587324363104746</v>
      </c>
      <c r="Q52" s="110">
        <f t="shared" si="23"/>
        <v>0.15976796931828849</v>
      </c>
      <c r="S52" s="109">
        <f t="shared" ref="S52" ca="1" si="24">+IFERROR(S50/S43,"n/a ")</f>
        <v>0.16018560774088955</v>
      </c>
      <c r="T52" s="80"/>
      <c r="X52" s="80"/>
      <c r="Y52" s="109"/>
    </row>
    <row r="53" spans="1:25" hidden="1" outlineLevel="1" x14ac:dyDescent="0.2">
      <c r="A53" s="107" t="s">
        <v>1453</v>
      </c>
      <c r="B53" s="109"/>
      <c r="C53" s="109">
        <f t="shared" ref="C53:L53" si="25">IFERROR((C50-B50)/(C43-B43),"n/a")</f>
        <v>4.6972734343334759E-2</v>
      </c>
      <c r="D53" s="109">
        <f t="shared" si="25"/>
        <v>4.1656286467279389E-2</v>
      </c>
      <c r="E53" s="109">
        <f t="shared" si="25"/>
        <v>5.1924938333281281E-2</v>
      </c>
      <c r="F53" s="109">
        <f t="shared" si="25"/>
        <v>-0.52066443675945329</v>
      </c>
      <c r="G53" s="109">
        <f t="shared" si="25"/>
        <v>8.3497310433053612E-2</v>
      </c>
      <c r="H53" s="109">
        <f t="shared" si="25"/>
        <v>0.11233846947630115</v>
      </c>
      <c r="I53" s="109">
        <f t="shared" si="25"/>
        <v>-9.1927746197258103E-2</v>
      </c>
      <c r="J53" s="109">
        <f t="shared" si="25"/>
        <v>5.7993106428442617E-2</v>
      </c>
      <c r="K53" s="109">
        <f t="shared" si="25"/>
        <v>-6.0822917341277788E-2</v>
      </c>
      <c r="L53" s="109">
        <f t="shared" si="25"/>
        <v>-0.6005646975779777</v>
      </c>
      <c r="M53" s="109"/>
      <c r="N53" s="91"/>
      <c r="O53" s="109">
        <f>IFERROR((O50-L50)/(O43-L43),"n/a")</f>
        <v>0.12931075718714274</v>
      </c>
      <c r="P53" s="109">
        <f>IFERROR((P50-O50)/(P43-O43),"n/a")</f>
        <v>0.13806197677276283</v>
      </c>
      <c r="Q53" s="109">
        <f>IFERROR((Q50-P50)/(Q43-P43),"n/a")</f>
        <v>0.17017446885104853</v>
      </c>
      <c r="S53" s="109"/>
      <c r="T53" s="108"/>
      <c r="X53" s="108"/>
      <c r="Y53" s="109"/>
    </row>
    <row r="54" spans="1:25" ht="10.5" collapsed="1" x14ac:dyDescent="0.25">
      <c r="A54" s="107"/>
      <c r="B54" s="109"/>
      <c r="C54" s="109"/>
      <c r="D54" s="109"/>
      <c r="E54" s="109"/>
      <c r="F54" s="109"/>
      <c r="G54" s="109"/>
      <c r="H54" s="109"/>
      <c r="I54" s="109"/>
      <c r="J54" s="109"/>
      <c r="K54" s="109"/>
      <c r="L54" s="109"/>
      <c r="M54" s="109"/>
      <c r="N54" s="91"/>
      <c r="O54" s="109"/>
      <c r="P54" s="109"/>
      <c r="Q54" s="110"/>
      <c r="S54" s="109"/>
      <c r="T54" s="79"/>
      <c r="X54" s="79"/>
      <c r="Y54" s="109"/>
    </row>
    <row r="55" spans="1:25" ht="11.5" x14ac:dyDescent="0.35">
      <c r="A55" s="77" t="s">
        <v>48</v>
      </c>
      <c r="B55" s="80">
        <f>IFERROR(-_xll.ciqfunctions.udf.CIQ($B$1, "IQ_DA_CF",B$41,,,,$B$2),"n/a ")</f>
        <v>-1.5649999999999999</v>
      </c>
      <c r="C55" s="80">
        <f>IFERROR(-_xll.ciqfunctions.udf.CIQ($B$1, "IQ_DA_CF",C$41,,,,$B$2),"n/a ")</f>
        <v>-1.794</v>
      </c>
      <c r="D55" s="80">
        <f>IFERROR(-_xll.ciqfunctions.udf.CIQ($B$1, "IQ_DA_CF",D$41,,,,$B$2),"n/a ")</f>
        <v>-1.796</v>
      </c>
      <c r="E55" s="80">
        <f>IFERROR(-_xll.ciqfunctions.udf.CIQ($B$1, "IQ_DA_CF",E$41,,,,$B$2),"n/a ")</f>
        <v>-1.641</v>
      </c>
      <c r="F55" s="80">
        <f>IFERROR(-_xll.ciqfunctions.udf.CIQ($B$1, "IQ_DA_CF",F$41,,,,$B$2),"n/a ")</f>
        <v>-1.46</v>
      </c>
      <c r="G55" s="80">
        <f>IFERROR(-_xll.ciqfunctions.udf.CIQ($B$1, "IQ_DA_CF",G$41,,,,$B$2),"n/a ")</f>
        <v>-1.2749999999999999</v>
      </c>
      <c r="H55" s="80">
        <f>IFERROR(-_xll.ciqfunctions.udf.CIQ($B$1, "IQ_DA_CF",H$41,,,,$B$2),"n/a ")</f>
        <v>-3.3519999999999999</v>
      </c>
      <c r="I55" s="80">
        <f>IFERROR(-_xll.ciqfunctions.udf.CIQ($B$1, "IQ_DA_CF",I$41,,,,$B$2),"n/a ")</f>
        <v>-4.5949999999999998</v>
      </c>
      <c r="J55" s="80">
        <f>IFERROR(-_xll.ciqfunctions.udf.CIQ($B$1, "IQ_DA_CF",J$41,,,,$B$2),"n/a ")</f>
        <v>-3.9670000000000001</v>
      </c>
      <c r="K55" s="80">
        <f>IFERROR(-_xll.ciqfunctions.udf.CIQ($B$1, "IQ_DA_CF",K$41,,,,$B$2),"n/a ")</f>
        <v>-4.593</v>
      </c>
      <c r="L55" s="80">
        <f>IFERROR(-_xll.ciqfunctions.udf.CIQ($B$1, "IQ_DA_CF",L$41,,,,$B$2),"n/a ")</f>
        <v>-5.0599999999999996</v>
      </c>
      <c r="M55" s="80">
        <f>IFERROR(-_xll.ciqfunctions.udf.CIQ($B$1, "IQ_DA_CF",M$41,,,,$B$2),"n/a ")</f>
        <v>-5.3819999999999997</v>
      </c>
      <c r="N55" s="91"/>
      <c r="O55" s="80">
        <f>IF(O50="n/a","n/a",IFERROR(-_xll.ciqfunctions.udf.CIQ($B$1,"IQ_DA_EST",O$41,,,,$B$2),IFERROR(-_xll.ciqfunctions.udf.CIQ($B$1, "IQ_DA_CF","IQ_FQ",,,,$B$2)*4,"n/a ")))</f>
        <v>-6.8250000000000002</v>
      </c>
      <c r="P55" s="80">
        <f>IF(P50="n/a","n/a",IFERROR(-_xll.ciqfunctions.udf.CIQ($B$1,"IQ_DA_EST",P$41,,,,$B$2),IFERROR(-_xll.ciqfunctions.udf.CIQ($B$1, "IQ_DA_CF","IQ_FQ",,,,$B$2)*4,"n/a ")))</f>
        <v>-7.75</v>
      </c>
      <c r="Q55" s="112">
        <f>IF(Q50="n/a","n/a",IFERROR(-_xll.ciqfunctions.udf.CIQ($B$1,"IQ_DA_EST",Q$41,,,,$B$2),IFERROR(-_xll.ciqfunctions.udf.CIQ($B$1, "IQ_DA_CF","IQ_FQ",,,,$B$2)*4,"n/a ")))</f>
        <v>-7.375</v>
      </c>
      <c r="S55" s="80">
        <f ca="1">IFERROR(-_xll.ciqfunctions.udf.CIQ($B$1, "IQ_DA_CF",S$41,$S$40,,,$B$2),"n/a ")</f>
        <v>-4.8440000000000003</v>
      </c>
      <c r="T55" s="109"/>
      <c r="X55" s="109"/>
      <c r="Y55" s="80"/>
    </row>
    <row r="56" spans="1:25" ht="10.5" x14ac:dyDescent="0.25">
      <c r="A56" s="104" t="s">
        <v>759</v>
      </c>
      <c r="B56" s="1550">
        <f>+IFERROR(B50+B55,"n/a")</f>
        <v>35.528000000000006</v>
      </c>
      <c r="C56" s="1550">
        <f t="shared" ref="C56:M56" si="26">+IFERROR(C50+C55,"n/a")</f>
        <v>39.587000000000003</v>
      </c>
      <c r="D56" s="1550">
        <f t="shared" si="26"/>
        <v>42.762</v>
      </c>
      <c r="E56" s="1550">
        <f t="shared" si="26"/>
        <v>51.231999999999999</v>
      </c>
      <c r="F56" s="1550">
        <f t="shared" si="26"/>
        <v>69.781000000000006</v>
      </c>
      <c r="G56" s="1550">
        <f t="shared" si="26"/>
        <v>86.217999999999989</v>
      </c>
      <c r="H56" s="1550">
        <f t="shared" si="26"/>
        <v>93.720999999999989</v>
      </c>
      <c r="I56" s="1550">
        <f t="shared" si="26"/>
        <v>119.42</v>
      </c>
      <c r="J56" s="1550">
        <f t="shared" si="26"/>
        <v>137.09199999999998</v>
      </c>
      <c r="K56" s="1550">
        <f t="shared" si="26"/>
        <v>142.10100000000003</v>
      </c>
      <c r="L56" s="1550">
        <f t="shared" si="26"/>
        <v>155.24699999999999</v>
      </c>
      <c r="M56" s="1550">
        <f t="shared" si="26"/>
        <v>161.91999999999999</v>
      </c>
      <c r="N56" s="91"/>
      <c r="O56" s="1550">
        <f>IFERROR(O50+O55,"n/a")</f>
        <v>173.70298000000003</v>
      </c>
      <c r="P56" s="1550">
        <f t="shared" ref="P56:Q56" si="27">IFERROR(P50+P55,"n/a")</f>
        <v>192.18171000000001</v>
      </c>
      <c r="Q56" s="105">
        <f t="shared" si="27"/>
        <v>213.88567</v>
      </c>
      <c r="S56" s="1550">
        <f t="shared" ref="S56" ca="1" si="28">+IFERROR(S50+S55,"n/a")</f>
        <v>145.738</v>
      </c>
      <c r="T56" s="109"/>
      <c r="X56" s="106">
        <f>(L56/G56)^(1/5)-1</f>
        <v>0.12482524394656935</v>
      </c>
      <c r="Y56" s="106">
        <f>(L56/B56)^(1/10)-1</f>
        <v>0.15889808612267431</v>
      </c>
    </row>
    <row r="57" spans="1:25" x14ac:dyDescent="0.2">
      <c r="A57" s="107" t="s">
        <v>1451</v>
      </c>
      <c r="B57" s="91"/>
      <c r="C57" s="109">
        <f>+IFERROR(C56/B56-1,"n/a ")</f>
        <v>0.1142479171357802</v>
      </c>
      <c r="D57" s="109">
        <f t="shared" ref="D57:L57" si="29">+IFERROR(D56/C56-1,"n/a ")</f>
        <v>8.020309697627992E-2</v>
      </c>
      <c r="E57" s="109">
        <f t="shared" si="29"/>
        <v>0.19807305551658017</v>
      </c>
      <c r="F57" s="109">
        <f t="shared" si="29"/>
        <v>0.36205886945658983</v>
      </c>
      <c r="G57" s="109">
        <f t="shared" si="29"/>
        <v>0.23555122454536304</v>
      </c>
      <c r="H57" s="109">
        <f t="shared" si="29"/>
        <v>8.7023591361432562E-2</v>
      </c>
      <c r="I57" s="109">
        <f t="shared" si="29"/>
        <v>0.27420748818301144</v>
      </c>
      <c r="J57" s="109">
        <f t="shared" si="29"/>
        <v>0.14798191257745752</v>
      </c>
      <c r="K57" s="109">
        <f t="shared" si="29"/>
        <v>3.6537507659090585E-2</v>
      </c>
      <c r="L57" s="109">
        <f t="shared" si="29"/>
        <v>9.2511664238815738E-2</v>
      </c>
      <c r="M57" s="109">
        <f ca="1">+IFERROR(M56/S56-1,"n/a ")</f>
        <v>0.11103487079553709</v>
      </c>
      <c r="N57" s="91"/>
      <c r="O57" s="109">
        <f>+IFERROR(O56/L56-1,"n/a ")</f>
        <v>0.11888139545369669</v>
      </c>
      <c r="P57" s="109">
        <f>+IFERROR(P56/O56-1,"n/a ")</f>
        <v>0.10638119161801352</v>
      </c>
      <c r="Q57" s="110">
        <f>+IFERROR(Q56/P56-1,"n/a ")</f>
        <v>0.11293457634443982</v>
      </c>
      <c r="S57" s="109"/>
      <c r="T57" s="109"/>
      <c r="X57" s="109"/>
      <c r="Y57" s="109"/>
    </row>
    <row r="58" spans="1:25" ht="11.5" x14ac:dyDescent="0.35">
      <c r="A58" s="107" t="s">
        <v>1452</v>
      </c>
      <c r="B58" s="109">
        <f t="shared" ref="B58:M58" si="30">+IFERROR(B56/B43,"n/a ")</f>
        <v>7.038076692214891E-2</v>
      </c>
      <c r="C58" s="109">
        <f t="shared" si="30"/>
        <v>6.6411780889941693E-2</v>
      </c>
      <c r="D58" s="109">
        <f t="shared" si="30"/>
        <v>6.360070855847616E-2</v>
      </c>
      <c r="E58" s="109">
        <f t="shared" si="30"/>
        <v>6.1540974863240942E-2</v>
      </c>
      <c r="F58" s="109">
        <f t="shared" si="30"/>
        <v>8.7531735757794715E-2</v>
      </c>
      <c r="G58" s="109">
        <f t="shared" si="30"/>
        <v>8.6926538212973942E-2</v>
      </c>
      <c r="H58" s="109">
        <f t="shared" si="30"/>
        <v>8.701016686054662E-2</v>
      </c>
      <c r="I58" s="109">
        <f t="shared" si="30"/>
        <v>0.15231190907711126</v>
      </c>
      <c r="J58" s="109">
        <f t="shared" si="30"/>
        <v>0.12717891248726745</v>
      </c>
      <c r="K58" s="109">
        <f t="shared" si="30"/>
        <v>0.14422104942657063</v>
      </c>
      <c r="L58" s="109">
        <f t="shared" si="30"/>
        <v>0.16127329937785218</v>
      </c>
      <c r="M58" s="109">
        <f t="shared" si="30"/>
        <v>0.15553303588152514</v>
      </c>
      <c r="N58" s="91"/>
      <c r="O58" s="109">
        <f>+IFERROR(O56/O43,"n/a ")</f>
        <v>0.15522942425938516</v>
      </c>
      <c r="P58" s="109">
        <f>+IFERROR(P56/P43,"n/a ")</f>
        <v>0.15257945346745197</v>
      </c>
      <c r="Q58" s="110">
        <f>+IFERROR(Q56/Q43,"n/a ")</f>
        <v>0.1544426271609029</v>
      </c>
      <c r="S58" s="109">
        <f ca="1">+IFERROR(S56/S43,"n/a ")</f>
        <v>0.15503267389821998</v>
      </c>
      <c r="T58" s="80"/>
      <c r="X58" s="80"/>
      <c r="Y58" s="109"/>
    </row>
    <row r="59" spans="1:25" ht="10.5" x14ac:dyDescent="0.25">
      <c r="A59" s="107"/>
      <c r="B59" s="91"/>
      <c r="C59" s="91"/>
      <c r="D59" s="91"/>
      <c r="E59" s="91"/>
      <c r="F59" s="91"/>
      <c r="G59" s="91"/>
      <c r="H59" s="91"/>
      <c r="I59" s="91"/>
      <c r="J59" s="91"/>
      <c r="K59" s="91"/>
      <c r="L59" s="91"/>
      <c r="M59" s="91"/>
      <c r="N59" s="91"/>
      <c r="O59" s="91"/>
      <c r="P59" s="91"/>
      <c r="Q59" s="113"/>
      <c r="S59" s="91"/>
      <c r="T59" s="79"/>
      <c r="X59" s="79"/>
      <c r="Y59" s="91"/>
    </row>
    <row r="60" spans="1:25" ht="11.5" x14ac:dyDescent="0.35">
      <c r="A60" s="77" t="s">
        <v>54</v>
      </c>
      <c r="B60" s="80">
        <f>IFERROR(IF(B56="n/a","n/a",IF(_xll.ciqfunctions.udf.CIQ($B$1, "IQ_NET_INTEREST_EXP",B$41,,,,$B$2)="n/a",0,_xll.ciqfunctions.udf.CIQ($B$1, "IQ_NET_INTEREST_EXP",B$41,,,,$B$2))),"n/a")</f>
        <v>0.10199999999999999</v>
      </c>
      <c r="C60" s="80">
        <f>IFERROR(IF(C56="n/a","n/a",IF(_xll.ciqfunctions.udf.CIQ($B$1, "IQ_NET_INTEREST_EXP",C$41,,,,$B$2)="n/a",0,_xll.ciqfunctions.udf.CIQ($B$1, "IQ_NET_INTEREST_EXP",C$41,,,,$B$2))),"n/a")</f>
        <v>0.19500000000000001</v>
      </c>
      <c r="D60" s="80">
        <f>IFERROR(IF(D56="n/a","n/a",IF(_xll.ciqfunctions.udf.CIQ($B$1, "IQ_NET_INTEREST_EXP",D$41,,,,$B$2)="n/a",0,_xll.ciqfunctions.udf.CIQ($B$1, "IQ_NET_INTEREST_EXP",D$41,,,,$B$2))),"n/a")</f>
        <v>0.21299999999999999</v>
      </c>
      <c r="E60" s="80">
        <f>IFERROR(IF(E56="n/a","n/a",IF(_xll.ciqfunctions.udf.CIQ($B$1, "IQ_NET_INTEREST_EXP",E$41,,,,$B$2)="n/a",0,_xll.ciqfunctions.udf.CIQ($B$1, "IQ_NET_INTEREST_EXP",E$41,,,,$B$2))),"n/a")</f>
        <v>0.14199999999999999</v>
      </c>
      <c r="F60" s="80">
        <f>IFERROR(IF(F56="n/a","n/a",IF(_xll.ciqfunctions.udf.CIQ($B$1, "IQ_NET_INTEREST_EXP",F$41,,,,$B$2)="n/a",0,_xll.ciqfunctions.udf.CIQ($B$1, "IQ_NET_INTEREST_EXP",F$41,,,,$B$2))),"n/a")</f>
        <v>0.11700000000000001</v>
      </c>
      <c r="G60" s="80">
        <f>IFERROR(IF(G56="n/a","n/a",IF(_xll.ciqfunctions.udf.CIQ($B$1, "IQ_NET_INTEREST_EXP",G$41,,,,$B$2)="n/a",0,_xll.ciqfunctions.udf.CIQ($B$1, "IQ_NET_INTEREST_EXP",G$41,,,,$B$2))),"n/a")</f>
        <v>0.33300000000000002</v>
      </c>
      <c r="H60" s="80">
        <f>IFERROR(IF(H56="n/a","n/a",IF(_xll.ciqfunctions.udf.CIQ($B$1, "IQ_NET_INTEREST_EXP",H$41,,,,$B$2)="n/a",0,_xll.ciqfunctions.udf.CIQ($B$1, "IQ_NET_INTEREST_EXP",H$41,,,,$B$2))),"n/a")</f>
        <v>-0.11600000000000001</v>
      </c>
      <c r="I60" s="80">
        <f>IFERROR(IF(I56="n/a","n/a",IF(_xll.ciqfunctions.udf.CIQ($B$1, "IQ_NET_INTEREST_EXP",I$41,,,,$B$2)="n/a",0,_xll.ciqfunctions.udf.CIQ($B$1, "IQ_NET_INTEREST_EXP",I$41,,,,$B$2))),"n/a")</f>
        <v>-0.44900000000000001</v>
      </c>
      <c r="J60" s="80">
        <f>IFERROR(IF(J56="n/a","n/a",IF(_xll.ciqfunctions.udf.CIQ($B$1, "IQ_NET_INTEREST_EXP",J$41,,,,$B$2)="n/a",0,_xll.ciqfunctions.udf.CIQ($B$1, "IQ_NET_INTEREST_EXP",J$41,,,,$B$2))),"n/a")</f>
        <v>-1E-3</v>
      </c>
      <c r="K60" s="80">
        <f>IFERROR(IF(K56="n/a","n/a",IF(_xll.ciqfunctions.udf.CIQ($B$1, "IQ_NET_INTEREST_EXP",K$41,,,,$B$2)="n/a",0,_xll.ciqfunctions.udf.CIQ($B$1, "IQ_NET_INTEREST_EXP",K$41,,,,$B$2))),"n/a")</f>
        <v>0.96599999999999997</v>
      </c>
      <c r="L60" s="80">
        <f>IFERROR(IF(L56="n/a","n/a",IF(_xll.ciqfunctions.udf.CIQ($B$1, "IQ_NET_INTEREST_EXP",L$41,,,,$B$2)="n/a",0,_xll.ciqfunctions.udf.CIQ($B$1, "IQ_NET_INTEREST_EXP",L$41,,,,$B$2))),"n/a")</f>
        <v>5.335</v>
      </c>
      <c r="M60" s="80">
        <f>IFERROR(IF(M56="n/a","n/a",IF(_xll.ciqfunctions.udf.CIQ($B$1, "IQ_NET_INTEREST_EXP",M$41,,,,$B$2)="n/a",0,_xll.ciqfunctions.udf.CIQ($B$1, "IQ_NET_INTEREST_EXP",M$41,,,,$B$2))),"n/a")</f>
        <v>6.9029999999999996</v>
      </c>
      <c r="N60" s="91"/>
      <c r="O60" s="80">
        <f>IF(O50="n/a","n/a",IFERROR(_xll.ciqfunctions.udf.CIQ($B$1,"IQ_INTEREST_EXP_EST",O$41,,,,$B$2)/100*100,IFERROR(_xll.ciqfunctions.udf.CIQ($B$1, "IQ_NET_INTEREST_EXP","IQ_FQ",,,,$B$2)*4,"n/a")))</f>
        <v>-1.1000000000000001</v>
      </c>
      <c r="P60" s="80">
        <f>IF(P50="n/a","n/a",IFERROR(_xll.ciqfunctions.udf.CIQ($B$1,"IQ_INTEREST_EXP_EST",P$41,,,,$B$2)/100*100,IFERROR(_xll.ciqfunctions.udf.CIQ($B$1, "IQ_NET_INTEREST_EXP","IQ_FQ",,,,$B$2)*4,"n/a")))</f>
        <v>-1.06667</v>
      </c>
      <c r="Q60" s="112">
        <f>IF(Q50="n/a","n/a",IFERROR(_xll.ciqfunctions.udf.CIQ($B$1,"IQ_INTEREST_EXP_EST",Q$41,,,,$B$2)/100*100,IFERROR(_xll.ciqfunctions.udf.CIQ($B$1, "IQ_NET_INTEREST_EXP","IQ_FQ",,,,$B$2)*4,"n/a")))</f>
        <v>-1.1000000000000001</v>
      </c>
      <c r="S60" s="80">
        <f ca="1">IFERROR(IF(S56="n/a","n/a",IF(_xll.ciqfunctions.udf.CIQ($B$1, "IQ_NET_INTEREST_EXP",S$41,$S$40,,,$B$2)="n/a",0,_xll.ciqfunctions.udf.CIQ($B$1, "IQ_NET_INTEREST_EXP",S$41,$S$40,,,$B$2))),"n/a")</f>
        <v>2.399</v>
      </c>
      <c r="T60" s="109"/>
      <c r="X60" s="109"/>
      <c r="Y60" s="80"/>
    </row>
    <row r="61" spans="1:25" x14ac:dyDescent="0.2">
      <c r="A61" s="114" t="s">
        <v>764</v>
      </c>
      <c r="B61" s="54">
        <f t="shared" ref="B61:L61" si="31">+IFERROR(B56+B60,"n/a")</f>
        <v>35.630000000000003</v>
      </c>
      <c r="C61" s="54">
        <f t="shared" si="31"/>
        <v>39.782000000000004</v>
      </c>
      <c r="D61" s="54">
        <f t="shared" si="31"/>
        <v>42.975000000000001</v>
      </c>
      <c r="E61" s="54">
        <f t="shared" si="31"/>
        <v>51.374000000000002</v>
      </c>
      <c r="F61" s="54">
        <f t="shared" si="31"/>
        <v>69.89800000000001</v>
      </c>
      <c r="G61" s="54">
        <f t="shared" si="31"/>
        <v>86.550999999999988</v>
      </c>
      <c r="H61" s="54">
        <f t="shared" si="31"/>
        <v>93.60499999999999</v>
      </c>
      <c r="I61" s="54">
        <f t="shared" si="31"/>
        <v>118.971</v>
      </c>
      <c r="J61" s="54">
        <f t="shared" si="31"/>
        <v>137.09099999999998</v>
      </c>
      <c r="K61" s="54">
        <f t="shared" si="31"/>
        <v>143.06700000000004</v>
      </c>
      <c r="L61" s="54">
        <f t="shared" si="31"/>
        <v>160.58199999999999</v>
      </c>
      <c r="M61" s="54">
        <f>+IFERROR(M56+M60,"n/a")</f>
        <v>168.82299999999998</v>
      </c>
      <c r="N61" s="91"/>
      <c r="O61" s="54">
        <f t="shared" ref="O61:Q61" si="32">+IFERROR(O56+O60,"n/a")</f>
        <v>172.60298000000003</v>
      </c>
      <c r="P61" s="54">
        <f t="shared" si="32"/>
        <v>191.11504000000002</v>
      </c>
      <c r="Q61" s="115">
        <f t="shared" si="32"/>
        <v>212.78567000000001</v>
      </c>
      <c r="S61" s="54">
        <f ca="1">+IFERROR(S56+S60,"n/a")</f>
        <v>148.137</v>
      </c>
      <c r="T61" s="109"/>
      <c r="X61" s="109"/>
      <c r="Y61" s="54"/>
    </row>
    <row r="62" spans="1:25" ht="11.5" x14ac:dyDescent="0.35">
      <c r="A62" s="77" t="str">
        <f>"Taxes @ "&amp;IFERROR(TEXT(VLOOKUP($B$20,$T$1:$U$14,2,FALSE),"##%"),"30%")&amp;" ETR"</f>
        <v>Taxes @ 20% ETR</v>
      </c>
      <c r="B62" s="80">
        <f t="shared" ref="B62:L62" si="33">IFERROR(MIN(-IFERROR(VLOOKUP($B$20,$T$1:$U$14,2,FALSE),30%)*B61,0),"n/a")</f>
        <v>-7.1260000000000012</v>
      </c>
      <c r="C62" s="80">
        <f t="shared" si="33"/>
        <v>-7.9564000000000012</v>
      </c>
      <c r="D62" s="80">
        <f t="shared" si="33"/>
        <v>-8.5950000000000006</v>
      </c>
      <c r="E62" s="80">
        <f t="shared" si="33"/>
        <v>-10.274800000000001</v>
      </c>
      <c r="F62" s="80">
        <f t="shared" si="33"/>
        <v>-13.979600000000003</v>
      </c>
      <c r="G62" s="80">
        <f t="shared" si="33"/>
        <v>-17.310199999999998</v>
      </c>
      <c r="H62" s="80">
        <f t="shared" si="33"/>
        <v>-18.721</v>
      </c>
      <c r="I62" s="80">
        <f t="shared" si="33"/>
        <v>-23.794200000000004</v>
      </c>
      <c r="J62" s="80">
        <f t="shared" si="33"/>
        <v>-27.418199999999999</v>
      </c>
      <c r="K62" s="80">
        <f t="shared" si="33"/>
        <v>-28.613400000000009</v>
      </c>
      <c r="L62" s="80">
        <f t="shared" si="33"/>
        <v>-32.116399999999999</v>
      </c>
      <c r="M62" s="80">
        <f>IFERROR(MIN(-IFERROR(VLOOKUP($B$20,$T$1:$U$14,2,FALSE),30%)*M61,0),"n/a")</f>
        <v>-33.764599999999994</v>
      </c>
      <c r="N62" s="91"/>
      <c r="O62" s="80">
        <f>IFERROR(MIN(-IFERROR(VLOOKUP($B$20,$T$1:$U$14,2,FALSE),30%)*O61,0),"n/a")</f>
        <v>-34.520596000000005</v>
      </c>
      <c r="P62" s="80">
        <f>IFERROR(MIN(-IFERROR(VLOOKUP($B$20,$T$1:$U$14,2,FALSE),30%)*P61,0),"n/a")</f>
        <v>-38.223008000000007</v>
      </c>
      <c r="Q62" s="112">
        <f>IFERROR(MIN(-IFERROR(VLOOKUP($B$20,$T$1:$U$14,2,FALSE),30%)*Q61,0),"n/a")</f>
        <v>-42.557134000000005</v>
      </c>
      <c r="S62" s="80">
        <f ca="1">IFERROR(-IFERROR(VLOOKUP($B$20,$T$1:$U$14,2,FALSE),30%)*S61,"n/a")</f>
        <v>-29.627400000000002</v>
      </c>
      <c r="T62" s="91"/>
      <c r="X62" s="91"/>
      <c r="Y62" s="80"/>
    </row>
    <row r="63" spans="1:25" ht="11.5" x14ac:dyDescent="0.35">
      <c r="A63" s="47" t="s">
        <v>161</v>
      </c>
      <c r="B63" s="54">
        <f>+IFERROR(IF(B61="n/a","n/a",SUM(B61:B62)),"n/a")</f>
        <v>28.504000000000001</v>
      </c>
      <c r="C63" s="54">
        <f t="shared" ref="C63:M63" si="34">+IFERROR(IF(C61="n/a","n/a",SUM(C61:C62)),"n/a")</f>
        <v>31.825600000000001</v>
      </c>
      <c r="D63" s="54">
        <f t="shared" si="34"/>
        <v>34.380000000000003</v>
      </c>
      <c r="E63" s="54">
        <f t="shared" si="34"/>
        <v>41.099200000000003</v>
      </c>
      <c r="F63" s="54">
        <f t="shared" si="34"/>
        <v>55.918400000000005</v>
      </c>
      <c r="G63" s="54">
        <f t="shared" si="34"/>
        <v>69.240799999999993</v>
      </c>
      <c r="H63" s="54">
        <f t="shared" si="34"/>
        <v>74.883999999999986</v>
      </c>
      <c r="I63" s="54">
        <f t="shared" si="34"/>
        <v>95.1768</v>
      </c>
      <c r="J63" s="54">
        <f t="shared" si="34"/>
        <v>109.67279999999998</v>
      </c>
      <c r="K63" s="54">
        <f t="shared" si="34"/>
        <v>114.45360000000002</v>
      </c>
      <c r="L63" s="54">
        <f t="shared" si="34"/>
        <v>128.46559999999999</v>
      </c>
      <c r="M63" s="54">
        <f t="shared" si="34"/>
        <v>135.05839999999998</v>
      </c>
      <c r="N63" s="91"/>
      <c r="O63" s="54">
        <f t="shared" ref="O63:Q63" si="35">+IFERROR(IF(O61="n/a","n/a",SUM(O61:O62)),"n/a")</f>
        <v>138.08238400000002</v>
      </c>
      <c r="P63" s="54">
        <f t="shared" si="35"/>
        <v>152.89203200000003</v>
      </c>
      <c r="Q63" s="115">
        <f t="shared" si="35"/>
        <v>170.22853600000002</v>
      </c>
      <c r="S63" s="54">
        <f t="shared" ref="S63" ca="1" si="36">+IFERROR(IF(S61="n/a","n/a",SUM(S61:S62)),"n/a")</f>
        <v>118.50960000000001</v>
      </c>
      <c r="T63" s="80"/>
      <c r="X63" s="80"/>
      <c r="Y63" s="54"/>
    </row>
    <row r="64" spans="1:25" ht="11.5" x14ac:dyDescent="0.35">
      <c r="A64" s="77" t="s">
        <v>1456</v>
      </c>
      <c r="B64" s="80" t="str">
        <f>IFERROR(IF(B63="n/a","n/a",IF(_xll.ciqfunctions.udf.CIQ($B$1, "IQ_MINORITY_INTEREST_IS",B$41,,,,$B$2)="n/a",0,_xll.ciqfunctions.udf.CIQ($B$1, "IQ_MINORITY_INTEREST_IS",B$41,,,,$B$2))),"n/a")</f>
        <v>NA</v>
      </c>
      <c r="C64" s="80" t="str">
        <f>IFERROR(IF(C63="n/a","n/a",IF(_xll.ciqfunctions.udf.CIQ($B$1, "IQ_MINORITY_INTEREST_IS",C$41,,,,$B$2)="n/a",0,_xll.ciqfunctions.udf.CIQ($B$1, "IQ_MINORITY_INTEREST_IS",C$41,,,,$B$2))),"n/a")</f>
        <v>NA</v>
      </c>
      <c r="D64" s="80" t="str">
        <f>IFERROR(IF(D63="n/a","n/a",IF(_xll.ciqfunctions.udf.CIQ($B$1, "IQ_MINORITY_INTEREST_IS",D$41,,,,$B$2)="n/a",0,_xll.ciqfunctions.udf.CIQ($B$1, "IQ_MINORITY_INTEREST_IS",D$41,,,,$B$2))),"n/a")</f>
        <v>NA</v>
      </c>
      <c r="E64" s="80" t="str">
        <f>IFERROR(IF(E63="n/a","n/a",IF(_xll.ciqfunctions.udf.CIQ($B$1, "IQ_MINORITY_INTEREST_IS",E$41,,,,$B$2)="n/a",0,_xll.ciqfunctions.udf.CIQ($B$1, "IQ_MINORITY_INTEREST_IS",E$41,,,,$B$2))),"n/a")</f>
        <v>NA</v>
      </c>
      <c r="F64" s="80" t="str">
        <f>IFERROR(IF(F63="n/a","n/a",IF(_xll.ciqfunctions.udf.CIQ($B$1, "IQ_MINORITY_INTEREST_IS",F$41,,,,$B$2)="n/a",0,_xll.ciqfunctions.udf.CIQ($B$1, "IQ_MINORITY_INTEREST_IS",F$41,,,,$B$2))),"n/a")</f>
        <v>NA</v>
      </c>
      <c r="G64" s="80" t="str">
        <f>IFERROR(IF(G63="n/a","n/a",IF(_xll.ciqfunctions.udf.CIQ($B$1, "IQ_MINORITY_INTEREST_IS",G$41,,,,$B$2)="n/a",0,_xll.ciqfunctions.udf.CIQ($B$1, "IQ_MINORITY_INTEREST_IS",G$41,,,,$B$2))),"n/a")</f>
        <v>NA</v>
      </c>
      <c r="H64" s="80" t="str">
        <f>IFERROR(IF(H63="n/a","n/a",IF(_xll.ciqfunctions.udf.CIQ($B$1, "IQ_MINORITY_INTEREST_IS",H$41,,,,$B$2)="n/a",0,_xll.ciqfunctions.udf.CIQ($B$1, "IQ_MINORITY_INTEREST_IS",H$41,,,,$B$2))),"n/a")</f>
        <v>NA</v>
      </c>
      <c r="I64" s="80" t="str">
        <f>IFERROR(IF(I63="n/a","n/a",IF(_xll.ciqfunctions.udf.CIQ($B$1, "IQ_MINORITY_INTEREST_IS",I$41,,,,$B$2)="n/a",0,_xll.ciqfunctions.udf.CIQ($B$1, "IQ_MINORITY_INTEREST_IS",I$41,,,,$B$2))),"n/a")</f>
        <v>NA</v>
      </c>
      <c r="J64" s="80" t="str">
        <f>IFERROR(IF(J63="n/a","n/a",IF(_xll.ciqfunctions.udf.CIQ($B$1, "IQ_MINORITY_INTEREST_IS",J$41,,,,$B$2)="n/a",0,_xll.ciqfunctions.udf.CIQ($B$1, "IQ_MINORITY_INTEREST_IS",J$41,,,,$B$2))),"n/a")</f>
        <v>NA</v>
      </c>
      <c r="K64" s="80" t="str">
        <f>IFERROR(IF(K63="n/a","n/a",IF(_xll.ciqfunctions.udf.CIQ($B$1, "IQ_MINORITY_INTEREST_IS",K$41,,,,$B$2)="n/a",0,_xll.ciqfunctions.udf.CIQ($B$1, "IQ_MINORITY_INTEREST_IS",K$41,,,,$B$2))),"n/a")</f>
        <v>NA</v>
      </c>
      <c r="L64" s="80" t="str">
        <f>IFERROR(IF(L63="n/a","n/a",IF(_xll.ciqfunctions.udf.CIQ($B$1, "IQ_MINORITY_INTEREST_IS",L$41,,,,$B$2)="n/a",0,_xll.ciqfunctions.udf.CIQ($B$1, "IQ_MINORITY_INTEREST_IS",L$41,,,,$B$2))),"n/a")</f>
        <v>NA</v>
      </c>
      <c r="M64" s="80" t="str">
        <f>IFERROR(IF(M63="n/a","n/a",IF(_xll.ciqfunctions.udf.CIQ($B$1, "IQ_MINORITY_INTEREST_IS",M$41,,,,$B$2)="n/a",0,_xll.ciqfunctions.udf.CIQ($B$1, "IQ_MINORITY_INTEREST_IS",M$41,,,,$B$2))),"n/a")</f>
        <v>NA</v>
      </c>
      <c r="N64" s="116"/>
      <c r="O64" s="80" t="str">
        <f>+IF(O50="n/a","n/a",IFERROR($M64,"n/a"))</f>
        <v>NA</v>
      </c>
      <c r="P64" s="80" t="str">
        <f t="shared" ref="P64:Q64" si="37">+IF(P50="n/a","n/a",IFERROR($M64,"n/a"))</f>
        <v>NA</v>
      </c>
      <c r="Q64" s="112" t="str">
        <f t="shared" si="37"/>
        <v>NA</v>
      </c>
      <c r="S64" s="80" t="str">
        <f ca="1">IFERROR(IF(S63="n/a","n/a",IF(_xll.ciqfunctions.udf.CIQ($B$1, "IQ_MINORITY_INTEREST_IS",S$41,,,,$B$2)="n/a",0,_xll.ciqfunctions.udf.CIQ($B$1, "IQ_MINORITY_INTEREST_IS",S$41,,,,$B$2))),"n/a")</f>
        <v>NA</v>
      </c>
      <c r="T64" s="54"/>
      <c r="X64" s="54"/>
      <c r="Y64" s="80"/>
    </row>
    <row r="65" spans="1:25" ht="11.5" x14ac:dyDescent="0.35">
      <c r="A65" s="104" t="s">
        <v>1457</v>
      </c>
      <c r="B65" s="1550">
        <f t="shared" ref="B65:M65" si="38">+IFERROR(SUM(B63:B64),"n/a")</f>
        <v>28.504000000000001</v>
      </c>
      <c r="C65" s="1550">
        <f t="shared" si="38"/>
        <v>31.825600000000001</v>
      </c>
      <c r="D65" s="1550">
        <f t="shared" si="38"/>
        <v>34.380000000000003</v>
      </c>
      <c r="E65" s="1550">
        <f t="shared" si="38"/>
        <v>41.099200000000003</v>
      </c>
      <c r="F65" s="1550">
        <f t="shared" si="38"/>
        <v>55.918400000000005</v>
      </c>
      <c r="G65" s="1550">
        <f t="shared" si="38"/>
        <v>69.240799999999993</v>
      </c>
      <c r="H65" s="1550">
        <f t="shared" si="38"/>
        <v>74.883999999999986</v>
      </c>
      <c r="I65" s="1550">
        <f t="shared" si="38"/>
        <v>95.1768</v>
      </c>
      <c r="J65" s="1550">
        <f t="shared" si="38"/>
        <v>109.67279999999998</v>
      </c>
      <c r="K65" s="1550">
        <f t="shared" si="38"/>
        <v>114.45360000000002</v>
      </c>
      <c r="L65" s="1550">
        <f t="shared" si="38"/>
        <v>128.46559999999999</v>
      </c>
      <c r="M65" s="1550">
        <f t="shared" si="38"/>
        <v>135.05839999999998</v>
      </c>
      <c r="N65" s="91"/>
      <c r="O65" s="1550">
        <f t="shared" ref="O65:Q65" si="39">+IFERROR(SUM(O63:O64),"n/a")</f>
        <v>138.08238400000002</v>
      </c>
      <c r="P65" s="1550">
        <f t="shared" si="39"/>
        <v>152.89203200000003</v>
      </c>
      <c r="Q65" s="105">
        <f t="shared" si="39"/>
        <v>170.22853600000002</v>
      </c>
      <c r="S65" s="1550">
        <f t="shared" ref="S65" ca="1" si="40">+IFERROR(SUM(S63:S64),"n/a")</f>
        <v>118.50960000000001</v>
      </c>
      <c r="T65" s="80"/>
      <c r="X65" s="80"/>
      <c r="Y65" s="79"/>
    </row>
    <row r="66" spans="1:25" ht="11.5" x14ac:dyDescent="0.35">
      <c r="A66" s="117" t="s">
        <v>1458</v>
      </c>
      <c r="B66" s="118" t="str">
        <f>_xll.ciqfunctions.udf.CIQ($B$1, "IQ_DILUT_WEIGHT",B$41)</f>
        <v>NA</v>
      </c>
      <c r="C66" s="118">
        <f>_xll.ciqfunctions.udf.CIQ($B$1, "IQ_DILUT_WEIGHT",C$41)</f>
        <v>194.768</v>
      </c>
      <c r="D66" s="118">
        <f>_xll.ciqfunctions.udf.CIQ($B$1, "IQ_DILUT_WEIGHT",D$41)</f>
        <v>196.73599999999999</v>
      </c>
      <c r="E66" s="118">
        <f>_xll.ciqfunctions.udf.CIQ($B$1, "IQ_DILUT_WEIGHT",E$41)</f>
        <v>198.096</v>
      </c>
      <c r="F66" s="118">
        <f>_xll.ciqfunctions.udf.CIQ($B$1, "IQ_DILUT_WEIGHT",F$41)</f>
        <v>199.006</v>
      </c>
      <c r="G66" s="118">
        <f>_xll.ciqfunctions.udf.CIQ($B$1, "IQ_DILUT_WEIGHT",G$41)</f>
        <v>198.852</v>
      </c>
      <c r="H66" s="118">
        <f>_xll.ciqfunctions.udf.CIQ($B$1, "IQ_DILUT_WEIGHT",H$41)</f>
        <v>199.13399999999999</v>
      </c>
      <c r="I66" s="118">
        <f>_xll.ciqfunctions.udf.CIQ($B$1, "IQ_DILUT_WEIGHT",I$41)</f>
        <v>199.44300000000001</v>
      </c>
      <c r="J66" s="118">
        <f>_xll.ciqfunctions.udf.CIQ($B$1, "IQ_DILUT_WEIGHT",J$41)</f>
        <v>199.64737700000001</v>
      </c>
      <c r="K66" s="118">
        <f>_xll.ciqfunctions.udf.CIQ($B$1, "IQ_DILUT_WEIGHT",K$41)</f>
        <v>200.15899999999999</v>
      </c>
      <c r="L66" s="118">
        <f>_xll.ciqfunctions.udf.CIQ($B$1, "IQ_DILUT_WEIGHT",L$41)</f>
        <v>200.51599999999999</v>
      </c>
      <c r="M66" s="118">
        <f>_xll.ciqfunctions.udf.CIQ($B$1, "IQ_DILUT_WEIGHT",M$41)</f>
        <v>200.67</v>
      </c>
      <c r="N66" s="116"/>
      <c r="O66" s="119">
        <f>M66</f>
        <v>200.67</v>
      </c>
      <c r="P66" s="119">
        <f>O66</f>
        <v>200.67</v>
      </c>
      <c r="Q66" s="119">
        <f>P66</f>
        <v>200.67</v>
      </c>
      <c r="S66" s="118">
        <f ca="1">_xll.ciqfunctions.udf.CIQ($B$1, "IQ_DILUT_WEIGHT",S$41,$S$40)</f>
        <v>200.602</v>
      </c>
      <c r="T66" s="54"/>
      <c r="X66" s="106">
        <f>(L66/G66)^(1/5)-1</f>
        <v>1.6680325463793721E-3</v>
      </c>
      <c r="Y66" s="106" t="e">
        <f>(L66/B66)^(1/10)-1</f>
        <v>#VALUE!</v>
      </c>
    </row>
    <row r="67" spans="1:25" ht="11.5" x14ac:dyDescent="0.35">
      <c r="A67" s="104" t="s">
        <v>1459</v>
      </c>
      <c r="B67" s="1551" t="str">
        <f t="shared" ref="B67:M67" si="41">+IFERROR(B65/B66,"n/a")</f>
        <v>n/a</v>
      </c>
      <c r="C67" s="1551">
        <f t="shared" si="41"/>
        <v>0.16340261233878256</v>
      </c>
      <c r="D67" s="1551">
        <f t="shared" si="41"/>
        <v>0.17475195185426157</v>
      </c>
      <c r="E67" s="1551">
        <f t="shared" si="41"/>
        <v>0.20747112511105728</v>
      </c>
      <c r="F67" s="1551">
        <f t="shared" si="41"/>
        <v>0.28098851290915855</v>
      </c>
      <c r="G67" s="1551">
        <f t="shared" si="41"/>
        <v>0.34820268340273164</v>
      </c>
      <c r="H67" s="1551">
        <f t="shared" si="41"/>
        <v>0.3760482890917673</v>
      </c>
      <c r="I67" s="1551">
        <f t="shared" si="41"/>
        <v>0.47721303831169803</v>
      </c>
      <c r="J67" s="1551">
        <f t="shared" si="41"/>
        <v>0.54933253643497648</v>
      </c>
      <c r="K67" s="1551">
        <f t="shared" si="41"/>
        <v>0.57181340834036953</v>
      </c>
      <c r="L67" s="1551">
        <f t="shared" si="41"/>
        <v>0.64067505834945837</v>
      </c>
      <c r="M67" s="1551">
        <f t="shared" si="41"/>
        <v>0.67303732496137936</v>
      </c>
      <c r="N67" s="91"/>
      <c r="O67" s="1551">
        <f t="shared" ref="O67:Q67" si="42">+IFERROR(O65/O66,"n/a")</f>
        <v>0.68810676234614054</v>
      </c>
      <c r="P67" s="1551">
        <f t="shared" si="42"/>
        <v>0.76190776897393753</v>
      </c>
      <c r="Q67" s="120">
        <f t="shared" si="42"/>
        <v>0.8483008720785371</v>
      </c>
      <c r="S67" s="1551">
        <f ca="1">+IFERROR(S65/S66,"n/a")</f>
        <v>0.59076978295331051</v>
      </c>
      <c r="T67" s="80"/>
      <c r="X67" s="106">
        <f>(L67/G67)^(1/5)-1</f>
        <v>0.12969482860224213</v>
      </c>
      <c r="Y67" s="106" t="e">
        <f>(L67/B67)^(1/10)-1</f>
        <v>#VALUE!</v>
      </c>
    </row>
    <row r="68" spans="1:25" ht="10.5" x14ac:dyDescent="0.25">
      <c r="A68" s="107" t="s">
        <v>1451</v>
      </c>
      <c r="B68" s="91"/>
      <c r="C68" s="109" t="str">
        <f>+IFERROR(C67/B67-1,"n/a ")</f>
        <v xml:space="preserve">n/a </v>
      </c>
      <c r="D68" s="109">
        <f t="shared" ref="D68:L68" si="43">+IFERROR(D67/C67-1,"n/a ")</f>
        <v>6.9456291751005983E-2</v>
      </c>
      <c r="E68" s="109">
        <f t="shared" si="43"/>
        <v>0.1872320904551763</v>
      </c>
      <c r="F68" s="109">
        <f t="shared" si="43"/>
        <v>0.35434997404457191</v>
      </c>
      <c r="G68" s="109">
        <f t="shared" si="43"/>
        <v>0.23920611486101184</v>
      </c>
      <c r="H68" s="109">
        <f t="shared" si="43"/>
        <v>7.9969532161328516E-2</v>
      </c>
      <c r="I68" s="109">
        <f t="shared" si="43"/>
        <v>0.26902063419637967</v>
      </c>
      <c r="J68" s="109">
        <f t="shared" si="43"/>
        <v>0.15112642013811173</v>
      </c>
      <c r="K68" s="109">
        <f t="shared" si="43"/>
        <v>4.0923976670466322E-2</v>
      </c>
      <c r="L68" s="109">
        <f t="shared" si="43"/>
        <v>0.12042678434028464</v>
      </c>
      <c r="M68" s="109">
        <f ca="1">+IFERROR(M67/S67-1,"n/a ")</f>
        <v>0.1392548237602913</v>
      </c>
      <c r="N68" s="91"/>
      <c r="O68" s="109">
        <f>+IFERROR(O67/L67-1,"n/a ")</f>
        <v>7.4033948065464372E-2</v>
      </c>
      <c r="P68" s="109">
        <f>+IFERROR(P67/O67-1,"n/a ")</f>
        <v>0.10725226180915315</v>
      </c>
      <c r="Q68" s="110">
        <f>+IFERROR(Q67/P67-1,"n/a ")</f>
        <v>0.11339050029762165</v>
      </c>
      <c r="S68" s="109"/>
      <c r="T68" s="79"/>
      <c r="X68" s="79"/>
      <c r="Y68" s="109"/>
    </row>
    <row r="69" spans="1:25" ht="3" customHeight="1" x14ac:dyDescent="0.35">
      <c r="A69" s="107"/>
      <c r="B69" s="91"/>
      <c r="C69" s="109"/>
      <c r="D69" s="109"/>
      <c r="E69" s="109"/>
      <c r="F69" s="109"/>
      <c r="G69" s="109"/>
      <c r="H69" s="109"/>
      <c r="I69" s="109"/>
      <c r="J69" s="109"/>
      <c r="K69" s="109"/>
      <c r="L69" s="109"/>
      <c r="M69" s="109"/>
      <c r="N69" s="91"/>
      <c r="O69" s="121">
        <f>_xll.ciqfunctions.udf.CIQ($B$1,"IQ_NI_EST",O$41,,,,$B$2)</f>
        <v>132.87979999999999</v>
      </c>
      <c r="P69" s="121">
        <f>_xll.ciqfunctions.udf.CIQ($B$1,"IQ_NI_EST",P$41,,,,$B$2)</f>
        <v>146.38561000000001</v>
      </c>
      <c r="Q69" s="122">
        <f>_xll.ciqfunctions.udf.CIQ($B$1,"IQ_NI_EST",Q$41,,,,$B$2)</f>
        <v>161.75004000000001</v>
      </c>
      <c r="S69" s="109"/>
      <c r="T69" s="118"/>
      <c r="X69" s="118"/>
      <c r="Y69" s="109"/>
    </row>
    <row r="70" spans="1:25" ht="10.5" x14ac:dyDescent="0.25">
      <c r="A70" s="107" t="s">
        <v>1460</v>
      </c>
      <c r="B70" s="91"/>
      <c r="C70" s="109"/>
      <c r="D70" s="109"/>
      <c r="E70" s="109"/>
      <c r="F70" s="109"/>
      <c r="G70" s="109"/>
      <c r="H70" s="109"/>
      <c r="I70" s="109"/>
      <c r="J70" s="109"/>
      <c r="K70" s="109"/>
      <c r="L70" s="109"/>
      <c r="M70" s="109"/>
      <c r="N70" s="91"/>
      <c r="Q70" s="66"/>
      <c r="S70" s="109"/>
      <c r="T70" s="123"/>
      <c r="X70" s="123"/>
      <c r="Y70" s="109"/>
    </row>
    <row r="71" spans="1:25" ht="10.5" x14ac:dyDescent="0.25">
      <c r="A71" s="124" t="s">
        <v>1461</v>
      </c>
      <c r="B71" s="125"/>
      <c r="C71" s="125"/>
      <c r="D71" s="125"/>
      <c r="E71" s="125"/>
      <c r="F71" s="125"/>
      <c r="G71" s="125"/>
      <c r="H71" s="125"/>
      <c r="I71" s="125"/>
      <c r="J71" s="125"/>
      <c r="K71" s="125"/>
      <c r="L71" s="125">
        <f>_xll.ciqfunctions.udf.CIQ($B$1, "IQ_EST_ACT_EPS_NORM",L$41,,,,$B$2)</f>
        <v>0.59399999999999997</v>
      </c>
      <c r="M71" s="125"/>
      <c r="N71" s="91"/>
      <c r="O71" s="125">
        <f>_xll.ciqfunctions.udf.CIQ($B$1,"IQ_EPS_EST",O$41,,,,$B$2)</f>
        <v>0.66181999999999996</v>
      </c>
      <c r="P71" s="125">
        <f>_xll.ciqfunctions.udf.CIQ($B$1,"IQ_EPS_EST",P$41,,,,$B$2)</f>
        <v>0.72675999999999996</v>
      </c>
      <c r="Q71" s="126">
        <f>_xll.ciqfunctions.udf.CIQ($B$1,"IQ_EPS_EST",Q$41,,,,$B$2)</f>
        <v>0.80023999999999995</v>
      </c>
      <c r="S71" s="109"/>
      <c r="T71" s="123"/>
      <c r="X71" s="123"/>
      <c r="Y71" s="109"/>
    </row>
    <row r="72" spans="1:25" ht="10.5" x14ac:dyDescent="0.25">
      <c r="A72" s="127" t="s">
        <v>1451</v>
      </c>
      <c r="B72" s="91"/>
      <c r="C72" s="109"/>
      <c r="D72" s="109"/>
      <c r="E72" s="109"/>
      <c r="F72" s="109"/>
      <c r="G72" s="109"/>
      <c r="H72" s="109"/>
      <c r="I72" s="109"/>
      <c r="J72" s="109"/>
      <c r="K72" s="109"/>
      <c r="L72" s="109"/>
      <c r="M72" s="109"/>
      <c r="N72" s="91"/>
      <c r="O72" s="109">
        <f>+IFERROR(O71/L71-1,"n/a ")</f>
        <v>0.11417508417508415</v>
      </c>
      <c r="P72" s="109">
        <f>+IFERROR(P71/O71-1,"n/a ")</f>
        <v>9.8123356803964779E-2</v>
      </c>
      <c r="Q72" s="110">
        <f>+IFERROR(Q71/P71-1,"n/a ")</f>
        <v>0.10110627992734877</v>
      </c>
      <c r="S72" s="109"/>
      <c r="T72" s="123"/>
      <c r="X72" s="123"/>
      <c r="Y72" s="109"/>
    </row>
    <row r="73" spans="1:25" ht="11.25" customHeight="1" x14ac:dyDescent="0.2">
      <c r="A73" s="124"/>
      <c r="B73" s="91"/>
      <c r="C73" s="91"/>
      <c r="D73" s="91"/>
      <c r="E73" s="91"/>
      <c r="F73" s="91"/>
      <c r="G73" s="91"/>
      <c r="H73" s="91"/>
      <c r="I73" s="91"/>
      <c r="J73" s="91"/>
      <c r="K73" s="54"/>
      <c r="L73" s="54"/>
      <c r="M73" s="91"/>
      <c r="N73" s="91"/>
      <c r="O73" s="91"/>
      <c r="P73" s="91"/>
      <c r="Q73" s="113"/>
      <c r="S73" s="91"/>
      <c r="T73" s="109"/>
      <c r="X73" s="109"/>
      <c r="Y73" s="91"/>
    </row>
    <row r="74" spans="1:25" ht="10.5" x14ac:dyDescent="0.25">
      <c r="A74" s="67" t="s">
        <v>1102</v>
      </c>
      <c r="B74" s="91"/>
      <c r="C74" s="91"/>
      <c r="D74" s="91"/>
      <c r="E74" s="91"/>
      <c r="F74" s="91"/>
      <c r="G74" s="91"/>
      <c r="H74" s="91"/>
      <c r="I74" s="91"/>
      <c r="J74" s="91"/>
      <c r="K74" s="91"/>
      <c r="L74" s="91"/>
      <c r="M74" s="91"/>
      <c r="N74" s="91"/>
      <c r="O74" s="91"/>
      <c r="P74" s="91"/>
      <c r="Q74" s="113"/>
      <c r="S74" s="91"/>
      <c r="T74" s="109"/>
      <c r="X74" s="109"/>
      <c r="Y74" s="91"/>
    </row>
    <row r="75" spans="1:25" ht="3" customHeight="1" x14ac:dyDescent="0.25">
      <c r="A75" s="67"/>
      <c r="B75" s="91"/>
      <c r="C75" s="91"/>
      <c r="D75" s="91"/>
      <c r="E75" s="91"/>
      <c r="F75" s="91"/>
      <c r="G75" s="91"/>
      <c r="H75" s="91"/>
      <c r="I75" s="91"/>
      <c r="J75" s="91"/>
      <c r="K75" s="91"/>
      <c r="L75" s="91"/>
      <c r="M75" s="91"/>
      <c r="N75" s="91"/>
      <c r="O75" s="91"/>
      <c r="P75" s="91"/>
      <c r="Q75" s="113"/>
      <c r="S75" s="91"/>
      <c r="T75" s="109"/>
      <c r="X75" s="109"/>
      <c r="Y75" s="91"/>
    </row>
    <row r="76" spans="1:25" x14ac:dyDescent="0.2">
      <c r="A76" s="47" t="s">
        <v>1462</v>
      </c>
      <c r="B76" s="54">
        <f>+B50</f>
        <v>37.093000000000004</v>
      </c>
      <c r="C76" s="54">
        <f t="shared" ref="C76:Q76" si="44">+C50</f>
        <v>41.381</v>
      </c>
      <c r="D76" s="54">
        <f t="shared" si="44"/>
        <v>44.558</v>
      </c>
      <c r="E76" s="54">
        <f t="shared" si="44"/>
        <v>52.872999999999998</v>
      </c>
      <c r="F76" s="54">
        <f t="shared" si="44"/>
        <v>71.241</v>
      </c>
      <c r="G76" s="54">
        <f t="shared" si="44"/>
        <v>87.492999999999995</v>
      </c>
      <c r="H76" s="54">
        <f t="shared" si="44"/>
        <v>97.072999999999993</v>
      </c>
      <c r="I76" s="54">
        <f t="shared" si="44"/>
        <v>124.015</v>
      </c>
      <c r="J76" s="54">
        <f t="shared" si="44"/>
        <v>141.059</v>
      </c>
      <c r="K76" s="54">
        <f t="shared" si="44"/>
        <v>146.69400000000002</v>
      </c>
      <c r="L76" s="54">
        <f t="shared" si="44"/>
        <v>160.30699999999999</v>
      </c>
      <c r="M76" s="54">
        <f t="shared" si="44"/>
        <v>167.30199999999999</v>
      </c>
      <c r="N76" s="91"/>
      <c r="O76" s="54">
        <f t="shared" si="44"/>
        <v>180.52798000000001</v>
      </c>
      <c r="P76" s="54">
        <f t="shared" si="44"/>
        <v>199.93171000000001</v>
      </c>
      <c r="Q76" s="115">
        <f t="shared" si="44"/>
        <v>221.26067</v>
      </c>
      <c r="S76" s="54">
        <f t="shared" ref="S76" ca="1" si="45">+S50</f>
        <v>150.58199999999999</v>
      </c>
      <c r="T76" s="91"/>
      <c r="X76" s="91"/>
      <c r="Y76" s="54"/>
    </row>
    <row r="77" spans="1:25" ht="11.5" x14ac:dyDescent="0.35">
      <c r="A77" s="77" t="s">
        <v>1463</v>
      </c>
      <c r="B77" s="80" t="str">
        <f>IFERROR(-B49,"n/a")</f>
        <v>n/a</v>
      </c>
      <c r="C77" s="80">
        <f t="shared" ref="C77:S77" si="46">IFERROR(-C49,"n/a")</f>
        <v>-5.0000000000000001E-3</v>
      </c>
      <c r="D77" s="80">
        <f t="shared" si="46"/>
        <v>-0.57199999999999995</v>
      </c>
      <c r="E77" s="80">
        <f t="shared" si="46"/>
        <v>-1.07</v>
      </c>
      <c r="F77" s="80">
        <f t="shared" si="46"/>
        <v>-1.7589999999999999</v>
      </c>
      <c r="G77" s="80">
        <f t="shared" si="46"/>
        <v>-1.732</v>
      </c>
      <c r="H77" s="80">
        <f t="shared" si="46"/>
        <v>-1.958</v>
      </c>
      <c r="I77" s="80">
        <f t="shared" si="46"/>
        <v>-2.2669999999999999</v>
      </c>
      <c r="J77" s="80">
        <f t="shared" si="46"/>
        <v>-2.5409999999999999</v>
      </c>
      <c r="K77" s="80">
        <f t="shared" si="46"/>
        <v>-3.33</v>
      </c>
      <c r="L77" s="80">
        <f t="shared" si="46"/>
        <v>-3.6120000000000001</v>
      </c>
      <c r="M77" s="80">
        <f t="shared" si="46"/>
        <v>-3.5649999999999999</v>
      </c>
      <c r="N77" s="91"/>
      <c r="O77" s="80">
        <f t="shared" si="46"/>
        <v>-3.8319065622223398</v>
      </c>
      <c r="P77" s="80">
        <f t="shared" si="46"/>
        <v>-4.3131810314437615</v>
      </c>
      <c r="Q77" s="112">
        <f t="shared" si="46"/>
        <v>-4.7423783146105185</v>
      </c>
      <c r="S77" s="80">
        <f t="shared" ca="1" si="46"/>
        <v>-3.4380000000000002</v>
      </c>
      <c r="T77" s="91"/>
      <c r="X77" s="91"/>
      <c r="Y77" s="80"/>
    </row>
    <row r="78" spans="1:25" x14ac:dyDescent="0.2">
      <c r="A78" s="47" t="s">
        <v>49</v>
      </c>
      <c r="B78" s="54">
        <f>IFERROR(SUM(B76:B77),"n/a")</f>
        <v>37.093000000000004</v>
      </c>
      <c r="C78" s="54">
        <f t="shared" ref="C78:Q78" si="47">IFERROR(SUM(C76:C77),"n/a")</f>
        <v>41.375999999999998</v>
      </c>
      <c r="D78" s="54">
        <f t="shared" si="47"/>
        <v>43.985999999999997</v>
      </c>
      <c r="E78" s="54">
        <f t="shared" si="47"/>
        <v>51.802999999999997</v>
      </c>
      <c r="F78" s="54">
        <f t="shared" si="47"/>
        <v>69.481999999999999</v>
      </c>
      <c r="G78" s="54">
        <f t="shared" si="47"/>
        <v>85.760999999999996</v>
      </c>
      <c r="H78" s="54">
        <f t="shared" si="47"/>
        <v>95.114999999999995</v>
      </c>
      <c r="I78" s="54">
        <f t="shared" si="47"/>
        <v>121.748</v>
      </c>
      <c r="J78" s="54">
        <f t="shared" si="47"/>
        <v>138.518</v>
      </c>
      <c r="K78" s="54">
        <f t="shared" si="47"/>
        <v>143.364</v>
      </c>
      <c r="L78" s="54">
        <f t="shared" si="47"/>
        <v>156.69499999999999</v>
      </c>
      <c r="M78" s="54">
        <f t="shared" si="47"/>
        <v>163.73699999999999</v>
      </c>
      <c r="N78" s="91"/>
      <c r="O78" s="54">
        <f t="shared" si="47"/>
        <v>176.69607343777767</v>
      </c>
      <c r="P78" s="54">
        <f t="shared" si="47"/>
        <v>195.61852896855623</v>
      </c>
      <c r="Q78" s="115">
        <f t="shared" si="47"/>
        <v>216.5182916853895</v>
      </c>
      <c r="S78" s="54">
        <f t="shared" ref="S78" ca="1" si="48">IFERROR(SUM(S76:S77),"n/a")</f>
        <v>147.14400000000001</v>
      </c>
      <c r="T78" s="91"/>
      <c r="X78" s="91"/>
      <c r="Y78" s="54"/>
    </row>
    <row r="79" spans="1:25" x14ac:dyDescent="0.2">
      <c r="A79" s="77" t="s">
        <v>1464</v>
      </c>
      <c r="B79" s="54">
        <f t="shared" ref="B79:M79" si="49">+B60</f>
        <v>0.10199999999999999</v>
      </c>
      <c r="C79" s="54">
        <f t="shared" si="49"/>
        <v>0.19500000000000001</v>
      </c>
      <c r="D79" s="54">
        <f t="shared" si="49"/>
        <v>0.21299999999999999</v>
      </c>
      <c r="E79" s="54">
        <f t="shared" si="49"/>
        <v>0.14199999999999999</v>
      </c>
      <c r="F79" s="54">
        <f t="shared" si="49"/>
        <v>0.11700000000000001</v>
      </c>
      <c r="G79" s="54">
        <f t="shared" si="49"/>
        <v>0.33300000000000002</v>
      </c>
      <c r="H79" s="54">
        <f t="shared" si="49"/>
        <v>-0.11600000000000001</v>
      </c>
      <c r="I79" s="54">
        <f t="shared" si="49"/>
        <v>-0.44900000000000001</v>
      </c>
      <c r="J79" s="54">
        <f t="shared" si="49"/>
        <v>-1E-3</v>
      </c>
      <c r="K79" s="54">
        <f t="shared" si="49"/>
        <v>0.96599999999999997</v>
      </c>
      <c r="L79" s="54">
        <f t="shared" si="49"/>
        <v>5.335</v>
      </c>
      <c r="M79" s="54">
        <f t="shared" si="49"/>
        <v>6.9029999999999996</v>
      </c>
      <c r="N79" s="91"/>
      <c r="O79" s="54">
        <f>+O60</f>
        <v>-1.1000000000000001</v>
      </c>
      <c r="P79" s="54">
        <f>+P60</f>
        <v>-1.06667</v>
      </c>
      <c r="Q79" s="115">
        <f>+Q60</f>
        <v>-1.1000000000000001</v>
      </c>
      <c r="S79" s="54">
        <f ca="1">+S60</f>
        <v>2.399</v>
      </c>
      <c r="T79" s="54"/>
      <c r="X79" s="54"/>
      <c r="Y79" s="54"/>
    </row>
    <row r="80" spans="1:25" ht="11.5" x14ac:dyDescent="0.35">
      <c r="A80" s="77" t="s">
        <v>1465</v>
      </c>
      <c r="B80" s="54">
        <f t="shared" ref="B80:M80" si="50">+IFERROR(MIN(B62+B62/B61*B77,0),IFERROR(B62,"n/a"))</f>
        <v>-7.1260000000000012</v>
      </c>
      <c r="C80" s="54">
        <f t="shared" si="50"/>
        <v>-7.9554000000000009</v>
      </c>
      <c r="D80" s="54">
        <f t="shared" si="50"/>
        <v>-8.4806000000000008</v>
      </c>
      <c r="E80" s="54">
        <f t="shared" si="50"/>
        <v>-10.0608</v>
      </c>
      <c r="F80" s="54">
        <f t="shared" si="50"/>
        <v>-13.627800000000002</v>
      </c>
      <c r="G80" s="54">
        <f t="shared" si="50"/>
        <v>-16.963799999999999</v>
      </c>
      <c r="H80" s="54">
        <f t="shared" si="50"/>
        <v>-18.3294</v>
      </c>
      <c r="I80" s="54">
        <f t="shared" si="50"/>
        <v>-23.340800000000005</v>
      </c>
      <c r="J80" s="54">
        <f t="shared" si="50"/>
        <v>-26.91</v>
      </c>
      <c r="K80" s="54">
        <f t="shared" si="50"/>
        <v>-27.947400000000009</v>
      </c>
      <c r="L80" s="54">
        <f t="shared" si="50"/>
        <v>-31.393999999999998</v>
      </c>
      <c r="M80" s="54">
        <f t="shared" si="50"/>
        <v>-33.051599999999993</v>
      </c>
      <c r="N80" s="54"/>
      <c r="O80" s="54">
        <f>+IFERROR(MIN(O62+O62/O61*O77,0),IFERROR(O62,"n/a"))</f>
        <v>-33.754214687555539</v>
      </c>
      <c r="P80" s="54">
        <f>+IFERROR(MIN(P62+P62/P61*P77,0),IFERROR(P62,"n/a"))</f>
        <v>-37.360371793711252</v>
      </c>
      <c r="Q80" s="115">
        <f>+IFERROR(MIN(Q62+Q62/Q61*Q77,0),IFERROR(Q62,"n/a"))</f>
        <v>-41.608658337077898</v>
      </c>
      <c r="S80" s="54">
        <f ca="1">+IFERROR(MIN(S62+S62/S61*S77,0),IFERROR(S62,"n/a"))</f>
        <v>-28.939800000000002</v>
      </c>
      <c r="T80" s="80"/>
      <c r="X80" s="80"/>
      <c r="Y80" s="54"/>
    </row>
    <row r="81" spans="1:25" ht="11.5" x14ac:dyDescent="0.35">
      <c r="A81" s="77" t="s">
        <v>1466</v>
      </c>
      <c r="B81" s="54">
        <f>_xll.ciqfunctions.udf.CIQ($B$1, "IQ_CAPEX",B$41,,,,$B$2)</f>
        <v>-1.8220000000000001</v>
      </c>
      <c r="C81" s="54">
        <f>_xll.ciqfunctions.udf.CIQ($B$1, "IQ_CAPEX",C$41,,,,$B$2)</f>
        <v>-2.2170000000000001</v>
      </c>
      <c r="D81" s="54">
        <f>_xll.ciqfunctions.udf.CIQ($B$1, "IQ_CAPEX",D$41,,,,$B$2)</f>
        <v>-1.19</v>
      </c>
      <c r="E81" s="54">
        <f>_xll.ciqfunctions.udf.CIQ($B$1, "IQ_CAPEX",E$41,,,,$B$2)</f>
        <v>-0.94499999999999995</v>
      </c>
      <c r="F81" s="54">
        <f>_xll.ciqfunctions.udf.CIQ($B$1, "IQ_CAPEX",F$41,,,,$B$2)</f>
        <v>-0.96499999999999997</v>
      </c>
      <c r="G81" s="54">
        <f>_xll.ciqfunctions.udf.CIQ($B$1, "IQ_CAPEX",G$41,,,,$B$2)</f>
        <v>-2.1680000000000001</v>
      </c>
      <c r="H81" s="54">
        <f>_xll.ciqfunctions.udf.CIQ($B$1, "IQ_CAPEX",H$41,,,,$B$2)</f>
        <v>-7.6639999999999997</v>
      </c>
      <c r="I81" s="54">
        <f>_xll.ciqfunctions.udf.CIQ($B$1, "IQ_CAPEX",I$41,,,,$B$2)</f>
        <v>-2.2650000000000001</v>
      </c>
      <c r="J81" s="54">
        <f>_xll.ciqfunctions.udf.CIQ($B$1, "IQ_CAPEX",J$41,,,,$B$2)</f>
        <v>-1.89</v>
      </c>
      <c r="K81" s="54">
        <f>_xll.ciqfunctions.udf.CIQ($B$1, "IQ_CAPEX",K$41,,,,$B$2)</f>
        <v>-2.544</v>
      </c>
      <c r="L81" s="54">
        <f>_xll.ciqfunctions.udf.CIQ($B$1, "IQ_CAPEX",L$41,,,,$B$2)</f>
        <v>-1.115</v>
      </c>
      <c r="M81" s="54">
        <f>_xll.ciqfunctions.udf.CIQ($B$1, "IQ_CAPEX",M$41,,,,$B$2)</f>
        <v>-5.3289999999999997</v>
      </c>
      <c r="N81" s="54"/>
      <c r="O81" s="54">
        <f>IF(O50="n/a","n/a",IFERROR(_xll.ciqfunctions.udf.CIQ($B$1,"IQ_CAPEX_EST",O$41,,,,$B$2),IFERROR($M81,"n/a")))</f>
        <v>-12.42018</v>
      </c>
      <c r="P81" s="54">
        <f>IF(P50="n/a","n/a",IFERROR(_xll.ciqfunctions.udf.CIQ($B$1,"IQ_CAPEX_EST",P$41,,,,$B$2),IFERROR($M81,"n/a")))</f>
        <v>-9.3332300000000004</v>
      </c>
      <c r="Q81" s="115">
        <f>IF(Q50="n/a","n/a",IFERROR(_xll.ciqfunctions.udf.CIQ($B$1,"IQ_CAPEX_EST",Q$41,,,,$B$2),IFERROR($M81,"n/a")))</f>
        <v>-8.9061599999999999</v>
      </c>
      <c r="S81" s="54">
        <f ca="1">_xll.ciqfunctions.udf.CIQ($B$1, "IQ_CAPEX",S$41,$S$40,,,$B$2)</f>
        <v>-2.1739999999999999</v>
      </c>
      <c r="T81" s="54"/>
      <c r="X81" s="54"/>
      <c r="Y81" s="80"/>
    </row>
    <row r="82" spans="1:25" ht="11.5" x14ac:dyDescent="0.35">
      <c r="A82" s="77" t="s">
        <v>1467</v>
      </c>
      <c r="B82" s="54">
        <f>_xll.ciqfunctions.udf.CIQ($B$1, "IQ_SALE_INTAN_CF",B$41,,,,$B$2)</f>
        <v>-0.33</v>
      </c>
      <c r="C82" s="54">
        <f>_xll.ciqfunctions.udf.CIQ($B$1, "IQ_SALE_INTAN_CF",C$41,,,,$B$2)</f>
        <v>-0.28799999999999998</v>
      </c>
      <c r="D82" s="54">
        <f>_xll.ciqfunctions.udf.CIQ($B$1, "IQ_SALE_INTAN_CF",D$41,,,,$B$2)</f>
        <v>-0.53600000000000003</v>
      </c>
      <c r="E82" s="54">
        <f>_xll.ciqfunctions.udf.CIQ($B$1, "IQ_SALE_INTAN_CF",E$41,,,,$B$2)</f>
        <v>-0.51600000000000001</v>
      </c>
      <c r="F82" s="54">
        <f>_xll.ciqfunctions.udf.CIQ($B$1, "IQ_SALE_INTAN_CF",F$41,,,,$B$2)</f>
        <v>-0.11899999999999999</v>
      </c>
      <c r="G82" s="54">
        <f>_xll.ciqfunctions.udf.CIQ($B$1, "IQ_SALE_INTAN_CF",G$41,,,,$B$2)</f>
        <v>-0.161</v>
      </c>
      <c r="H82" s="54">
        <f>_xll.ciqfunctions.udf.CIQ($B$1, "IQ_SALE_INTAN_CF",H$41,,,,$B$2)</f>
        <v>-1.2929999999999999</v>
      </c>
      <c r="I82" s="54">
        <f>_xll.ciqfunctions.udf.CIQ($B$1, "IQ_SALE_INTAN_CF",I$41,,,,$B$2)</f>
        <v>-4.1989999999999998</v>
      </c>
      <c r="J82" s="54">
        <f>_xll.ciqfunctions.udf.CIQ($B$1, "IQ_SALE_INTAN_CF",J$41,,,,$B$2)</f>
        <v>-3.3340000000000001</v>
      </c>
      <c r="K82" s="54">
        <f>_xll.ciqfunctions.udf.CIQ($B$1, "IQ_SALE_INTAN_CF",K$41,,,,$B$2)</f>
        <v>-0.70099999999999996</v>
      </c>
      <c r="L82" s="54">
        <f>_xll.ciqfunctions.udf.CIQ($B$1, "IQ_SALE_INTAN_CF",L$41,,,,$B$2)</f>
        <v>-6.0170000000000003</v>
      </c>
      <c r="M82" s="54">
        <f>_xll.ciqfunctions.udf.CIQ($B$1, "IQ_SALE_INTAN_CF",M$41,,,,$B$2)</f>
        <v>-6.899</v>
      </c>
      <c r="N82" s="54"/>
      <c r="O82" s="54">
        <f>M82</f>
        <v>-6.899</v>
      </c>
      <c r="P82" s="54">
        <f>O82</f>
        <v>-6.899</v>
      </c>
      <c r="Q82" s="115">
        <f>P82</f>
        <v>-6.899</v>
      </c>
      <c r="S82" s="54">
        <f>_xll.ciqfunctions.udf.CIQ($B$1, "IQ_SALE_INTAN_CF",S$41,,,,$B$2)</f>
        <v>-6.899</v>
      </c>
      <c r="T82" s="54"/>
      <c r="X82" s="54"/>
      <c r="Y82" s="80"/>
    </row>
    <row r="83" spans="1:25" x14ac:dyDescent="0.2">
      <c r="A83" s="77" t="s">
        <v>1456</v>
      </c>
      <c r="B83" s="54" t="str">
        <f>+B64</f>
        <v>NA</v>
      </c>
      <c r="C83" s="54" t="str">
        <f t="shared" ref="C83:S83" si="51">+C64</f>
        <v>NA</v>
      </c>
      <c r="D83" s="54" t="str">
        <f t="shared" si="51"/>
        <v>NA</v>
      </c>
      <c r="E83" s="54" t="str">
        <f t="shared" si="51"/>
        <v>NA</v>
      </c>
      <c r="F83" s="54" t="str">
        <f t="shared" si="51"/>
        <v>NA</v>
      </c>
      <c r="G83" s="54" t="str">
        <f t="shared" si="51"/>
        <v>NA</v>
      </c>
      <c r="H83" s="54" t="str">
        <f t="shared" si="51"/>
        <v>NA</v>
      </c>
      <c r="I83" s="54" t="str">
        <f t="shared" si="51"/>
        <v>NA</v>
      </c>
      <c r="J83" s="54" t="str">
        <f t="shared" si="51"/>
        <v>NA</v>
      </c>
      <c r="K83" s="54" t="str">
        <f t="shared" si="51"/>
        <v>NA</v>
      </c>
      <c r="L83" s="54" t="str">
        <f t="shared" si="51"/>
        <v>NA</v>
      </c>
      <c r="M83" s="54" t="str">
        <f t="shared" si="51"/>
        <v>NA</v>
      </c>
      <c r="N83" s="91"/>
      <c r="O83" s="54" t="str">
        <f t="shared" si="51"/>
        <v>NA</v>
      </c>
      <c r="P83" s="54" t="str">
        <f t="shared" si="51"/>
        <v>NA</v>
      </c>
      <c r="Q83" s="115" t="str">
        <f t="shared" si="51"/>
        <v>NA</v>
      </c>
      <c r="S83" s="54" t="str">
        <f t="shared" ca="1" si="51"/>
        <v>NA</v>
      </c>
      <c r="T83" s="91"/>
      <c r="X83" s="91"/>
      <c r="Y83" s="54"/>
    </row>
    <row r="84" spans="1:25" ht="10.5" x14ac:dyDescent="0.25">
      <c r="A84" s="104" t="s">
        <v>60</v>
      </c>
      <c r="B84" s="1550">
        <f>+IFERROR(SUM(B78:B83),"n/a")</f>
        <v>27.917000000000002</v>
      </c>
      <c r="C84" s="1550">
        <f t="shared" ref="C84:M84" si="52">+IFERROR(SUM(C78:C83),"n/a")</f>
        <v>31.110600000000002</v>
      </c>
      <c r="D84" s="1550">
        <f t="shared" si="52"/>
        <v>33.992399999999996</v>
      </c>
      <c r="E84" s="1550">
        <f t="shared" si="52"/>
        <v>40.423200000000001</v>
      </c>
      <c r="F84" s="1550">
        <f t="shared" si="52"/>
        <v>54.8872</v>
      </c>
      <c r="G84" s="1550">
        <f t="shared" si="52"/>
        <v>66.801199999999994</v>
      </c>
      <c r="H84" s="1550">
        <f t="shared" si="52"/>
        <v>67.712599999999995</v>
      </c>
      <c r="I84" s="1550">
        <f t="shared" si="52"/>
        <v>91.494200000000006</v>
      </c>
      <c r="J84" s="1550">
        <f t="shared" si="52"/>
        <v>106.383</v>
      </c>
      <c r="K84" s="1550">
        <f t="shared" si="52"/>
        <v>113.13760000000001</v>
      </c>
      <c r="L84" s="1550">
        <f t="shared" si="52"/>
        <v>123.50399999999999</v>
      </c>
      <c r="M84" s="1550">
        <f t="shared" si="52"/>
        <v>125.36039999999997</v>
      </c>
      <c r="N84" s="128"/>
      <c r="O84" s="1550">
        <f>+IFERROR(SUM(O78:O83),"n/a")</f>
        <v>122.52267875022216</v>
      </c>
      <c r="P84" s="1550">
        <f t="shared" ref="P84:Q84" si="53">+IFERROR(SUM(P78:P83),"n/a")</f>
        <v>140.95925717484499</v>
      </c>
      <c r="Q84" s="105">
        <f t="shared" si="53"/>
        <v>158.00447334831159</v>
      </c>
      <c r="S84" s="1550">
        <f t="shared" ref="S84" ca="1" si="54">+IFERROR(SUM(S78:S83),"n/a")</f>
        <v>111.53019999999999</v>
      </c>
      <c r="T84" s="54"/>
      <c r="X84" s="106">
        <f>(L84/G84)^(1/5)-1</f>
        <v>0.13078321126546744</v>
      </c>
      <c r="Y84" s="106">
        <f>(L84/B84)^(1/10)-1</f>
        <v>0.1603292165164103</v>
      </c>
    </row>
    <row r="85" spans="1:25" ht="10.5" x14ac:dyDescent="0.25">
      <c r="A85" s="104" t="s">
        <v>1468</v>
      </c>
      <c r="B85" s="1551" t="str">
        <f t="shared" ref="B85:L85" si="55">+IFERROR(B84/B66,"n/a")</f>
        <v>n/a</v>
      </c>
      <c r="C85" s="1551">
        <f t="shared" si="55"/>
        <v>0.15973157808264191</v>
      </c>
      <c r="D85" s="1551">
        <f t="shared" si="55"/>
        <v>0.17278179895901105</v>
      </c>
      <c r="E85" s="1551">
        <f t="shared" si="55"/>
        <v>0.20405863823600678</v>
      </c>
      <c r="F85" s="1551">
        <f t="shared" si="55"/>
        <v>0.27580675959518808</v>
      </c>
      <c r="G85" s="1551">
        <f t="shared" si="55"/>
        <v>0.33593426266771265</v>
      </c>
      <c r="H85" s="1551">
        <f t="shared" si="55"/>
        <v>0.34003535307883131</v>
      </c>
      <c r="I85" s="1551">
        <f t="shared" si="55"/>
        <v>0.45874861489247554</v>
      </c>
      <c r="J85" s="1551">
        <f t="shared" si="55"/>
        <v>0.53285448373308697</v>
      </c>
      <c r="K85" s="1551">
        <f t="shared" si="55"/>
        <v>0.56523863528494855</v>
      </c>
      <c r="L85" s="1551">
        <f t="shared" si="55"/>
        <v>0.61593089828243131</v>
      </c>
      <c r="M85" s="1551">
        <f>+IFERROR(M84/M66,"n/a")</f>
        <v>0.62470922409926732</v>
      </c>
      <c r="N85" s="91"/>
      <c r="O85" s="1551">
        <f>+IFERROR(O84/O66,"n/a")</f>
        <v>0.61056799098132342</v>
      </c>
      <c r="P85" s="1551">
        <f>+IFERROR(P84/P66,"n/a")</f>
        <v>0.70244310148425271</v>
      </c>
      <c r="Q85" s="120">
        <f>+IFERROR(Q84/Q66,"n/a")</f>
        <v>0.7873846282369642</v>
      </c>
      <c r="S85" s="1551">
        <f ca="1">+IFERROR(S84/S66,"n/a")</f>
        <v>0.55597750770181753</v>
      </c>
      <c r="T85" s="54"/>
      <c r="X85" s="106">
        <f>(L85/G85)^(1/5)-1</f>
        <v>0.12890016904189228</v>
      </c>
      <c r="Y85" s="106" t="e">
        <f>(L85/B85)^(1/10)-1</f>
        <v>#VALUE!</v>
      </c>
    </row>
    <row r="86" spans="1:25" ht="11.5" x14ac:dyDescent="0.35">
      <c r="A86" s="107" t="s">
        <v>1451</v>
      </c>
      <c r="B86" s="91"/>
      <c r="C86" s="109" t="str">
        <f>+IFERROR(C85/B85-1,"n/a ")</f>
        <v xml:space="preserve">n/a </v>
      </c>
      <c r="D86" s="109">
        <f t="shared" ref="D86:L86" si="56">+IFERROR(D85/C85-1,"n/a ")</f>
        <v>8.1700945004232084E-2</v>
      </c>
      <c r="E86" s="109">
        <f t="shared" si="56"/>
        <v>0.1810192940774713</v>
      </c>
      <c r="F86" s="109">
        <f t="shared" si="56"/>
        <v>0.35160541097113485</v>
      </c>
      <c r="G86" s="109">
        <f t="shared" si="56"/>
        <v>0.21800590805234776</v>
      </c>
      <c r="H86" s="109">
        <f t="shared" si="56"/>
        <v>1.2208014682846491E-2</v>
      </c>
      <c r="I86" s="109">
        <f t="shared" si="56"/>
        <v>0.34912035098339489</v>
      </c>
      <c r="J86" s="109">
        <f t="shared" si="56"/>
        <v>0.16153916640812271</v>
      </c>
      <c r="K86" s="109">
        <f t="shared" si="56"/>
        <v>6.0774850433806593E-2</v>
      </c>
      <c r="L86" s="109">
        <f t="shared" si="56"/>
        <v>8.9682940678546652E-2</v>
      </c>
      <c r="M86" s="109">
        <f ca="1">+IFERROR(M85/S85-1,"n/a ")</f>
        <v>0.12362319598423777</v>
      </c>
      <c r="N86" s="91"/>
      <c r="O86" s="109">
        <f>+IFERROR(O85/L85-1,"n/a ")</f>
        <v>-8.7069950802317608E-3</v>
      </c>
      <c r="P86" s="109">
        <f>+IFERROR(P85/O85-1,"n/a ")</f>
        <v>0.15047482321381578</v>
      </c>
      <c r="Q86" s="110">
        <f>+IFERROR(Q85/P85-1,"n/a ")</f>
        <v>0.12092299941907214</v>
      </c>
      <c r="T86" s="80"/>
      <c r="X86" s="80"/>
    </row>
    <row r="87" spans="1:25" ht="10.5" x14ac:dyDescent="0.25">
      <c r="A87" s="70"/>
      <c r="B87" s="123"/>
      <c r="C87" s="123"/>
      <c r="D87" s="123"/>
      <c r="E87" s="123"/>
      <c r="F87" s="123"/>
      <c r="G87" s="123"/>
      <c r="H87" s="123"/>
      <c r="I87" s="123"/>
      <c r="J87" s="123"/>
      <c r="K87" s="123"/>
      <c r="L87" s="123"/>
      <c r="M87" s="123"/>
      <c r="N87" s="91"/>
      <c r="O87" s="123"/>
      <c r="P87" s="123"/>
      <c r="Q87" s="129"/>
      <c r="T87" s="79"/>
      <c r="X87" s="79"/>
    </row>
    <row r="88" spans="1:25" ht="10.5" x14ac:dyDescent="0.25">
      <c r="A88" s="77" t="s">
        <v>1454</v>
      </c>
      <c r="B88" s="54" t="str">
        <f t="shared" ref="B88:M88" si="57">IFERROR(-B77,"n/a")</f>
        <v>n/a</v>
      </c>
      <c r="C88" s="54">
        <f t="shared" si="57"/>
        <v>5.0000000000000001E-3</v>
      </c>
      <c r="D88" s="54">
        <f t="shared" si="57"/>
        <v>0.57199999999999995</v>
      </c>
      <c r="E88" s="54">
        <f t="shared" si="57"/>
        <v>1.07</v>
      </c>
      <c r="F88" s="54">
        <f t="shared" si="57"/>
        <v>1.7589999999999999</v>
      </c>
      <c r="G88" s="54">
        <f t="shared" si="57"/>
        <v>1.732</v>
      </c>
      <c r="H88" s="54">
        <f t="shared" si="57"/>
        <v>1.958</v>
      </c>
      <c r="I88" s="54">
        <f t="shared" si="57"/>
        <v>2.2669999999999999</v>
      </c>
      <c r="J88" s="54">
        <f t="shared" si="57"/>
        <v>2.5409999999999999</v>
      </c>
      <c r="K88" s="54">
        <f t="shared" si="57"/>
        <v>3.33</v>
      </c>
      <c r="L88" s="54">
        <f t="shared" si="57"/>
        <v>3.6120000000000001</v>
      </c>
      <c r="M88" s="54">
        <f t="shared" si="57"/>
        <v>3.5649999999999999</v>
      </c>
      <c r="N88" s="91"/>
      <c r="O88" s="54">
        <f>IFERROR(-O77,"n/a")</f>
        <v>3.8319065622223398</v>
      </c>
      <c r="P88" s="54">
        <f>IFERROR(-P77,"n/a")</f>
        <v>4.3131810314437615</v>
      </c>
      <c r="Q88" s="115">
        <f>IFERROR(-Q77,"n/a")</f>
        <v>4.7423783146105185</v>
      </c>
      <c r="S88" s="54">
        <f ca="1">IFERROR(-S77,"n/a")</f>
        <v>3.4380000000000002</v>
      </c>
      <c r="T88" s="123"/>
      <c r="X88" s="123"/>
      <c r="Y88" s="54"/>
    </row>
    <row r="89" spans="1:25" x14ac:dyDescent="0.2">
      <c r="A89" s="77" t="s">
        <v>1469</v>
      </c>
      <c r="B89" s="54">
        <f t="shared" ref="B89:M89" si="58">IFERROR(-B80-B109,"n/a")</f>
        <v>-3.2189999999999994</v>
      </c>
      <c r="C89" s="54">
        <f t="shared" si="58"/>
        <v>0.63640000000000096</v>
      </c>
      <c r="D89" s="54">
        <f t="shared" si="58"/>
        <v>0.62460000000000093</v>
      </c>
      <c r="E89" s="54">
        <f t="shared" si="58"/>
        <v>0.80680000000000085</v>
      </c>
      <c r="F89" s="54">
        <f t="shared" si="58"/>
        <v>3.1278000000000024</v>
      </c>
      <c r="G89" s="54">
        <f t="shared" si="58"/>
        <v>1.4177999999999997</v>
      </c>
      <c r="H89" s="54">
        <f t="shared" si="58"/>
        <v>-8.7876000000000012</v>
      </c>
      <c r="I89" s="54">
        <f t="shared" si="58"/>
        <v>0.79580000000000339</v>
      </c>
      <c r="J89" s="54">
        <f t="shared" si="58"/>
        <v>1.5659999999999989</v>
      </c>
      <c r="K89" s="54">
        <f t="shared" si="58"/>
        <v>-1.8455999999999904</v>
      </c>
      <c r="L89" s="54">
        <f t="shared" si="58"/>
        <v>-7.8320000000000007</v>
      </c>
      <c r="M89" s="54">
        <f t="shared" si="58"/>
        <v>-11.373400000000004</v>
      </c>
      <c r="N89" s="91"/>
      <c r="O89" s="54">
        <f>IFERROR(-O80-O109,"n/a")</f>
        <v>-8.4807464402483248</v>
      </c>
      <c r="P89" s="54">
        <f>IFERROR(-P80-P109,"n/a")</f>
        <v>-9.2466920189435342</v>
      </c>
      <c r="Q89" s="115">
        <f>IFERROR(-Q80-Q109,"n/a")</f>
        <v>-10.298142938426786</v>
      </c>
      <c r="S89" s="54">
        <f ca="1">IFERROR(-S80-S109,"n/a")</f>
        <v>-5.3351999999999968</v>
      </c>
      <c r="Y89" s="54"/>
    </row>
    <row r="90" spans="1:25" ht="11.5" x14ac:dyDescent="0.35">
      <c r="A90" s="77" t="s">
        <v>1470</v>
      </c>
      <c r="B90" s="80">
        <f>+IFERROR(B91-SUM(B88:B89,B84),"n/a")</f>
        <v>8.8230000000000004</v>
      </c>
      <c r="C90" s="80">
        <f t="shared" ref="C90:K90" si="59">+IFERROR(C91-SUM(C88:C89,C84),"n/a")</f>
        <v>13.154000000000003</v>
      </c>
      <c r="D90" s="80">
        <f t="shared" si="59"/>
        <v>-6.990000000000002</v>
      </c>
      <c r="E90" s="80">
        <f t="shared" si="59"/>
        <v>-2.7900000000000063</v>
      </c>
      <c r="F90" s="80">
        <f t="shared" si="59"/>
        <v>-3.8070000000000022</v>
      </c>
      <c r="G90" s="80">
        <f t="shared" si="59"/>
        <v>-7.620999999999988</v>
      </c>
      <c r="H90" s="80">
        <f t="shared" si="59"/>
        <v>-5.6699999999999946</v>
      </c>
      <c r="I90" s="80">
        <f t="shared" si="59"/>
        <v>-9.7690000000000197</v>
      </c>
      <c r="J90" s="80">
        <f t="shared" si="59"/>
        <v>-32.069999999999993</v>
      </c>
      <c r="K90" s="80">
        <f t="shared" si="59"/>
        <v>-13.064999999999998</v>
      </c>
      <c r="L90" s="80">
        <f>+IFERROR(L91-SUM(L88:L89,L84),"n/a")</f>
        <v>-10.807999999999979</v>
      </c>
      <c r="M90" s="80">
        <f>+IFERROR(M91-SUM(M88:M89,M84),"n/a")</f>
        <v>-4.0999999999954184E-2</v>
      </c>
      <c r="N90" s="91"/>
      <c r="O90" s="80">
        <v>0</v>
      </c>
      <c r="P90" s="80">
        <v>0</v>
      </c>
      <c r="Q90" s="112">
        <v>0</v>
      </c>
      <c r="S90" s="80">
        <f t="shared" ref="S90" ca="1" si="60">+IFERROR(S91-SUM(S88:S89,S84),"n/a")</f>
        <v>-16.924999999999997</v>
      </c>
      <c r="Y90" s="80"/>
    </row>
    <row r="91" spans="1:25" x14ac:dyDescent="0.2">
      <c r="A91" s="47" t="s">
        <v>62</v>
      </c>
      <c r="B91" s="54">
        <f t="shared" ref="B91:L91" si="61">+IFERROR(B107+B81+B82,"n/a")</f>
        <v>33.521000000000001</v>
      </c>
      <c r="C91" s="54">
        <f t="shared" si="61"/>
        <v>44.906000000000006</v>
      </c>
      <c r="D91" s="54">
        <f t="shared" si="61"/>
        <v>28.198999999999998</v>
      </c>
      <c r="E91" s="54">
        <f t="shared" si="61"/>
        <v>39.51</v>
      </c>
      <c r="F91" s="54">
        <f t="shared" si="61"/>
        <v>55.966999999999999</v>
      </c>
      <c r="G91" s="54">
        <f t="shared" si="61"/>
        <v>62.330000000000005</v>
      </c>
      <c r="H91" s="54">
        <f t="shared" si="61"/>
        <v>55.213000000000001</v>
      </c>
      <c r="I91" s="54">
        <f t="shared" si="61"/>
        <v>84.787999999999997</v>
      </c>
      <c r="J91" s="54">
        <f t="shared" si="61"/>
        <v>78.42</v>
      </c>
      <c r="K91" s="54">
        <f t="shared" si="61"/>
        <v>101.55700000000002</v>
      </c>
      <c r="L91" s="54">
        <f t="shared" si="61"/>
        <v>108.47600000000001</v>
      </c>
      <c r="M91" s="54">
        <f>+IFERROR(M107+M81+M82,"n/a")</f>
        <v>117.51100000000001</v>
      </c>
      <c r="N91" s="91"/>
      <c r="O91" s="54">
        <f>IFERROR(SUM(O88:O90,O84),"n/a")</f>
        <v>117.87383887219617</v>
      </c>
      <c r="P91" s="54">
        <f t="shared" ref="P91:Q91" si="62">IFERROR(SUM(P88:P90,P84),"n/a")</f>
        <v>136.02574618734522</v>
      </c>
      <c r="Q91" s="115">
        <f t="shared" si="62"/>
        <v>152.44870872449533</v>
      </c>
      <c r="S91" s="54">
        <f ca="1">+IFERROR(S107+S81,"n/a")</f>
        <v>92.707999999999998</v>
      </c>
      <c r="T91" s="54"/>
      <c r="X91" s="54"/>
      <c r="Y91" s="54"/>
    </row>
    <row r="92" spans="1:25" x14ac:dyDescent="0.2">
      <c r="A92" s="77"/>
      <c r="B92" s="91"/>
      <c r="C92" s="91"/>
      <c r="D92" s="91"/>
      <c r="E92" s="91"/>
      <c r="F92" s="91"/>
      <c r="G92" s="91"/>
      <c r="H92" s="91"/>
      <c r="I92" s="91"/>
      <c r="J92" s="91"/>
      <c r="K92" s="91"/>
      <c r="L92" s="91"/>
      <c r="M92" s="91"/>
      <c r="N92" s="91"/>
      <c r="O92" s="91"/>
      <c r="P92" s="91"/>
      <c r="Q92" s="113"/>
      <c r="S92" s="91"/>
      <c r="T92" s="54"/>
      <c r="X92" s="54"/>
      <c r="Y92" s="91"/>
    </row>
    <row r="93" spans="1:25" ht="11.5" x14ac:dyDescent="0.35">
      <c r="A93" s="67" t="s">
        <v>1471</v>
      </c>
      <c r="B93" s="54"/>
      <c r="C93" s="91"/>
      <c r="D93" s="91"/>
      <c r="E93" s="91"/>
      <c r="F93" s="91"/>
      <c r="G93" s="91"/>
      <c r="H93" s="91"/>
      <c r="I93" s="91"/>
      <c r="J93" s="91"/>
      <c r="K93" s="91"/>
      <c r="L93" s="54"/>
      <c r="M93" s="91"/>
      <c r="N93" s="91"/>
      <c r="O93" s="91"/>
      <c r="P93" s="91"/>
      <c r="Q93" s="113"/>
      <c r="S93" s="91"/>
      <c r="T93" s="80"/>
      <c r="X93" s="80"/>
      <c r="Y93" s="106"/>
    </row>
    <row r="94" spans="1:25" ht="3" customHeight="1" x14ac:dyDescent="0.25">
      <c r="A94" s="67"/>
      <c r="B94" s="91"/>
      <c r="C94" s="91"/>
      <c r="D94" s="91"/>
      <c r="E94" s="91"/>
      <c r="F94" s="91"/>
      <c r="G94" s="91"/>
      <c r="H94" s="91"/>
      <c r="I94" s="91"/>
      <c r="J94" s="91"/>
      <c r="K94" s="91"/>
      <c r="L94" s="91"/>
      <c r="M94" s="91"/>
      <c r="N94" s="91"/>
      <c r="O94" s="91"/>
      <c r="P94" s="91"/>
      <c r="Q94" s="113"/>
      <c r="S94" s="91"/>
      <c r="T94" s="54"/>
      <c r="X94" s="54"/>
      <c r="Y94" s="91"/>
    </row>
    <row r="95" spans="1:25" x14ac:dyDescent="0.2">
      <c r="A95" s="47" t="s">
        <v>1340</v>
      </c>
      <c r="B95" s="54">
        <f>_xll.ciqfunctions.udf.CIQ($B$1, "IQ_TOTAL_DEBT",B$41,,,,$B$2)</f>
        <v>0</v>
      </c>
      <c r="C95" s="54">
        <f>_xll.ciqfunctions.udf.CIQ($B$1, "IQ_TOTAL_DEBT",C$41,,,,$B$2)</f>
        <v>0</v>
      </c>
      <c r="D95" s="54">
        <f>_xll.ciqfunctions.udf.CIQ($B$1, "IQ_TOTAL_DEBT",D$41,,,,$B$2)</f>
        <v>0</v>
      </c>
      <c r="E95" s="54">
        <f>_xll.ciqfunctions.udf.CIQ($B$1, "IQ_TOTAL_DEBT",E$41,,,,$B$2)</f>
        <v>0</v>
      </c>
      <c r="F95" s="54">
        <f>_xll.ciqfunctions.udf.CIQ($B$1, "IQ_TOTAL_DEBT",F$41,,,,$B$2)</f>
        <v>0</v>
      </c>
      <c r="G95" s="54">
        <f>_xll.ciqfunctions.udf.CIQ($B$1, "IQ_TOTAL_DEBT",G$41,,,,$B$2)</f>
        <v>0</v>
      </c>
      <c r="H95" s="54">
        <f>_xll.ciqfunctions.udf.CIQ($B$1, "IQ_TOTAL_DEBT",H$41,,,,$B$2)</f>
        <v>9.8390000000000004</v>
      </c>
      <c r="I95" s="54">
        <f>_xll.ciqfunctions.udf.CIQ($B$1, "IQ_TOTAL_DEBT",I$41,,,,$B$2)</f>
        <v>8.3019999999999996</v>
      </c>
      <c r="J95" s="54">
        <f>_xll.ciqfunctions.udf.CIQ($B$1, "IQ_TOTAL_DEBT",J$41,,,,$B$2)</f>
        <v>6.6660000000000004</v>
      </c>
      <c r="K95" s="54">
        <f>_xll.ciqfunctions.udf.CIQ($B$1, "IQ_TOTAL_DEBT",K$41,,,,$B$2)</f>
        <v>9.7609999999999992</v>
      </c>
      <c r="L95" s="54">
        <f>_xll.ciqfunctions.udf.CIQ($B$1, "IQ_TOTAL_DEBT",L$41,,,,$B$2)</f>
        <v>10.358000000000001</v>
      </c>
      <c r="M95" s="54">
        <f>_xll.ciqfunctions.udf.CIQ($B$1, "IQ_TOTAL_DEBT",M$41,,,,$B$2)</f>
        <v>28.335000000000001</v>
      </c>
      <c r="N95" s="91"/>
      <c r="O95" s="91"/>
      <c r="P95" s="91"/>
      <c r="Q95" s="113"/>
      <c r="S95" s="54">
        <f ca="1">_xll.ciqfunctions.udf.CIQ($B$1, "IQ_TOTAL_DEBT",S$41,$S$40,,,$B$2)</f>
        <v>8.7759999999999998</v>
      </c>
      <c r="T95" s="91"/>
      <c r="X95" s="91"/>
      <c r="Y95" s="54"/>
    </row>
    <row r="96" spans="1:25" ht="11.5" x14ac:dyDescent="0.35">
      <c r="A96" s="77" t="s">
        <v>1442</v>
      </c>
      <c r="B96" s="80">
        <f>IFERROR(-_xll.ciqfunctions.udf.CIQ($B$1, "IQ_CASH_ST_INVEST",B$41,,,,$B$2),"n/a ")</f>
        <v>-37.72</v>
      </c>
      <c r="C96" s="80">
        <f>IFERROR(-_xll.ciqfunctions.udf.CIQ($B$1, "IQ_CASH_ST_INVEST",C$41,,,,$B$2),"n/a ")</f>
        <v>-74.641999999999996</v>
      </c>
      <c r="D96" s="80">
        <f>IFERROR(-_xll.ciqfunctions.udf.CIQ($B$1, "IQ_CASH_ST_INVEST",D$41,,,,$B$2),"n/a ")</f>
        <v>-62.360999999999997</v>
      </c>
      <c r="E96" s="80">
        <f>IFERROR(-_xll.ciqfunctions.udf.CIQ($B$1, "IQ_CASH_ST_INVEST",E$41,,,,$B$2),"n/a ")</f>
        <v>-61.643000000000001</v>
      </c>
      <c r="F96" s="80">
        <f>IFERROR(-_xll.ciqfunctions.udf.CIQ($B$1, "IQ_CASH_ST_INVEST",F$41,,,,$B$2),"n/a ")</f>
        <v>-72.831000000000003</v>
      </c>
      <c r="G96" s="80">
        <f>IFERROR(-_xll.ciqfunctions.udf.CIQ($B$1, "IQ_CASH_ST_INVEST",G$41,,,,$B$2),"n/a ")</f>
        <v>-79.263000000000005</v>
      </c>
      <c r="H96" s="80">
        <f>IFERROR(-_xll.ciqfunctions.udf.CIQ($B$1, "IQ_CASH_ST_INVEST",H$41,,,,$B$2),"n/a ")</f>
        <v>-80.138999999999996</v>
      </c>
      <c r="I96" s="80">
        <f>IFERROR(-_xll.ciqfunctions.udf.CIQ($B$1, "IQ_CASH_ST_INVEST",I$41,,,,$B$2),"n/a ")</f>
        <v>-101.724</v>
      </c>
      <c r="J96" s="80">
        <f>IFERROR(-_xll.ciqfunctions.udf.CIQ($B$1, "IQ_CASH_ST_INVEST",J$41,,,,$B$2),"n/a ")</f>
        <v>-97.316000000000003</v>
      </c>
      <c r="K96" s="80">
        <f>IFERROR(-_xll.ciqfunctions.udf.CIQ($B$1, "IQ_CASH_ST_INVEST",K$41,,,,$B$2),"n/a ")</f>
        <v>-122.621</v>
      </c>
      <c r="L96" s="80">
        <f>IFERROR(-_xll.ciqfunctions.udf.CIQ($B$1, "IQ_CASH_ST_INVEST",L$41,,,,$B$2),"n/a ")</f>
        <v>-158.45400000000001</v>
      </c>
      <c r="M96" s="80">
        <f>IFERROR(-_xll.ciqfunctions.udf.CIQ($B$1, "IQ_CASH_ST_INVEST",M$41,,,,$B$2),"n/a ")</f>
        <v>-141.04499999999999</v>
      </c>
      <c r="N96" s="91"/>
      <c r="O96" s="91"/>
      <c r="P96" s="91"/>
      <c r="Q96" s="113"/>
      <c r="S96" s="80">
        <f ca="1">IFERROR(-_xll.ciqfunctions.udf.CIQ($B$1, "IQ_CASH_ST_INVEST",S$41,$S$40,,,$B$2),"n/a ")</f>
        <v>-112.455</v>
      </c>
      <c r="T96" s="91"/>
      <c r="X96" s="91"/>
      <c r="Y96" s="80"/>
    </row>
    <row r="97" spans="1:25" x14ac:dyDescent="0.2">
      <c r="A97" s="47" t="s">
        <v>66</v>
      </c>
      <c r="B97" s="54">
        <f>IFERROR(+B95+B96,"n/a")</f>
        <v>-37.72</v>
      </c>
      <c r="C97" s="54">
        <f t="shared" ref="C97:M97" si="63">IFERROR(+C95+C96,"n/a")</f>
        <v>-74.641999999999996</v>
      </c>
      <c r="D97" s="54">
        <f t="shared" si="63"/>
        <v>-62.360999999999997</v>
      </c>
      <c r="E97" s="54">
        <f t="shared" si="63"/>
        <v>-61.643000000000001</v>
      </c>
      <c r="F97" s="54">
        <f t="shared" si="63"/>
        <v>-72.831000000000003</v>
      </c>
      <c r="G97" s="54">
        <f t="shared" si="63"/>
        <v>-79.263000000000005</v>
      </c>
      <c r="H97" s="54">
        <f t="shared" si="63"/>
        <v>-70.3</v>
      </c>
      <c r="I97" s="54">
        <f t="shared" si="63"/>
        <v>-93.421999999999997</v>
      </c>
      <c r="J97" s="54">
        <f t="shared" si="63"/>
        <v>-90.65</v>
      </c>
      <c r="K97" s="54">
        <f t="shared" si="63"/>
        <v>-112.86</v>
      </c>
      <c r="L97" s="54">
        <f t="shared" si="63"/>
        <v>-148.096</v>
      </c>
      <c r="M97" s="54">
        <f t="shared" si="63"/>
        <v>-112.70999999999998</v>
      </c>
      <c r="N97" s="91"/>
      <c r="O97" s="54">
        <f>IF(O50="n/a","n/a",_xll.ciqfunctions.udf.CIQ($B$1,"IQ_NET_DEBT_EST",O$41,,,,$B$2))</f>
        <v>-162.99055000000001</v>
      </c>
      <c r="P97" s="54">
        <f>IF(P50="n/a","n/a",_xll.ciqfunctions.udf.CIQ($B$1,"IQ_NET_DEBT_EST",P$41,,,,$B$2))</f>
        <v>-192.10424</v>
      </c>
      <c r="Q97" s="115">
        <f>IF(Q50="n/a","n/a",_xll.ciqfunctions.udf.CIQ($B$1,"IQ_NET_DEBT_EST",Q$41,,,,$B$2))</f>
        <v>-232.90407999999999</v>
      </c>
      <c r="S97" s="54">
        <f t="shared" ref="S97" ca="1" si="64">IFERROR(+S95+S96,"n/a")</f>
        <v>-103.679</v>
      </c>
      <c r="T97" s="91"/>
      <c r="X97" s="91"/>
      <c r="Y97" s="54"/>
    </row>
    <row r="98" spans="1:25" s="111" customFormat="1" x14ac:dyDescent="0.2">
      <c r="A98" s="117" t="s">
        <v>1472</v>
      </c>
      <c r="B98" s="130" t="str">
        <f t="shared" ref="B98:M98" si="65">+IFERROR(IF(B97/B76&lt;0,"n/a ",B97/B76),"n/a ")</f>
        <v xml:space="preserve">n/a </v>
      </c>
      <c r="C98" s="130" t="str">
        <f t="shared" si="65"/>
        <v xml:space="preserve">n/a </v>
      </c>
      <c r="D98" s="130" t="str">
        <f t="shared" si="65"/>
        <v xml:space="preserve">n/a </v>
      </c>
      <c r="E98" s="130" t="str">
        <f t="shared" si="65"/>
        <v xml:space="preserve">n/a </v>
      </c>
      <c r="F98" s="130" t="str">
        <f t="shared" si="65"/>
        <v xml:space="preserve">n/a </v>
      </c>
      <c r="G98" s="130" t="str">
        <f t="shared" si="65"/>
        <v xml:space="preserve">n/a </v>
      </c>
      <c r="H98" s="130" t="str">
        <f t="shared" si="65"/>
        <v xml:space="preserve">n/a </v>
      </c>
      <c r="I98" s="130" t="str">
        <f t="shared" si="65"/>
        <v xml:space="preserve">n/a </v>
      </c>
      <c r="J98" s="130" t="str">
        <f t="shared" si="65"/>
        <v xml:space="preserve">n/a </v>
      </c>
      <c r="K98" s="130" t="str">
        <f t="shared" si="65"/>
        <v xml:space="preserve">n/a </v>
      </c>
      <c r="L98" s="130" t="str">
        <f t="shared" si="65"/>
        <v xml:space="preserve">n/a </v>
      </c>
      <c r="M98" s="130" t="str">
        <f t="shared" si="65"/>
        <v xml:space="preserve">n/a </v>
      </c>
      <c r="N98" s="108"/>
      <c r="O98" s="130" t="str">
        <f>+IFERROR(IF(O97/O76&lt;0,"n/a ",O97/O76),"n/a ")</f>
        <v xml:space="preserve">n/a </v>
      </c>
      <c r="P98" s="130" t="str">
        <f>+IFERROR(IF(P97/P76&lt;0,"n/a ",P97/P76),"n/a ")</f>
        <v xml:space="preserve">n/a </v>
      </c>
      <c r="Q98" s="131" t="str">
        <f>+IFERROR(IF(Q97/Q76&lt;0,"n/a ",Q97/Q76),"n/a ")</f>
        <v xml:space="preserve">n/a </v>
      </c>
      <c r="S98" s="130" t="str">
        <f ca="1">+IFERROR(IF(S97/S76&lt;0,"n/a ",S97/S76),"n/a ")</f>
        <v xml:space="preserve">n/a </v>
      </c>
      <c r="T98" s="54"/>
      <c r="X98" s="54"/>
      <c r="Y98" s="130"/>
    </row>
    <row r="99" spans="1:25" s="111" customFormat="1" ht="11.5" x14ac:dyDescent="0.35">
      <c r="A99" s="117" t="s">
        <v>1473</v>
      </c>
      <c r="B99" s="130" t="str">
        <f t="shared" ref="B99:M99" si="66">+IFERROR(IF(B97/(B76+B81)&lt;0,"n/a ",B97/(B76+B81)),"n/a ")</f>
        <v xml:space="preserve">n/a </v>
      </c>
      <c r="C99" s="130" t="str">
        <f t="shared" si="66"/>
        <v xml:space="preserve">n/a </v>
      </c>
      <c r="D99" s="130" t="str">
        <f t="shared" si="66"/>
        <v xml:space="preserve">n/a </v>
      </c>
      <c r="E99" s="130" t="str">
        <f t="shared" si="66"/>
        <v xml:space="preserve">n/a </v>
      </c>
      <c r="F99" s="130" t="str">
        <f t="shared" si="66"/>
        <v xml:space="preserve">n/a </v>
      </c>
      <c r="G99" s="130" t="str">
        <f t="shared" si="66"/>
        <v xml:space="preserve">n/a </v>
      </c>
      <c r="H99" s="130" t="str">
        <f t="shared" si="66"/>
        <v xml:space="preserve">n/a </v>
      </c>
      <c r="I99" s="130" t="str">
        <f t="shared" si="66"/>
        <v xml:space="preserve">n/a </v>
      </c>
      <c r="J99" s="130" t="str">
        <f t="shared" si="66"/>
        <v xml:space="preserve">n/a </v>
      </c>
      <c r="K99" s="130" t="str">
        <f t="shared" si="66"/>
        <v xml:space="preserve">n/a </v>
      </c>
      <c r="L99" s="130" t="str">
        <f t="shared" si="66"/>
        <v xml:space="preserve">n/a </v>
      </c>
      <c r="M99" s="130" t="str">
        <f t="shared" si="66"/>
        <v xml:space="preserve">n/a </v>
      </c>
      <c r="N99" s="108"/>
      <c r="O99" s="130" t="str">
        <f>+IFERROR(IF(O97/(O76+O81)&lt;0,"n/a ",O97/(O76+O81)),"n/a ")</f>
        <v xml:space="preserve">n/a </v>
      </c>
      <c r="P99" s="130" t="str">
        <f>+IFERROR(IF(P97/(P76+P81)&lt;0,"n/a ",P97/(P76+P81)),"n/a ")</f>
        <v xml:space="preserve">n/a </v>
      </c>
      <c r="Q99" s="131" t="str">
        <f>+IFERROR(IF(Q97/(Q76+Q81)&lt;0,"n/a ",Q97/(Q76+Q81)),"n/a ")</f>
        <v xml:space="preserve">n/a </v>
      </c>
      <c r="S99" s="130" t="str">
        <f ca="1">+IFERROR(IF(S97/(S76+S81)&lt;0,"n/a ",S97/(S76+S81)),"n/a ")</f>
        <v xml:space="preserve">n/a </v>
      </c>
      <c r="T99" s="80"/>
      <c r="X99" s="80"/>
      <c r="Y99" s="130"/>
    </row>
    <row r="100" spans="1:25" x14ac:dyDescent="0.2">
      <c r="A100" s="132"/>
      <c r="B100" s="91"/>
      <c r="C100" s="91"/>
      <c r="D100" s="91"/>
      <c r="E100" s="91"/>
      <c r="F100" s="91"/>
      <c r="G100" s="91"/>
      <c r="H100" s="91"/>
      <c r="I100" s="91"/>
      <c r="J100" s="91"/>
      <c r="K100" s="91"/>
      <c r="L100" s="91"/>
      <c r="M100" s="91"/>
      <c r="N100" s="91"/>
      <c r="O100" s="91"/>
      <c r="P100" s="91"/>
      <c r="Q100" s="113"/>
      <c r="T100" s="54"/>
      <c r="X100" s="54"/>
    </row>
    <row r="101" spans="1:25" ht="10.5" x14ac:dyDescent="0.25">
      <c r="A101" s="67" t="s">
        <v>1474</v>
      </c>
      <c r="B101" s="91"/>
      <c r="C101" s="91"/>
      <c r="D101" s="91"/>
      <c r="E101" s="91"/>
      <c r="F101" s="91"/>
      <c r="G101" s="91"/>
      <c r="H101" s="91"/>
      <c r="I101" s="91"/>
      <c r="J101" s="91"/>
      <c r="K101" s="91"/>
      <c r="L101" s="91"/>
      <c r="M101" s="91"/>
      <c r="N101" s="91"/>
      <c r="O101" s="91"/>
      <c r="P101" s="91"/>
      <c r="Q101" s="113"/>
      <c r="T101" s="130"/>
      <c r="X101" s="130"/>
    </row>
    <row r="102" spans="1:25" ht="3" customHeight="1" x14ac:dyDescent="0.25">
      <c r="A102" s="67"/>
      <c r="B102" s="91"/>
      <c r="C102" s="91"/>
      <c r="D102" s="91"/>
      <c r="E102" s="91"/>
      <c r="F102" s="91"/>
      <c r="G102" s="91"/>
      <c r="H102" s="91"/>
      <c r="I102" s="91"/>
      <c r="J102" s="91"/>
      <c r="K102" s="91"/>
      <c r="L102" s="91"/>
      <c r="M102" s="91"/>
      <c r="N102" s="91"/>
      <c r="O102" s="91"/>
      <c r="P102" s="91"/>
      <c r="Q102" s="113"/>
      <c r="T102" s="130"/>
      <c r="X102" s="130"/>
    </row>
    <row r="103" spans="1:25" x14ac:dyDescent="0.2">
      <c r="A103" s="77" t="s">
        <v>1475</v>
      </c>
      <c r="B103" s="91" t="s">
        <v>1476</v>
      </c>
      <c r="C103" s="76" t="str">
        <f t="shared" ref="C103:L103" si="67">IFERROR(IF(-C60/AVERAGE(B95:C95)&lt;0,"n/a",-C60/AVERAGE(B95:C95)),"n/a ")</f>
        <v xml:space="preserve">n/a </v>
      </c>
      <c r="D103" s="76" t="str">
        <f t="shared" si="67"/>
        <v xml:space="preserve">n/a </v>
      </c>
      <c r="E103" s="76" t="str">
        <f t="shared" si="67"/>
        <v xml:space="preserve">n/a </v>
      </c>
      <c r="F103" s="76" t="str">
        <f t="shared" si="67"/>
        <v xml:space="preserve">n/a </v>
      </c>
      <c r="G103" s="76" t="str">
        <f t="shared" si="67"/>
        <v xml:space="preserve">n/a </v>
      </c>
      <c r="H103" s="76">
        <f t="shared" si="67"/>
        <v>2.3579632076430532E-2</v>
      </c>
      <c r="I103" s="76">
        <f t="shared" si="67"/>
        <v>4.9501130036932919E-2</v>
      </c>
      <c r="J103" s="76">
        <f t="shared" si="67"/>
        <v>1.3361838588989847E-4</v>
      </c>
      <c r="K103" s="76" t="str">
        <f t="shared" si="67"/>
        <v>n/a</v>
      </c>
      <c r="L103" s="76" t="str">
        <f t="shared" si="67"/>
        <v>n/a</v>
      </c>
      <c r="M103" s="76" t="str">
        <f ca="1">IFERROR(IF(-L60/AVERAGE(S95,M95)&lt;0,"n/a",-L60/AVERAGE(S95,M95)),"n/a ")</f>
        <v>n/a</v>
      </c>
      <c r="N103" s="91"/>
      <c r="O103" s="91"/>
      <c r="P103" s="76"/>
      <c r="Q103" s="113"/>
    </row>
    <row r="104" spans="1:25" x14ac:dyDescent="0.2">
      <c r="A104" s="77" t="s">
        <v>1477</v>
      </c>
      <c r="B104" s="76">
        <f>IFERROR(_xll.ciqfunctions.udf.CIQ($B$1, "IQ_EFFECT_TAX_RATE",B$41,,,,$B$2)/100,"n/a ")</f>
        <v>0.23233200000000001</v>
      </c>
      <c r="C104" s="76">
        <f>IFERROR(_xll.ciqfunctions.udf.CIQ($B$1, "IQ_EFFECT_TAX_RATE",C$41,,,,$B$2)/100,"n/a ")</f>
        <v>0.21771299999999999</v>
      </c>
      <c r="D104" s="76">
        <f>IFERROR(_xll.ciqfunctions.udf.CIQ($B$1, "IQ_EFFECT_TAX_RATE",D$41,,,,$B$2)/100,"n/a ")</f>
        <v>0.21802700000000003</v>
      </c>
      <c r="E104" s="76">
        <f>IFERROR(_xll.ciqfunctions.udf.CIQ($B$1, "IQ_EFFECT_TAX_RATE",E$41,,,,$B$2)/100,"n/a ")</f>
        <v>0.20268699999999998</v>
      </c>
      <c r="F104" s="76">
        <f>IFERROR(_xll.ciqfunctions.udf.CIQ($B$1, "IQ_EFFECT_TAX_RATE",F$41,,,,$B$2)/100,"n/a ")</f>
        <v>0.19273800000000002</v>
      </c>
      <c r="G104" s="76">
        <f>IFERROR(_xll.ciqfunctions.udf.CIQ($B$1, "IQ_EFFECT_TAX_RATE",G$41,,,,$B$2)/100,"n/a ")</f>
        <v>0.19285699999999997</v>
      </c>
      <c r="H104" s="76">
        <f>IFERROR(_xll.ciqfunctions.udf.CIQ($B$1, "IQ_EFFECT_TAX_RATE",H$41,,,,$B$2)/100,"n/a ")</f>
        <v>0.19177</v>
      </c>
      <c r="I104" s="76">
        <f>IFERROR(_xll.ciqfunctions.udf.CIQ($B$1, "IQ_EFFECT_TAX_RATE",I$41,,,,$B$2)/100,"n/a ")</f>
        <v>0.191498</v>
      </c>
      <c r="J104" s="76">
        <f>IFERROR(_xll.ciqfunctions.udf.CIQ($B$1, "IQ_EFFECT_TAX_RATE",J$41,,,,$B$2)/100,"n/a ")</f>
        <v>0.189057</v>
      </c>
      <c r="K104" s="76">
        <f>IFERROR(_xll.ciqfunctions.udf.CIQ($B$1, "IQ_EFFECT_TAX_RATE",K$41,,,,$B$2)/100,"n/a ")</f>
        <v>0.21030699999999999</v>
      </c>
      <c r="L104" s="76">
        <f>IFERROR(_xll.ciqfunctions.udf.CIQ($B$1, "IQ_EFFECT_TAX_RATE",L$41,,,,$B$2)/100,"n/a ")</f>
        <v>0.25316899999999998</v>
      </c>
      <c r="M104" s="76">
        <f>IFERROR(_xll.ciqfunctions.udf.CIQ($B$1, "IQ_EFFECT_TAX_RATE",M$41,,,,$B$2)/100,"n/a ")</f>
        <v>0.25321300000000002</v>
      </c>
      <c r="N104" s="91"/>
      <c r="O104" s="76">
        <f>IF(O50="n/a","n/a",IFERROR(_xll.ciqfunctions.udf.CIQ($B$1,"IQ_EFFECTIVE_TAX_EST",O$41,,,,$B$2)/100,"n/a "))</f>
        <v>0.25024999999999997</v>
      </c>
      <c r="P104" s="76">
        <f>IF(P50="n/a","n/a",IFERROR(_xll.ciqfunctions.udf.CIQ($B$1,"IQ_EFFECTIVE_TAX_EST",P$41,,,,$B$2)/100,"n/a "))</f>
        <v>0.2495</v>
      </c>
      <c r="Q104" s="133">
        <f>IF(Q50="n/a","n/a",IFERROR(_xll.ciqfunctions.udf.CIQ($B$1,"IQ_EFFECTIVE_TAX_EST",Q$41,,,,$B$2)/100,"n/a "))</f>
        <v>0.2495</v>
      </c>
      <c r="S104" s="76">
        <f ca="1">IFERROR(_xll.ciqfunctions.udf.CIQ($B$1, "IQ_EFFECT_TAX_RATE",S$41,$S$40,,,$B$2)/100,"n/a ")</f>
        <v>0.22948199999999999</v>
      </c>
    </row>
    <row r="105" spans="1:25" x14ac:dyDescent="0.2">
      <c r="A105" s="77" t="s">
        <v>1478</v>
      </c>
      <c r="B105" s="76">
        <f t="shared" ref="B105:M105" si="68">+IFERROR(-B81/B43,"n/a ")</f>
        <v>3.6093716880250871E-3</v>
      </c>
      <c r="C105" s="76">
        <f t="shared" si="68"/>
        <v>3.7192744646727645E-3</v>
      </c>
      <c r="D105" s="76">
        <f t="shared" si="68"/>
        <v>1.7699088720028674E-3</v>
      </c>
      <c r="E105" s="76">
        <f t="shared" si="68"/>
        <v>1.1351542248157927E-3</v>
      </c>
      <c r="F105" s="76">
        <f t="shared" si="68"/>
        <v>1.210474556201142E-3</v>
      </c>
      <c r="G105" s="76">
        <f t="shared" si="68"/>
        <v>2.1858165910335144E-3</v>
      </c>
      <c r="H105" s="76">
        <f t="shared" si="68"/>
        <v>7.115224110063159E-3</v>
      </c>
      <c r="I105" s="76">
        <f t="shared" si="68"/>
        <v>2.8888500591162034E-3</v>
      </c>
      <c r="J105" s="76">
        <f t="shared" si="68"/>
        <v>1.7533345826228773E-3</v>
      </c>
      <c r="K105" s="76">
        <f t="shared" si="68"/>
        <v>2.5819547345985994E-3</v>
      </c>
      <c r="L105" s="76">
        <f t="shared" si="68"/>
        <v>1.1582815049972315E-3</v>
      </c>
      <c r="M105" s="76">
        <f t="shared" si="68"/>
        <v>5.1187966169259358E-3</v>
      </c>
      <c r="N105" s="91"/>
      <c r="O105" s="76">
        <f>+IFERROR(-O81/O43,"n/a ")</f>
        <v>1.1099276423455316E-2</v>
      </c>
      <c r="P105" s="76">
        <f>+IFERROR(-P81/P43,"n/a ")</f>
        <v>7.4099618141915099E-3</v>
      </c>
      <c r="Q105" s="133">
        <f>+IFERROR(-Q81/Q43,"n/a ")</f>
        <v>6.4309626180909969E-3</v>
      </c>
      <c r="S105" s="76">
        <f ca="1">+IFERROR(-S81/S43,"n/a ")</f>
        <v>2.3126503249305619E-3</v>
      </c>
    </row>
    <row r="106" spans="1:25" x14ac:dyDescent="0.2">
      <c r="A106" s="77"/>
      <c r="B106" s="76"/>
      <c r="C106" s="76"/>
      <c r="D106" s="76"/>
      <c r="E106" s="76"/>
      <c r="F106" s="76"/>
      <c r="G106" s="76"/>
      <c r="H106" s="76"/>
      <c r="I106" s="76"/>
      <c r="J106" s="76"/>
      <c r="K106" s="76"/>
      <c r="L106" s="76"/>
      <c r="M106" s="76"/>
      <c r="N106" s="91"/>
      <c r="O106" s="91"/>
      <c r="P106" s="91"/>
      <c r="Q106" s="113"/>
    </row>
    <row r="107" spans="1:25" x14ac:dyDescent="0.2">
      <c r="A107" s="77" t="s">
        <v>1479</v>
      </c>
      <c r="B107" s="54">
        <f>_xll.ciqfunctions.udf.CIQ($B$1, "IQ_CASH_OPER",B$41,,,,$B$2)</f>
        <v>35.673000000000002</v>
      </c>
      <c r="C107" s="54">
        <f>_xll.ciqfunctions.udf.CIQ($B$1, "IQ_CASH_OPER",C$41,,,,$B$2)</f>
        <v>47.411000000000001</v>
      </c>
      <c r="D107" s="54">
        <f>_xll.ciqfunctions.udf.CIQ($B$1, "IQ_CASH_OPER",D$41,,,,$B$2)</f>
        <v>29.925000000000001</v>
      </c>
      <c r="E107" s="54">
        <f>_xll.ciqfunctions.udf.CIQ($B$1, "IQ_CASH_OPER",E$41,,,,$B$2)</f>
        <v>40.970999999999997</v>
      </c>
      <c r="F107" s="54">
        <f>_xll.ciqfunctions.udf.CIQ($B$1, "IQ_CASH_OPER",F$41,,,,$B$2)</f>
        <v>57.051000000000002</v>
      </c>
      <c r="G107" s="54">
        <f>_xll.ciqfunctions.udf.CIQ($B$1, "IQ_CASH_OPER",G$41,,,,$B$2)</f>
        <v>64.659000000000006</v>
      </c>
      <c r="H107" s="54">
        <f>_xll.ciqfunctions.udf.CIQ($B$1, "IQ_CASH_OPER",H$41,,,,$B$2)</f>
        <v>64.17</v>
      </c>
      <c r="I107" s="54">
        <f>_xll.ciqfunctions.udf.CIQ($B$1, "IQ_CASH_OPER",I$41,,,,$B$2)</f>
        <v>91.251999999999995</v>
      </c>
      <c r="J107" s="54">
        <f>_xll.ciqfunctions.udf.CIQ($B$1, "IQ_CASH_OPER",J$41,,,,$B$2)</f>
        <v>83.644000000000005</v>
      </c>
      <c r="K107" s="54">
        <f>_xll.ciqfunctions.udf.CIQ($B$1, "IQ_CASH_OPER",K$41,,,,$B$2)</f>
        <v>104.80200000000001</v>
      </c>
      <c r="L107" s="54">
        <f>_xll.ciqfunctions.udf.CIQ($B$1, "IQ_CASH_OPER",L$41,,,,$B$2)</f>
        <v>115.608</v>
      </c>
      <c r="M107" s="54">
        <f>_xll.ciqfunctions.udf.CIQ($B$1, "IQ_CASH_OPER",M$41,,,,$B$2)</f>
        <v>129.739</v>
      </c>
      <c r="N107" s="91"/>
      <c r="O107" s="91"/>
      <c r="P107" s="91"/>
      <c r="Q107" s="113"/>
      <c r="S107" s="54">
        <f ca="1">_xll.ciqfunctions.udf.CIQ($B$1, "IQ_CASH_OPER",S$41,$S$40,,,$B$2)</f>
        <v>94.882000000000005</v>
      </c>
    </row>
    <row r="108" spans="1:25" x14ac:dyDescent="0.2">
      <c r="A108" s="77" t="s">
        <v>1480</v>
      </c>
      <c r="B108" s="54" t="str">
        <f>_xll.ciqfunctions.udf.CIQ($B$1, "IQ_GW_INTAN_AMORT_CF",B$41,,,,$B$2)</f>
        <v>NA</v>
      </c>
      <c r="C108" s="54" t="str">
        <f>_xll.ciqfunctions.udf.CIQ($B$1, "IQ_GW_INTAN_AMORT_CF",C$41,,,,$B$2)</f>
        <v>NA</v>
      </c>
      <c r="D108" s="54" t="str">
        <f>_xll.ciqfunctions.udf.CIQ($B$1, "IQ_GW_INTAN_AMORT_CF",D$41,,,,$B$2)</f>
        <v>NA</v>
      </c>
      <c r="E108" s="54" t="str">
        <f>_xll.ciqfunctions.udf.CIQ($B$1, "IQ_GW_INTAN_AMORT_CF",E$41,,,,$B$2)</f>
        <v>NA</v>
      </c>
      <c r="F108" s="54" t="str">
        <f>_xll.ciqfunctions.udf.CIQ($B$1, "IQ_GW_INTAN_AMORT_CF",F$41,,,,$B$2)</f>
        <v>NA</v>
      </c>
      <c r="G108" s="54" t="str">
        <f>_xll.ciqfunctions.udf.CIQ($B$1, "IQ_GW_INTAN_AMORT_CF",G$41,,,,$B$2)</f>
        <v>NA</v>
      </c>
      <c r="H108" s="54" t="str">
        <f>_xll.ciqfunctions.udf.CIQ($B$1, "IQ_GW_INTAN_AMORT_CF",H$41,,,,$B$2)</f>
        <v>NA</v>
      </c>
      <c r="I108" s="54" t="str">
        <f>_xll.ciqfunctions.udf.CIQ($B$1, "IQ_GW_INTAN_AMORT_CF",I$41,,,,$B$2)</f>
        <v>NA</v>
      </c>
      <c r="J108" s="54" t="str">
        <f>_xll.ciqfunctions.udf.CIQ($B$1, "IQ_GW_INTAN_AMORT_CF",J$41,,,,$B$2)</f>
        <v>NA</v>
      </c>
      <c r="K108" s="54" t="str">
        <f>_xll.ciqfunctions.udf.CIQ($B$1, "IQ_GW_INTAN_AMORT_CF",K$41,,,,$B$2)</f>
        <v>NA</v>
      </c>
      <c r="L108" s="54" t="str">
        <f>_xll.ciqfunctions.udf.CIQ($B$1, "IQ_GW_INTAN_AMORT_CF",L$41,,,,$B$2)</f>
        <v>NA</v>
      </c>
      <c r="M108" s="54" t="str">
        <f>_xll.ciqfunctions.udf.CIQ($B$1, "IQ_GW_INTAN_AMORT_CF",M$41,,,,$B$2)</f>
        <v>NA</v>
      </c>
      <c r="N108" s="91"/>
      <c r="O108" s="91"/>
      <c r="P108" s="91"/>
      <c r="Q108" s="113"/>
      <c r="S108" s="54"/>
    </row>
    <row r="109" spans="1:25" x14ac:dyDescent="0.2">
      <c r="A109" s="77" t="s">
        <v>170</v>
      </c>
      <c r="B109" s="54">
        <f>_xll.ciqfunctions.udf.CIQ($B$1, "IQ_CASH_TAXES",B$41,,,,$B$2)</f>
        <v>10.345000000000001</v>
      </c>
      <c r="C109" s="54">
        <f>_xll.ciqfunctions.udf.CIQ($B$1, "IQ_CASH_TAXES",C$41,,,,$B$2)</f>
        <v>7.319</v>
      </c>
      <c r="D109" s="54">
        <f>_xll.ciqfunctions.udf.CIQ($B$1, "IQ_CASH_TAXES",D$41,,,,$B$2)</f>
        <v>7.8559999999999999</v>
      </c>
      <c r="E109" s="54">
        <f>_xll.ciqfunctions.udf.CIQ($B$1, "IQ_CASH_TAXES",E$41,,,,$B$2)</f>
        <v>9.2539999999999996</v>
      </c>
      <c r="F109" s="54">
        <f>_xll.ciqfunctions.udf.CIQ($B$1, "IQ_CASH_TAXES",F$41,,,,$B$2)</f>
        <v>10.5</v>
      </c>
      <c r="G109" s="54">
        <f>_xll.ciqfunctions.udf.CIQ($B$1, "IQ_CASH_TAXES",G$41,,,,$B$2)</f>
        <v>15.545999999999999</v>
      </c>
      <c r="H109" s="54">
        <f>_xll.ciqfunctions.udf.CIQ($B$1, "IQ_CASH_TAXES",H$41,,,,$B$2)</f>
        <v>27.117000000000001</v>
      </c>
      <c r="I109" s="54">
        <f>_xll.ciqfunctions.udf.CIQ($B$1, "IQ_CASH_TAXES",I$41,,,,$B$2)</f>
        <v>22.545000000000002</v>
      </c>
      <c r="J109" s="54">
        <f>_xll.ciqfunctions.udf.CIQ($B$1, "IQ_CASH_TAXES",J$41,,,,$B$2)</f>
        <v>25.344000000000001</v>
      </c>
      <c r="K109" s="54">
        <f>_xll.ciqfunctions.udf.CIQ($B$1, "IQ_CASH_TAXES",K$41,,,,$B$2)</f>
        <v>29.792999999999999</v>
      </c>
      <c r="L109" s="54">
        <f>_xll.ciqfunctions.udf.CIQ($B$1, "IQ_CASH_TAXES",L$41,,,,$B$2)</f>
        <v>39.225999999999999</v>
      </c>
      <c r="M109" s="54">
        <f>_xll.ciqfunctions.udf.CIQ($B$1, "IQ_CASH_TAXES",M$41,,,,$B$2)</f>
        <v>44.424999999999997</v>
      </c>
      <c r="N109" s="91"/>
      <c r="O109" s="54">
        <f>+IFERROR(MAX(O104*IFERROR((O61+O77),O61),0),"n/a")</f>
        <v>42.234961127803864</v>
      </c>
      <c r="P109" s="54">
        <f>+IFERROR(MAX(P104*IFERROR((P61+P77),P61),0),"n/a")</f>
        <v>46.607063812654786</v>
      </c>
      <c r="Q109" s="115">
        <f>+IFERROR(MAX(Q104*IFERROR((Q61+Q77),Q61),0),"n/a")</f>
        <v>51.906801275504684</v>
      </c>
      <c r="S109" s="54">
        <f ca="1">_xll.ciqfunctions.udf.CIQ($B$1, "IQ_CASH_TAXES",S$41,$S$40,,,$B$2)</f>
        <v>34.274999999999999</v>
      </c>
    </row>
    <row r="110" spans="1:25" x14ac:dyDescent="0.2">
      <c r="A110" s="77" t="s">
        <v>795</v>
      </c>
      <c r="B110" s="54" t="str">
        <f>_xll.ciqfunctions.udf.CIQ($B$1, "IQ_CASH_ACQUIRE_CF",B$41,,,,$B$2)</f>
        <v>NA</v>
      </c>
      <c r="C110" s="54" t="str">
        <f>_xll.ciqfunctions.udf.CIQ($B$1, "IQ_CASH_ACQUIRE_CF",C$41,,,,$B$2)</f>
        <v>NA</v>
      </c>
      <c r="D110" s="54" t="str">
        <f>_xll.ciqfunctions.udf.CIQ($B$1, "IQ_CASH_ACQUIRE_CF",D$41,,,,$B$2)</f>
        <v>NA</v>
      </c>
      <c r="E110" s="54" t="str">
        <f>_xll.ciqfunctions.udf.CIQ($B$1, "IQ_CASH_ACQUIRE_CF",E$41,,,,$B$2)</f>
        <v>NA</v>
      </c>
      <c r="F110" s="54" t="str">
        <f>_xll.ciqfunctions.udf.CIQ($B$1, "IQ_CASH_ACQUIRE_CF",F$41,,,,$B$2)</f>
        <v>NA</v>
      </c>
      <c r="G110" s="54" t="str">
        <f>_xll.ciqfunctions.udf.CIQ($B$1, "IQ_CASH_ACQUIRE_CF",G$41,,,,$B$2)</f>
        <v>NA</v>
      </c>
      <c r="H110" s="54" t="str">
        <f>_xll.ciqfunctions.udf.CIQ($B$1, "IQ_CASH_ACQUIRE_CF",H$41,,,,$B$2)</f>
        <v>NA</v>
      </c>
      <c r="I110" s="54" t="str">
        <f>_xll.ciqfunctions.udf.CIQ($B$1, "IQ_CASH_ACQUIRE_CF",I$41,,,,$B$2)</f>
        <v>NA</v>
      </c>
      <c r="J110" s="54" t="str">
        <f>_xll.ciqfunctions.udf.CIQ($B$1, "IQ_CASH_ACQUIRE_CF",J$41,,,,$B$2)</f>
        <v>NA</v>
      </c>
      <c r="K110" s="54" t="str">
        <f>_xll.ciqfunctions.udf.CIQ($B$1, "IQ_CASH_ACQUIRE_CF",K$41,,,,$B$2)</f>
        <v>NA</v>
      </c>
      <c r="L110" s="54" t="str">
        <f>_xll.ciqfunctions.udf.CIQ($B$1, "IQ_CASH_ACQUIRE_CF",L$41,,,,$B$2)</f>
        <v>NA</v>
      </c>
      <c r="M110" s="54" t="str">
        <f>_xll.ciqfunctions.udf.CIQ($B$1, "IQ_CASH_ACQUIRE_CF",M$41,,,,$B$2)</f>
        <v>NA</v>
      </c>
      <c r="N110" s="91"/>
      <c r="O110" s="91"/>
      <c r="P110" s="91"/>
      <c r="Q110" s="113"/>
      <c r="S110" s="54" t="str">
        <f ca="1">_xll.ciqfunctions.udf.CIQ($B$1, "IQ_CASH_ACQUIRE_CF",S$41,$S$40,,,$B$2)</f>
        <v>NA</v>
      </c>
    </row>
    <row r="111" spans="1:25" x14ac:dyDescent="0.2">
      <c r="A111" s="77" t="s">
        <v>1481</v>
      </c>
      <c r="B111" s="54" t="str">
        <f>_xll.ciqfunctions.udf.CIQ($B$1, "IQ_COMMON_REP",B$41,,,,$B$2)</f>
        <v>NA</v>
      </c>
      <c r="C111" s="54">
        <f>_xll.ciqfunctions.udf.CIQ($B$1, "IQ_COMMON_REP",C$41,,,,$B$2)</f>
        <v>-2.5249999999999999</v>
      </c>
      <c r="D111" s="54" t="str">
        <f>_xll.ciqfunctions.udf.CIQ($B$1, "IQ_COMMON_REP",D$41,,,,$B$2)</f>
        <v>NA</v>
      </c>
      <c r="E111" s="54" t="str">
        <f>_xll.ciqfunctions.udf.CIQ($B$1, "IQ_COMMON_REP",E$41,,,,$B$2)</f>
        <v>NA</v>
      </c>
      <c r="F111" s="54" t="str">
        <f>_xll.ciqfunctions.udf.CIQ($B$1, "IQ_COMMON_REP",F$41,,,,$B$2)</f>
        <v>NA</v>
      </c>
      <c r="G111" s="54" t="str">
        <f>_xll.ciqfunctions.udf.CIQ($B$1, "IQ_COMMON_REP",G$41,,,,$B$2)</f>
        <v>NA</v>
      </c>
      <c r="H111" s="54" t="str">
        <f>_xll.ciqfunctions.udf.CIQ($B$1, "IQ_COMMON_REP",H$41,,,,$B$2)</f>
        <v>NA</v>
      </c>
      <c r="I111" s="54" t="str">
        <f>_xll.ciqfunctions.udf.CIQ($B$1, "IQ_COMMON_REP",I$41,,,,$B$2)</f>
        <v>NA</v>
      </c>
      <c r="J111" s="54" t="str">
        <f>_xll.ciqfunctions.udf.CIQ($B$1, "IQ_COMMON_REP",J$41,,,,$B$2)</f>
        <v>NA</v>
      </c>
      <c r="K111" s="54" t="str">
        <f>_xll.ciqfunctions.udf.CIQ($B$1, "IQ_COMMON_REP",K$41,,,,$B$2)</f>
        <v>NA</v>
      </c>
      <c r="L111" s="54" t="str">
        <f>_xll.ciqfunctions.udf.CIQ($B$1, "IQ_COMMON_REP",L$41,,,,$B$2)</f>
        <v>NA</v>
      </c>
      <c r="M111" s="54" t="str">
        <f>_xll.ciqfunctions.udf.CIQ($B$1, "IQ_COMMON_REP",M$41,,,,$B$2)</f>
        <v>NA</v>
      </c>
      <c r="N111" s="91"/>
      <c r="O111" s="91"/>
      <c r="P111" s="91"/>
      <c r="Q111" s="113"/>
      <c r="S111" s="54" t="str">
        <f ca="1">_xll.ciqfunctions.udf.CIQ($B$1, "IQ_COMMON_REP",S$41,$S$40,,,$B$2)</f>
        <v>NA</v>
      </c>
    </row>
    <row r="112" spans="1:25" x14ac:dyDescent="0.2">
      <c r="A112" s="77" t="s">
        <v>1482</v>
      </c>
      <c r="B112" s="54">
        <f>+_xll.ciqfunctions.udf.CIQ($B$1,"IQ_COMMON_DIV_CF",B$41,,,,$B$2)</f>
        <v>-4.766</v>
      </c>
      <c r="C112" s="54">
        <f>+_xll.ciqfunctions.udf.CIQ($B$1,"IQ_COMMON_DIV_CF",C$41,,,,$B$2)</f>
        <v>-7.3109999999999999</v>
      </c>
      <c r="D112" s="54">
        <f>+_xll.ciqfunctions.udf.CIQ($B$1,"IQ_COMMON_DIV_CF",D$41,,,,$B$2)</f>
        <v>-43.453000000000003</v>
      </c>
      <c r="E112" s="54">
        <f>+_xll.ciqfunctions.udf.CIQ($B$1,"IQ_COMMON_DIV_CF",E$41,,,,$B$2)</f>
        <v>-12.843999999999999</v>
      </c>
      <c r="F112" s="54">
        <f>+_xll.ciqfunctions.udf.CIQ($B$1,"IQ_COMMON_DIV_CF",F$41,,,,$B$2)</f>
        <v>-18.594999999999999</v>
      </c>
      <c r="G112" s="54">
        <f>+_xll.ciqfunctions.udf.CIQ($B$1,"IQ_COMMON_DIV_CF",G$41,,,,$B$2)</f>
        <v>-26.34</v>
      </c>
      <c r="H112" s="54">
        <f>+_xll.ciqfunctions.udf.CIQ($B$1,"IQ_COMMON_DIV_CF",H$41,,,,$B$2)</f>
        <v>-20.617999999999999</v>
      </c>
      <c r="I112" s="54">
        <f>+_xll.ciqfunctions.udf.CIQ($B$1,"IQ_COMMON_DIV_CF",I$41,,,,$B$2)</f>
        <v>-45.715000000000003</v>
      </c>
      <c r="J112" s="54">
        <f>+_xll.ciqfunctions.udf.CIQ($B$1,"IQ_COMMON_DIV_CF",J$41,,,,$B$2)</f>
        <v>-43.213999999999999</v>
      </c>
      <c r="K112" s="54">
        <f>+_xll.ciqfunctions.udf.CIQ($B$1,"IQ_COMMON_DIV_CF",K$41,,,,$B$2)</f>
        <v>-49.052999999999997</v>
      </c>
      <c r="L112" s="54">
        <f>+_xll.ciqfunctions.udf.CIQ($B$1,"IQ_COMMON_DIV_CF",L$41,,,,$B$2)</f>
        <v>-50.935000000000002</v>
      </c>
      <c r="M112" s="54">
        <f>+_xll.ciqfunctions.udf.CIQ($B$1,"IQ_COMMON_DIV_CF",M$41,,,,$B$2)</f>
        <v>-53.137999999999998</v>
      </c>
      <c r="N112" s="91"/>
      <c r="O112" s="91"/>
      <c r="P112" s="91"/>
      <c r="Q112" s="113"/>
      <c r="S112" s="54">
        <f ca="1">+_xll.ciqfunctions.udf.CIQ($B$1,"IQ_COMMON_DIV_CF",S$41,$S$40,,,$B$2)</f>
        <v>-49.911000000000001</v>
      </c>
    </row>
    <row r="113" spans="1:19" ht="10.5" thickBot="1" x14ac:dyDescent="0.25">
      <c r="A113" s="134" t="s">
        <v>1483</v>
      </c>
      <c r="B113" s="62" t="str">
        <f>+_xll.ciqfunctions.udf.CIQ($B$1,"IQ_SPECIAL_DIV_CF",B$41,,,,$B$2)</f>
        <v>NA</v>
      </c>
      <c r="C113" s="62" t="str">
        <f>+_xll.ciqfunctions.udf.CIQ($B$1,"IQ_SPECIAL_DIV_CF",C$41,,,,$B$2)</f>
        <v>NA</v>
      </c>
      <c r="D113" s="62" t="str">
        <f>+_xll.ciqfunctions.udf.CIQ($B$1,"IQ_SPECIAL_DIV_CF",D$41,,,,$B$2)</f>
        <v>NA</v>
      </c>
      <c r="E113" s="62">
        <f>+_xll.ciqfunctions.udf.CIQ($B$1,"IQ_SPECIAL_DIV_CF",E$41,,,,$B$2)</f>
        <v>-28.06</v>
      </c>
      <c r="F113" s="62">
        <f>+_xll.ciqfunctions.udf.CIQ($B$1,"IQ_SPECIAL_DIV_CF",F$41,,,,$B$2)</f>
        <v>-26.725999999999999</v>
      </c>
      <c r="G113" s="62">
        <f>+_xll.ciqfunctions.udf.CIQ($B$1,"IQ_SPECIAL_DIV_CF",G$41,,,,$B$2)</f>
        <v>-29.890999999999998</v>
      </c>
      <c r="H113" s="62">
        <f>+_xll.ciqfunctions.udf.CIQ($B$1,"IQ_SPECIAL_DIV_CF",H$41,,,,$B$2)</f>
        <v>-31.72</v>
      </c>
      <c r="I113" s="62">
        <f>+_xll.ciqfunctions.udf.CIQ($B$1,"IQ_SPECIAL_DIV_CF",I$41,,,,$B$2)</f>
        <v>-15.1</v>
      </c>
      <c r="J113" s="62">
        <f>+_xll.ciqfunctions.udf.CIQ($B$1,"IQ_SPECIAL_DIV_CF",J$41,,,,$B$2)</f>
        <v>-40.805999999999997</v>
      </c>
      <c r="K113" s="62">
        <f>+_xll.ciqfunctions.udf.CIQ($B$1,"IQ_SPECIAL_DIV_CF",K$41,,,,$B$2)</f>
        <v>-25.122</v>
      </c>
      <c r="L113" s="62">
        <f>+_xll.ciqfunctions.udf.CIQ($B$1,"IQ_SPECIAL_DIV_CF",L$41,,,,$B$2)</f>
        <v>-25.113</v>
      </c>
      <c r="M113" s="62">
        <f>+_xll.ciqfunctions.udf.CIQ($B$1,"IQ_SPECIAL_DIV_CF",M$41,,,,$B$2)</f>
        <v>-41.747999999999998</v>
      </c>
      <c r="N113" s="135"/>
      <c r="O113" s="135"/>
      <c r="P113" s="135"/>
      <c r="Q113" s="136"/>
      <c r="S113" s="54">
        <f ca="1">+_xll.ciqfunctions.udf.CIQ($B$1,"IQ_SPECIAL_DIV_CF",S$41,$S$40,,,$B$2)</f>
        <v>-25.113</v>
      </c>
    </row>
  </sheetData>
  <mergeCells count="2">
    <mergeCell ref="A6:Q16"/>
    <mergeCell ref="O39:Q39"/>
  </mergeCells>
  <hyperlinks>
    <hyperlink ref="V1" r:id="rId1" xr:uid="{00000000-0004-0000-0700-000000000000}"/>
  </hyperlinks>
  <printOptions horizontalCentered="1"/>
  <pageMargins left="0.3" right="0.3" top="0.3" bottom="0.3" header="0.3" footer="0.3"/>
  <pageSetup scale="55" orientation="portrait" horizontalDpi="4294967292" r:id="rId2"/>
  <colBreaks count="1" manualBreakCount="1">
    <brk id="25" max="1048575" man="1"/>
  </colBreaks>
  <drawing r:id="rId3"/>
  <legacyDrawing r:id="rId4"/>
  <mc:AlternateContent xmlns:mc="http://schemas.openxmlformats.org/markup-compatibility/2006">
    <mc:Choice Requires="x14">
      <controls>
        <mc:AlternateContent xmlns:mc="http://schemas.openxmlformats.org/markup-compatibility/2006">
          <mc:Choice Requires="x14">
            <control shapeId="2049" r:id="rId5" name="Button 1">
              <controlPr defaultSize="0" print="0" autoFill="0" autoPict="0" macro="[1]!IterateValues">
                <anchor moveWithCells="1" sizeWithCells="1">
                  <from>
                    <xdr:col>12</xdr:col>
                    <xdr:colOff>0</xdr:colOff>
                    <xdr:row>0</xdr:row>
                    <xdr:rowOff>19050</xdr:rowOff>
                  </from>
                  <to>
                    <xdr:col>16</xdr:col>
                    <xdr:colOff>603250</xdr:colOff>
                    <xdr:row>1</xdr:row>
                    <xdr:rowOff>114300</xdr:rowOff>
                  </to>
                </anchor>
              </controlPr>
            </control>
          </mc:Choice>
        </mc:AlternateContent>
      </controls>
    </mc:Choice>
  </mc:AlternateConten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5:IV388"/>
  <sheetViews>
    <sheetView zoomScale="75" zoomScaleNormal="75" workbookViewId="0">
      <pane xSplit="1" ySplit="16" topLeftCell="J182" activePane="bottomRight" state="frozen"/>
      <selection pane="topRight" activeCell="B1" sqref="B1"/>
      <selection pane="bottomLeft" activeCell="A17" sqref="A17"/>
      <selection pane="bottomRight" activeCell="W216" sqref="W216"/>
    </sheetView>
  </sheetViews>
  <sheetFormatPr defaultRowHeight="10" x14ac:dyDescent="0.2"/>
  <cols>
    <col min="1" max="1" width="45.81640625" style="2" customWidth="1"/>
    <col min="2" max="18" width="14.81640625" style="2" customWidth="1"/>
    <col min="19" max="19" width="9.1796875" style="2"/>
    <col min="20" max="20" width="45.81640625" style="2" customWidth="1"/>
    <col min="21" max="23" width="14.81640625" style="2" customWidth="1"/>
    <col min="24" max="257" width="9.1796875" style="2"/>
    <col min="258" max="258" width="45.81640625" style="2" customWidth="1"/>
    <col min="259" max="275" width="14.81640625" style="2" customWidth="1"/>
    <col min="276" max="513" width="9.1796875" style="2"/>
    <col min="514" max="514" width="45.81640625" style="2" customWidth="1"/>
    <col min="515" max="531" width="14.81640625" style="2" customWidth="1"/>
    <col min="532" max="769" width="9.1796875" style="2"/>
    <col min="770" max="770" width="45.81640625" style="2" customWidth="1"/>
    <col min="771" max="787" width="14.81640625" style="2" customWidth="1"/>
    <col min="788" max="1025" width="9.1796875" style="2"/>
    <col min="1026" max="1026" width="45.81640625" style="2" customWidth="1"/>
    <col min="1027" max="1043" width="14.81640625" style="2" customWidth="1"/>
    <col min="1044" max="1281" width="9.1796875" style="2"/>
    <col min="1282" max="1282" width="45.81640625" style="2" customWidth="1"/>
    <col min="1283" max="1299" width="14.81640625" style="2" customWidth="1"/>
    <col min="1300" max="1537" width="9.1796875" style="2"/>
    <col min="1538" max="1538" width="45.81640625" style="2" customWidth="1"/>
    <col min="1539" max="1555" width="14.81640625" style="2" customWidth="1"/>
    <col min="1556" max="1793" width="9.1796875" style="2"/>
    <col min="1794" max="1794" width="45.81640625" style="2" customWidth="1"/>
    <col min="1795" max="1811" width="14.81640625" style="2" customWidth="1"/>
    <col min="1812" max="2049" width="9.1796875" style="2"/>
    <col min="2050" max="2050" width="45.81640625" style="2" customWidth="1"/>
    <col min="2051" max="2067" width="14.81640625" style="2" customWidth="1"/>
    <col min="2068" max="2305" width="9.1796875" style="2"/>
    <col min="2306" max="2306" width="45.81640625" style="2" customWidth="1"/>
    <col min="2307" max="2323" width="14.81640625" style="2" customWidth="1"/>
    <col min="2324" max="2561" width="9.1796875" style="2"/>
    <col min="2562" max="2562" width="45.81640625" style="2" customWidth="1"/>
    <col min="2563" max="2579" width="14.81640625" style="2" customWidth="1"/>
    <col min="2580" max="2817" width="9.1796875" style="2"/>
    <col min="2818" max="2818" width="45.81640625" style="2" customWidth="1"/>
    <col min="2819" max="2835" width="14.81640625" style="2" customWidth="1"/>
    <col min="2836" max="3073" width="9.1796875" style="2"/>
    <col min="3074" max="3074" width="45.81640625" style="2" customWidth="1"/>
    <col min="3075" max="3091" width="14.81640625" style="2" customWidth="1"/>
    <col min="3092" max="3329" width="9.1796875" style="2"/>
    <col min="3330" max="3330" width="45.81640625" style="2" customWidth="1"/>
    <col min="3331" max="3347" width="14.81640625" style="2" customWidth="1"/>
    <col min="3348" max="3585" width="9.1796875" style="2"/>
    <col min="3586" max="3586" width="45.81640625" style="2" customWidth="1"/>
    <col min="3587" max="3603" width="14.81640625" style="2" customWidth="1"/>
    <col min="3604" max="3841" width="9.1796875" style="2"/>
    <col min="3842" max="3842" width="45.81640625" style="2" customWidth="1"/>
    <col min="3843" max="3859" width="14.81640625" style="2" customWidth="1"/>
    <col min="3860" max="4097" width="9.1796875" style="2"/>
    <col min="4098" max="4098" width="45.81640625" style="2" customWidth="1"/>
    <col min="4099" max="4115" width="14.81640625" style="2" customWidth="1"/>
    <col min="4116" max="4353" width="9.1796875" style="2"/>
    <col min="4354" max="4354" width="45.81640625" style="2" customWidth="1"/>
    <col min="4355" max="4371" width="14.81640625" style="2" customWidth="1"/>
    <col min="4372" max="4609" width="9.1796875" style="2"/>
    <col min="4610" max="4610" width="45.81640625" style="2" customWidth="1"/>
    <col min="4611" max="4627" width="14.81640625" style="2" customWidth="1"/>
    <col min="4628" max="4865" width="9.1796875" style="2"/>
    <col min="4866" max="4866" width="45.81640625" style="2" customWidth="1"/>
    <col min="4867" max="4883" width="14.81640625" style="2" customWidth="1"/>
    <col min="4884" max="5121" width="9.1796875" style="2"/>
    <col min="5122" max="5122" width="45.81640625" style="2" customWidth="1"/>
    <col min="5123" max="5139" width="14.81640625" style="2" customWidth="1"/>
    <col min="5140" max="5377" width="9.1796875" style="2"/>
    <col min="5378" max="5378" width="45.81640625" style="2" customWidth="1"/>
    <col min="5379" max="5395" width="14.81640625" style="2" customWidth="1"/>
    <col min="5396" max="5633" width="9.1796875" style="2"/>
    <col min="5634" max="5634" width="45.81640625" style="2" customWidth="1"/>
    <col min="5635" max="5651" width="14.81640625" style="2" customWidth="1"/>
    <col min="5652" max="5889" width="9.1796875" style="2"/>
    <col min="5890" max="5890" width="45.81640625" style="2" customWidth="1"/>
    <col min="5891" max="5907" width="14.81640625" style="2" customWidth="1"/>
    <col min="5908" max="6145" width="9.1796875" style="2"/>
    <col min="6146" max="6146" width="45.81640625" style="2" customWidth="1"/>
    <col min="6147" max="6163" width="14.81640625" style="2" customWidth="1"/>
    <col min="6164" max="6401" width="9.1796875" style="2"/>
    <col min="6402" max="6402" width="45.81640625" style="2" customWidth="1"/>
    <col min="6403" max="6419" width="14.81640625" style="2" customWidth="1"/>
    <col min="6420" max="6657" width="9.1796875" style="2"/>
    <col min="6658" max="6658" width="45.81640625" style="2" customWidth="1"/>
    <col min="6659" max="6675" width="14.81640625" style="2" customWidth="1"/>
    <col min="6676" max="6913" width="9.1796875" style="2"/>
    <col min="6914" max="6914" width="45.81640625" style="2" customWidth="1"/>
    <col min="6915" max="6931" width="14.81640625" style="2" customWidth="1"/>
    <col min="6932" max="7169" width="9.1796875" style="2"/>
    <col min="7170" max="7170" width="45.81640625" style="2" customWidth="1"/>
    <col min="7171" max="7187" width="14.81640625" style="2" customWidth="1"/>
    <col min="7188" max="7425" width="9.1796875" style="2"/>
    <col min="7426" max="7426" width="45.81640625" style="2" customWidth="1"/>
    <col min="7427" max="7443" width="14.81640625" style="2" customWidth="1"/>
    <col min="7444" max="7681" width="9.1796875" style="2"/>
    <col min="7682" max="7682" width="45.81640625" style="2" customWidth="1"/>
    <col min="7683" max="7699" width="14.81640625" style="2" customWidth="1"/>
    <col min="7700" max="7937" width="9.1796875" style="2"/>
    <col min="7938" max="7938" width="45.81640625" style="2" customWidth="1"/>
    <col min="7939" max="7955" width="14.81640625" style="2" customWidth="1"/>
    <col min="7956" max="8193" width="9.1796875" style="2"/>
    <col min="8194" max="8194" width="45.81640625" style="2" customWidth="1"/>
    <col min="8195" max="8211" width="14.81640625" style="2" customWidth="1"/>
    <col min="8212" max="8449" width="9.1796875" style="2"/>
    <col min="8450" max="8450" width="45.81640625" style="2" customWidth="1"/>
    <col min="8451" max="8467" width="14.81640625" style="2" customWidth="1"/>
    <col min="8468" max="8705" width="9.1796875" style="2"/>
    <col min="8706" max="8706" width="45.81640625" style="2" customWidth="1"/>
    <col min="8707" max="8723" width="14.81640625" style="2" customWidth="1"/>
    <col min="8724" max="8961" width="9.1796875" style="2"/>
    <col min="8962" max="8962" width="45.81640625" style="2" customWidth="1"/>
    <col min="8963" max="8979" width="14.81640625" style="2" customWidth="1"/>
    <col min="8980" max="9217" width="9.1796875" style="2"/>
    <col min="9218" max="9218" width="45.81640625" style="2" customWidth="1"/>
    <col min="9219" max="9235" width="14.81640625" style="2" customWidth="1"/>
    <col min="9236" max="9473" width="9.1796875" style="2"/>
    <col min="9474" max="9474" width="45.81640625" style="2" customWidth="1"/>
    <col min="9475" max="9491" width="14.81640625" style="2" customWidth="1"/>
    <col min="9492" max="9729" width="9.1796875" style="2"/>
    <col min="9730" max="9730" width="45.81640625" style="2" customWidth="1"/>
    <col min="9731" max="9747" width="14.81640625" style="2" customWidth="1"/>
    <col min="9748" max="9985" width="9.1796875" style="2"/>
    <col min="9986" max="9986" width="45.81640625" style="2" customWidth="1"/>
    <col min="9987" max="10003" width="14.81640625" style="2" customWidth="1"/>
    <col min="10004" max="10241" width="9.1796875" style="2"/>
    <col min="10242" max="10242" width="45.81640625" style="2" customWidth="1"/>
    <col min="10243" max="10259" width="14.81640625" style="2" customWidth="1"/>
    <col min="10260" max="10497" width="9.1796875" style="2"/>
    <col min="10498" max="10498" width="45.81640625" style="2" customWidth="1"/>
    <col min="10499" max="10515" width="14.81640625" style="2" customWidth="1"/>
    <col min="10516" max="10753" width="9.1796875" style="2"/>
    <col min="10754" max="10754" width="45.81640625" style="2" customWidth="1"/>
    <col min="10755" max="10771" width="14.81640625" style="2" customWidth="1"/>
    <col min="10772" max="11009" width="9.1796875" style="2"/>
    <col min="11010" max="11010" width="45.81640625" style="2" customWidth="1"/>
    <col min="11011" max="11027" width="14.81640625" style="2" customWidth="1"/>
    <col min="11028" max="11265" width="9.1796875" style="2"/>
    <col min="11266" max="11266" width="45.81640625" style="2" customWidth="1"/>
    <col min="11267" max="11283" width="14.81640625" style="2" customWidth="1"/>
    <col min="11284" max="11521" width="9.1796875" style="2"/>
    <col min="11522" max="11522" width="45.81640625" style="2" customWidth="1"/>
    <col min="11523" max="11539" width="14.81640625" style="2" customWidth="1"/>
    <col min="11540" max="11777" width="9.1796875" style="2"/>
    <col min="11778" max="11778" width="45.81640625" style="2" customWidth="1"/>
    <col min="11779" max="11795" width="14.81640625" style="2" customWidth="1"/>
    <col min="11796" max="12033" width="9.1796875" style="2"/>
    <col min="12034" max="12034" width="45.81640625" style="2" customWidth="1"/>
    <col min="12035" max="12051" width="14.81640625" style="2" customWidth="1"/>
    <col min="12052" max="12289" width="9.1796875" style="2"/>
    <col min="12290" max="12290" width="45.81640625" style="2" customWidth="1"/>
    <col min="12291" max="12307" width="14.81640625" style="2" customWidth="1"/>
    <col min="12308" max="12545" width="9.1796875" style="2"/>
    <col min="12546" max="12546" width="45.81640625" style="2" customWidth="1"/>
    <col min="12547" max="12563" width="14.81640625" style="2" customWidth="1"/>
    <col min="12564" max="12801" width="9.1796875" style="2"/>
    <col min="12802" max="12802" width="45.81640625" style="2" customWidth="1"/>
    <col min="12803" max="12819" width="14.81640625" style="2" customWidth="1"/>
    <col min="12820" max="13057" width="9.1796875" style="2"/>
    <col min="13058" max="13058" width="45.81640625" style="2" customWidth="1"/>
    <col min="13059" max="13075" width="14.81640625" style="2" customWidth="1"/>
    <col min="13076" max="13313" width="9.1796875" style="2"/>
    <col min="13314" max="13314" width="45.81640625" style="2" customWidth="1"/>
    <col min="13315" max="13331" width="14.81640625" style="2" customWidth="1"/>
    <col min="13332" max="13569" width="9.1796875" style="2"/>
    <col min="13570" max="13570" width="45.81640625" style="2" customWidth="1"/>
    <col min="13571" max="13587" width="14.81640625" style="2" customWidth="1"/>
    <col min="13588" max="13825" width="9.1796875" style="2"/>
    <col min="13826" max="13826" width="45.81640625" style="2" customWidth="1"/>
    <col min="13827" max="13843" width="14.81640625" style="2" customWidth="1"/>
    <col min="13844" max="14081" width="9.1796875" style="2"/>
    <col min="14082" max="14082" width="45.81640625" style="2" customWidth="1"/>
    <col min="14083" max="14099" width="14.81640625" style="2" customWidth="1"/>
    <col min="14100" max="14337" width="9.1796875" style="2"/>
    <col min="14338" max="14338" width="45.81640625" style="2" customWidth="1"/>
    <col min="14339" max="14355" width="14.81640625" style="2" customWidth="1"/>
    <col min="14356" max="14593" width="9.1796875" style="2"/>
    <col min="14594" max="14594" width="45.81640625" style="2" customWidth="1"/>
    <col min="14595" max="14611" width="14.81640625" style="2" customWidth="1"/>
    <col min="14612" max="14849" width="9.1796875" style="2"/>
    <col min="14850" max="14850" width="45.81640625" style="2" customWidth="1"/>
    <col min="14851" max="14867" width="14.81640625" style="2" customWidth="1"/>
    <col min="14868" max="15105" width="9.1796875" style="2"/>
    <col min="15106" max="15106" width="45.81640625" style="2" customWidth="1"/>
    <col min="15107" max="15123" width="14.81640625" style="2" customWidth="1"/>
    <col min="15124" max="15361" width="9.1796875" style="2"/>
    <col min="15362" max="15362" width="45.81640625" style="2" customWidth="1"/>
    <col min="15363" max="15379" width="14.81640625" style="2" customWidth="1"/>
    <col min="15380" max="15617" width="9.1796875" style="2"/>
    <col min="15618" max="15618" width="45.81640625" style="2" customWidth="1"/>
    <col min="15619" max="15635" width="14.81640625" style="2" customWidth="1"/>
    <col min="15636" max="15873" width="9.1796875" style="2"/>
    <col min="15874" max="15874" width="45.81640625" style="2" customWidth="1"/>
    <col min="15875" max="15891" width="14.81640625" style="2" customWidth="1"/>
    <col min="15892" max="16129" width="9.1796875" style="2"/>
    <col min="16130" max="16130" width="45.81640625" style="2" customWidth="1"/>
    <col min="16131" max="16147" width="14.81640625" style="2" customWidth="1"/>
    <col min="16148" max="16384" width="9.1796875" style="2"/>
  </cols>
  <sheetData>
    <row r="5" spans="1:256" ht="17" x14ac:dyDescent="0.35">
      <c r="A5" s="1"/>
      <c r="T5" s="1"/>
    </row>
    <row r="7" spans="1:256" ht="10.5" x14ac:dyDescent="0.25">
      <c r="A7" s="3"/>
      <c r="B7" s="4"/>
      <c r="D7" s="5"/>
      <c r="E7" s="4"/>
      <c r="T7" s="3"/>
      <c r="U7" s="4"/>
      <c r="V7" s="4"/>
      <c r="X7" s="5"/>
    </row>
    <row r="8" spans="1:256" ht="10.5" x14ac:dyDescent="0.25">
      <c r="A8" s="5"/>
      <c r="B8" s="4"/>
      <c r="D8" s="5"/>
      <c r="E8" s="4"/>
      <c r="T8" s="5"/>
      <c r="U8" s="4"/>
      <c r="V8" s="4"/>
      <c r="X8" s="5"/>
    </row>
    <row r="9" spans="1:256" ht="10.5" x14ac:dyDescent="0.25">
      <c r="A9" s="5"/>
      <c r="B9" s="4"/>
      <c r="D9" s="5"/>
      <c r="E9" s="4"/>
      <c r="T9" s="5"/>
      <c r="U9" s="4"/>
      <c r="V9" s="4"/>
      <c r="X9" s="5"/>
    </row>
    <row r="10" spans="1:256" ht="10.5" x14ac:dyDescent="0.25">
      <c r="A10" s="5"/>
      <c r="B10" s="4"/>
      <c r="D10" s="5"/>
      <c r="E10" s="4"/>
      <c r="F10" s="6"/>
      <c r="T10" s="5"/>
      <c r="U10" s="4"/>
      <c r="V10" s="4"/>
      <c r="X10" s="5"/>
    </row>
    <row r="11" spans="1:256" ht="10.5" x14ac:dyDescent="0.25">
      <c r="A11" s="5"/>
      <c r="B11" s="4"/>
      <c r="D11" s="5"/>
      <c r="E11" s="7"/>
      <c r="F11" s="7"/>
      <c r="T11" s="5"/>
      <c r="U11" s="4"/>
      <c r="V11" s="4"/>
      <c r="X11" s="5"/>
    </row>
    <row r="14" spans="1:256" x14ac:dyDescent="0.2">
      <c r="A14" s="8" t="s">
        <v>1010</v>
      </c>
      <c r="B14" s="8"/>
      <c r="C14" s="8"/>
      <c r="D14" s="8"/>
      <c r="E14" s="8"/>
      <c r="F14" s="8"/>
      <c r="G14" s="8"/>
      <c r="H14" s="8"/>
      <c r="I14" s="8"/>
      <c r="J14" s="8"/>
      <c r="K14" s="8"/>
      <c r="L14" s="8"/>
      <c r="M14" s="8"/>
      <c r="N14" s="8"/>
      <c r="O14" s="8"/>
      <c r="P14" s="8"/>
      <c r="Q14" s="8"/>
      <c r="R14" s="8"/>
      <c r="S14" s="9"/>
      <c r="T14" s="8" t="s">
        <v>1010</v>
      </c>
      <c r="U14" s="8"/>
      <c r="V14" s="8"/>
      <c r="W14" s="8"/>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c r="DB14" s="9"/>
      <c r="DC14" s="9"/>
      <c r="DD14" s="9"/>
      <c r="DE14" s="9"/>
      <c r="DF14" s="9"/>
      <c r="DG14" s="9"/>
      <c r="DH14" s="9"/>
      <c r="DI14" s="9"/>
      <c r="DJ14" s="9"/>
      <c r="DK14" s="9"/>
      <c r="DL14" s="9"/>
      <c r="DM14" s="9"/>
      <c r="DN14" s="9"/>
      <c r="DO14" s="9"/>
      <c r="DP14" s="9"/>
      <c r="DQ14" s="9"/>
      <c r="DR14" s="9"/>
      <c r="DS14" s="9"/>
      <c r="DT14" s="9"/>
      <c r="DU14" s="9"/>
      <c r="DV14" s="9"/>
      <c r="DW14" s="9"/>
      <c r="DX14" s="9"/>
      <c r="DY14" s="9"/>
      <c r="DZ14" s="9"/>
      <c r="EA14" s="9"/>
      <c r="EB14" s="9"/>
      <c r="EC14" s="9"/>
      <c r="ED14" s="9"/>
      <c r="EE14" s="9"/>
      <c r="EF14" s="9"/>
      <c r="EG14" s="9"/>
      <c r="EH14" s="9"/>
      <c r="EI14" s="9"/>
      <c r="EJ14" s="9"/>
      <c r="EK14" s="9"/>
      <c r="EL14" s="9"/>
      <c r="EM14" s="9"/>
      <c r="EN14" s="9"/>
      <c r="EO14" s="9"/>
      <c r="EP14" s="9"/>
      <c r="EQ14" s="9"/>
      <c r="ER14" s="9"/>
      <c r="ES14" s="9"/>
      <c r="ET14" s="9"/>
      <c r="EU14" s="9"/>
      <c r="EV14" s="9"/>
      <c r="EW14" s="9"/>
      <c r="EX14" s="9"/>
      <c r="EY14" s="9"/>
      <c r="EZ14" s="9"/>
      <c r="FA14" s="9"/>
      <c r="FB14" s="9"/>
      <c r="FC14" s="9"/>
      <c r="FD14" s="9"/>
      <c r="FE14" s="9"/>
      <c r="FF14" s="9"/>
      <c r="FG14" s="9"/>
      <c r="FH14" s="9"/>
      <c r="FI14" s="9"/>
      <c r="FJ14" s="9"/>
      <c r="FK14" s="9"/>
      <c r="FL14" s="9"/>
      <c r="FM14" s="9"/>
      <c r="FN14" s="9"/>
      <c r="FO14" s="9"/>
      <c r="FP14" s="9"/>
      <c r="FQ14" s="9"/>
      <c r="FR14" s="9"/>
      <c r="FS14" s="9"/>
      <c r="FT14" s="9"/>
      <c r="FU14" s="9"/>
      <c r="FV14" s="9"/>
      <c r="FW14" s="9"/>
      <c r="FX14" s="9"/>
      <c r="FY14" s="9"/>
      <c r="FZ14" s="9"/>
      <c r="GA14" s="9"/>
      <c r="GB14" s="9"/>
      <c r="GC14" s="9"/>
      <c r="GD14" s="9"/>
      <c r="GE14" s="9"/>
      <c r="GF14" s="9"/>
      <c r="GG14" s="9"/>
      <c r="GH14" s="9"/>
      <c r="GI14" s="9"/>
      <c r="GJ14" s="9"/>
      <c r="GK14" s="9"/>
      <c r="GL14" s="9"/>
      <c r="GM14" s="9"/>
      <c r="GN14" s="9"/>
      <c r="GO14" s="9"/>
      <c r="GP14" s="9"/>
      <c r="GQ14" s="9"/>
      <c r="GR14" s="9"/>
      <c r="GS14" s="9"/>
      <c r="GT14" s="9"/>
      <c r="GU14" s="9"/>
      <c r="GV14" s="9"/>
      <c r="GW14" s="9"/>
      <c r="GX14" s="9"/>
      <c r="GY14" s="9"/>
      <c r="GZ14" s="9"/>
      <c r="HA14" s="9"/>
      <c r="HB14" s="9"/>
      <c r="HC14" s="9"/>
      <c r="HD14" s="9"/>
      <c r="HE14" s="9"/>
      <c r="HF14" s="9"/>
      <c r="HG14" s="9"/>
      <c r="HH14" s="9"/>
      <c r="HI14" s="9"/>
      <c r="HJ14" s="9"/>
      <c r="HK14" s="9"/>
      <c r="HL14" s="9"/>
      <c r="HM14" s="9"/>
      <c r="HN14" s="9"/>
      <c r="HO14" s="9"/>
      <c r="HP14" s="9"/>
      <c r="HQ14" s="9"/>
      <c r="HR14" s="9"/>
      <c r="HS14" s="9"/>
      <c r="HT14" s="9"/>
      <c r="HU14" s="9"/>
      <c r="HV14" s="9"/>
      <c r="HW14" s="9"/>
      <c r="HX14" s="9"/>
      <c r="HY14" s="9"/>
      <c r="HZ14" s="9"/>
      <c r="IA14" s="9"/>
      <c r="IB14" s="9"/>
      <c r="IC14" s="9"/>
      <c r="ID14" s="9"/>
      <c r="IE14" s="9"/>
      <c r="IF14" s="9"/>
      <c r="IG14" s="9"/>
      <c r="IH14" s="9"/>
      <c r="II14" s="9"/>
      <c r="IJ14" s="9"/>
      <c r="IK14" s="9"/>
      <c r="IL14" s="9"/>
      <c r="IM14" s="9"/>
      <c r="IN14" s="9"/>
      <c r="IO14" s="9"/>
      <c r="IP14" s="9"/>
      <c r="IQ14" s="9"/>
      <c r="IR14" s="9"/>
      <c r="IS14" s="9"/>
      <c r="IT14" s="9"/>
      <c r="IU14" s="9"/>
      <c r="IV14" s="9"/>
    </row>
    <row r="15" spans="1:256" ht="31.5" x14ac:dyDescent="0.25">
      <c r="A15" s="10" t="s">
        <v>1011</v>
      </c>
      <c r="B15" s="11" t="s">
        <v>1016</v>
      </c>
      <c r="C15" s="11" t="s">
        <v>1017</v>
      </c>
      <c r="D15" s="11" t="s">
        <v>1018</v>
      </c>
      <c r="E15" s="11" t="s">
        <v>1019</v>
      </c>
      <c r="F15" s="11" t="s">
        <v>1222</v>
      </c>
      <c r="G15" s="11" t="s">
        <v>1021</v>
      </c>
      <c r="H15" s="11" t="s">
        <v>1223</v>
      </c>
      <c r="I15" s="11" t="s">
        <v>1023</v>
      </c>
      <c r="J15" s="11" t="s">
        <v>1024</v>
      </c>
      <c r="K15" s="11" t="s">
        <v>1025</v>
      </c>
      <c r="L15" s="11" t="s">
        <v>1026</v>
      </c>
      <c r="M15" s="11" t="s">
        <v>1027</v>
      </c>
      <c r="N15" s="11" t="s">
        <v>1224</v>
      </c>
      <c r="O15" s="11" t="s">
        <v>1225</v>
      </c>
      <c r="P15" s="11" t="s">
        <v>1226</v>
      </c>
      <c r="Q15" s="11" t="s">
        <v>1031</v>
      </c>
      <c r="R15" s="11" t="s">
        <v>1484</v>
      </c>
      <c r="T15" s="10" t="s">
        <v>1011</v>
      </c>
      <c r="U15" s="11" t="s">
        <v>1227</v>
      </c>
      <c r="V15" s="11"/>
      <c r="W15" s="11" t="s">
        <v>1229</v>
      </c>
    </row>
    <row r="16" spans="1:256" x14ac:dyDescent="0.2">
      <c r="A16" s="12" t="s">
        <v>1035</v>
      </c>
      <c r="B16" s="13" t="s">
        <v>88</v>
      </c>
      <c r="C16" s="13" t="s">
        <v>88</v>
      </c>
      <c r="D16" s="13" t="s">
        <v>88</v>
      </c>
      <c r="E16" s="13" t="s">
        <v>88</v>
      </c>
      <c r="F16" s="13" t="s">
        <v>88</v>
      </c>
      <c r="G16" s="13" t="s">
        <v>88</v>
      </c>
      <c r="H16" s="13" t="s">
        <v>88</v>
      </c>
      <c r="I16" s="13" t="s">
        <v>88</v>
      </c>
      <c r="J16" s="13" t="s">
        <v>88</v>
      </c>
      <c r="K16" s="13" t="s">
        <v>88</v>
      </c>
      <c r="L16" s="13" t="s">
        <v>88</v>
      </c>
      <c r="M16" s="13" t="s">
        <v>88</v>
      </c>
      <c r="N16" s="13" t="s">
        <v>88</v>
      </c>
      <c r="O16" s="13" t="s">
        <v>88</v>
      </c>
      <c r="P16" s="13" t="s">
        <v>88</v>
      </c>
      <c r="Q16" s="13" t="s">
        <v>88</v>
      </c>
      <c r="R16" s="13" t="s">
        <v>88</v>
      </c>
      <c r="T16" s="12" t="s">
        <v>1035</v>
      </c>
      <c r="U16" s="13" t="s">
        <v>88</v>
      </c>
      <c r="V16" s="13"/>
      <c r="W16" s="13" t="s">
        <v>88</v>
      </c>
    </row>
    <row r="17" spans="1:23" ht="10.5" x14ac:dyDescent="0.2">
      <c r="A17" s="14" t="s">
        <v>1230</v>
      </c>
      <c r="B17" s="5"/>
      <c r="C17" s="5"/>
      <c r="D17" s="5"/>
      <c r="E17" s="5"/>
      <c r="F17" s="5"/>
      <c r="G17" s="5"/>
      <c r="H17" s="5"/>
      <c r="I17" s="5"/>
      <c r="J17" s="5"/>
      <c r="K17" s="5"/>
      <c r="L17" s="5"/>
      <c r="M17" s="5"/>
      <c r="N17" s="5"/>
      <c r="O17" s="5"/>
      <c r="P17" s="5"/>
      <c r="Q17" s="5"/>
      <c r="R17" s="5"/>
      <c r="T17" s="14" t="s">
        <v>1230</v>
      </c>
      <c r="U17" s="5"/>
      <c r="V17" s="5"/>
      <c r="W17" s="5"/>
    </row>
    <row r="18" spans="1:23" x14ac:dyDescent="0.2">
      <c r="A18" s="5" t="s">
        <v>737</v>
      </c>
      <c r="B18" s="15">
        <v>18.367162</v>
      </c>
      <c r="C18" s="15">
        <v>31.868970000000001</v>
      </c>
      <c r="D18" s="15">
        <v>38.608544999999999</v>
      </c>
      <c r="E18" s="15">
        <v>39.477041</v>
      </c>
      <c r="F18" s="15">
        <v>51.132738000000003</v>
      </c>
      <c r="G18" s="15">
        <v>57.104958000000003</v>
      </c>
      <c r="H18" s="15">
        <v>67.277880999999994</v>
      </c>
      <c r="I18" s="15">
        <v>89.142482000000001</v>
      </c>
      <c r="J18" s="15">
        <v>102.915905</v>
      </c>
      <c r="K18" s="15">
        <v>113.11424700000001</v>
      </c>
      <c r="L18" s="15">
        <v>145.75140099999999</v>
      </c>
      <c r="M18" s="15">
        <v>219.22811799999999</v>
      </c>
      <c r="N18" s="15">
        <v>304.055497</v>
      </c>
      <c r="O18" s="15">
        <v>395.75586800000002</v>
      </c>
      <c r="P18" s="15">
        <v>504.79700000000003</v>
      </c>
      <c r="Q18" s="15">
        <v>596.08399999999995</v>
      </c>
      <c r="R18" s="15">
        <v>623.85500000000002</v>
      </c>
      <c r="T18" s="5" t="s">
        <v>737</v>
      </c>
      <c r="U18" s="15">
        <v>265.82</v>
      </c>
      <c r="V18" s="15">
        <f>Q18-U18</f>
        <v>330.26399999999995</v>
      </c>
      <c r="W18" s="15">
        <v>293.59100000000001</v>
      </c>
    </row>
    <row r="19" spans="1:23" x14ac:dyDescent="0.2">
      <c r="A19" s="5" t="s">
        <v>1231</v>
      </c>
      <c r="B19" s="15">
        <v>0</v>
      </c>
      <c r="C19" s="15">
        <v>0</v>
      </c>
      <c r="D19" s="15">
        <v>0</v>
      </c>
      <c r="E19" s="15">
        <v>0</v>
      </c>
      <c r="F19" s="15">
        <v>0</v>
      </c>
      <c r="G19" s="15">
        <v>0</v>
      </c>
      <c r="H19" s="15">
        <v>0</v>
      </c>
      <c r="I19" s="15">
        <v>0</v>
      </c>
      <c r="J19" s="15">
        <v>0</v>
      </c>
      <c r="K19" s="15">
        <v>0</v>
      </c>
      <c r="L19" s="15">
        <v>0</v>
      </c>
      <c r="M19" s="15">
        <v>0</v>
      </c>
      <c r="N19" s="15">
        <v>0</v>
      </c>
      <c r="O19" s="15">
        <v>0</v>
      </c>
      <c r="P19" s="15">
        <v>0</v>
      </c>
      <c r="Q19" s="15">
        <v>0</v>
      </c>
      <c r="R19" s="15">
        <v>0</v>
      </c>
      <c r="T19" s="5" t="s">
        <v>1231</v>
      </c>
      <c r="U19" s="15">
        <v>0</v>
      </c>
      <c r="V19" s="15">
        <f t="shared" ref="V19:V20" si="0">Q19-U19</f>
        <v>0</v>
      </c>
      <c r="W19" s="15">
        <v>0</v>
      </c>
    </row>
    <row r="20" spans="1:23" ht="10.5" x14ac:dyDescent="0.2">
      <c r="A20" s="14" t="s">
        <v>1199</v>
      </c>
      <c r="B20" s="16">
        <v>18.367162</v>
      </c>
      <c r="C20" s="16">
        <v>31.868970000000001</v>
      </c>
      <c r="D20" s="16">
        <v>38.608544999999999</v>
      </c>
      <c r="E20" s="16">
        <v>39.477041</v>
      </c>
      <c r="F20" s="16">
        <v>51.132738000000003</v>
      </c>
      <c r="G20" s="16">
        <v>57.104958000000003</v>
      </c>
      <c r="H20" s="16">
        <v>67.277880999999994</v>
      </c>
      <c r="I20" s="16">
        <v>89.142482000000001</v>
      </c>
      <c r="J20" s="16">
        <v>102.915905</v>
      </c>
      <c r="K20" s="16">
        <v>113.11424700000001</v>
      </c>
      <c r="L20" s="16">
        <v>145.75140099999999</v>
      </c>
      <c r="M20" s="16">
        <v>219.22811799999999</v>
      </c>
      <c r="N20" s="16">
        <v>304.055497</v>
      </c>
      <c r="O20" s="16">
        <v>395.75586800000002</v>
      </c>
      <c r="P20" s="16">
        <v>504.79700000000003</v>
      </c>
      <c r="Q20" s="16">
        <v>596.08399999999995</v>
      </c>
      <c r="R20" s="16">
        <v>623.85500000000002</v>
      </c>
      <c r="T20" s="14" t="s">
        <v>1199</v>
      </c>
      <c r="U20" s="16">
        <v>265.82</v>
      </c>
      <c r="V20" s="16">
        <f t="shared" si="0"/>
        <v>330.26399999999995</v>
      </c>
      <c r="W20" s="16">
        <v>293.59100000000001</v>
      </c>
    </row>
    <row r="21" spans="1:23" x14ac:dyDescent="0.2">
      <c r="A21" s="5"/>
      <c r="B21" s="5"/>
      <c r="C21" s="5"/>
      <c r="D21" s="5"/>
      <c r="E21" s="5"/>
      <c r="F21" s="5"/>
      <c r="G21" s="5"/>
      <c r="H21" s="5"/>
      <c r="I21" s="5"/>
      <c r="J21" s="5"/>
      <c r="K21" s="5"/>
      <c r="L21" s="5"/>
      <c r="M21" s="5"/>
      <c r="N21" s="5"/>
      <c r="O21" s="5"/>
      <c r="P21" s="5"/>
      <c r="Q21" s="5"/>
      <c r="R21" s="5"/>
      <c r="T21" s="5"/>
      <c r="U21" s="5"/>
      <c r="V21" s="5"/>
      <c r="W21" s="5"/>
    </row>
    <row r="22" spans="1:23" x14ac:dyDescent="0.2">
      <c r="A22" s="5" t="s">
        <v>1232</v>
      </c>
      <c r="B22" s="15">
        <v>15.189681</v>
      </c>
      <c r="C22" s="15">
        <v>27.33193</v>
      </c>
      <c r="D22" s="15">
        <v>31.45607</v>
      </c>
      <c r="E22" s="15">
        <v>32.128467999999998</v>
      </c>
      <c r="F22" s="15">
        <v>42.426369000000001</v>
      </c>
      <c r="G22" s="15">
        <v>48.542504999999998</v>
      </c>
      <c r="H22" s="15">
        <v>56.419193999999997</v>
      </c>
      <c r="I22" s="15">
        <v>73.947436999999994</v>
      </c>
      <c r="J22" s="15">
        <v>83.157477999999998</v>
      </c>
      <c r="K22" s="15">
        <v>91.032033999999996</v>
      </c>
      <c r="L22" s="15">
        <v>117.23264899999999</v>
      </c>
      <c r="M22" s="15">
        <v>175.92191700000001</v>
      </c>
      <c r="N22" s="15">
        <v>247.77107100000001</v>
      </c>
      <c r="O22" s="15">
        <v>325.24502899999999</v>
      </c>
      <c r="P22" s="15">
        <v>416.27600000000001</v>
      </c>
      <c r="Q22" s="15">
        <v>493.30900000000003</v>
      </c>
      <c r="R22" s="15">
        <v>515.04399999999998</v>
      </c>
      <c r="T22" s="5" t="s">
        <v>1232</v>
      </c>
      <c r="U22" s="15">
        <v>219.18100000000001</v>
      </c>
      <c r="V22" s="15">
        <f t="shared" ref="V22:V23" si="1">Q22-U22</f>
        <v>274.12800000000004</v>
      </c>
      <c r="W22" s="15">
        <v>240.916</v>
      </c>
    </row>
    <row r="23" spans="1:23" ht="10.5" x14ac:dyDescent="0.2">
      <c r="A23" s="14" t="s">
        <v>1200</v>
      </c>
      <c r="B23" s="16">
        <v>3.1774810000000002</v>
      </c>
      <c r="C23" s="16">
        <v>4.5370400000000002</v>
      </c>
      <c r="D23" s="16">
        <v>7.1524749999999999</v>
      </c>
      <c r="E23" s="16">
        <v>7.348573</v>
      </c>
      <c r="F23" s="16">
        <v>8.7063690000000005</v>
      </c>
      <c r="G23" s="16">
        <v>8.5624529999999996</v>
      </c>
      <c r="H23" s="16">
        <v>10.858687</v>
      </c>
      <c r="I23" s="16">
        <v>15.195045</v>
      </c>
      <c r="J23" s="16">
        <v>19.758427000000001</v>
      </c>
      <c r="K23" s="16">
        <v>22.082212999999999</v>
      </c>
      <c r="L23" s="16">
        <v>28.518751999999999</v>
      </c>
      <c r="M23" s="16">
        <v>43.306201000000001</v>
      </c>
      <c r="N23" s="16">
        <v>56.284426000000003</v>
      </c>
      <c r="O23" s="16">
        <v>70.510839000000004</v>
      </c>
      <c r="P23" s="16">
        <v>88.521000000000001</v>
      </c>
      <c r="Q23" s="16">
        <v>102.77500000000001</v>
      </c>
      <c r="R23" s="16">
        <v>108.81100000000001</v>
      </c>
      <c r="T23" s="14" t="s">
        <v>1200</v>
      </c>
      <c r="U23" s="16">
        <v>46.639000000000003</v>
      </c>
      <c r="V23" s="16">
        <f t="shared" si="1"/>
        <v>56.136000000000003</v>
      </c>
      <c r="W23" s="16">
        <v>52.674999999999997</v>
      </c>
    </row>
    <row r="24" spans="1:23" x14ac:dyDescent="0.2">
      <c r="A24" s="5"/>
      <c r="B24" s="5"/>
      <c r="C24" s="5"/>
      <c r="D24" s="5"/>
      <c r="E24" s="5"/>
      <c r="F24" s="5"/>
      <c r="G24" s="5"/>
      <c r="H24" s="5"/>
      <c r="I24" s="5"/>
      <c r="J24" s="5"/>
      <c r="K24" s="5"/>
      <c r="L24" s="5"/>
      <c r="M24" s="5"/>
      <c r="N24" s="5"/>
      <c r="O24" s="5"/>
      <c r="P24" s="5"/>
      <c r="Q24" s="5"/>
      <c r="R24" s="5"/>
      <c r="T24" s="5"/>
      <c r="U24" s="5"/>
      <c r="V24" s="5"/>
      <c r="W24" s="5"/>
    </row>
    <row r="25" spans="1:23" x14ac:dyDescent="0.2">
      <c r="A25" s="5" t="s">
        <v>1233</v>
      </c>
      <c r="B25" s="15">
        <v>2.6439699999999999</v>
      </c>
      <c r="C25" s="15">
        <v>3.7307100000000002</v>
      </c>
      <c r="D25" s="15">
        <v>5.9687549999999998</v>
      </c>
      <c r="E25" s="15">
        <v>5.6917020000000003</v>
      </c>
      <c r="F25" s="15">
        <v>6.7127520000000001</v>
      </c>
      <c r="G25" s="15">
        <v>7.415324</v>
      </c>
      <c r="H25" s="15">
        <v>9.5461860000000005</v>
      </c>
      <c r="I25" s="15">
        <v>11.861407</v>
      </c>
      <c r="J25" s="15">
        <v>14.020987999999999</v>
      </c>
      <c r="K25" s="15">
        <v>14.682206000000001</v>
      </c>
      <c r="L25" s="15">
        <v>18.485997000000001</v>
      </c>
      <c r="M25" s="15">
        <v>27.016508999999999</v>
      </c>
      <c r="N25" s="15">
        <v>33.994318999999997</v>
      </c>
      <c r="O25" s="15">
        <v>43.044390999999997</v>
      </c>
      <c r="P25" s="15">
        <v>52.993000000000002</v>
      </c>
      <c r="Q25" s="15">
        <v>62.84</v>
      </c>
      <c r="R25" s="15">
        <v>68.146000000000001</v>
      </c>
      <c r="T25" s="5" t="s">
        <v>1233</v>
      </c>
      <c r="U25" s="15">
        <v>29.347999999999999</v>
      </c>
      <c r="V25" s="15">
        <f t="shared" ref="V25:V31" si="2">Q25-U25</f>
        <v>33.492000000000004</v>
      </c>
      <c r="W25" s="15">
        <v>34.654000000000003</v>
      </c>
    </row>
    <row r="26" spans="1:23" x14ac:dyDescent="0.2">
      <c r="A26" s="5" t="s">
        <v>1234</v>
      </c>
      <c r="B26" s="15">
        <v>0</v>
      </c>
      <c r="C26" s="15">
        <v>0</v>
      </c>
      <c r="D26" s="15">
        <v>0</v>
      </c>
      <c r="E26" s="15">
        <v>0</v>
      </c>
      <c r="F26" s="15">
        <v>0</v>
      </c>
      <c r="G26" s="15">
        <v>0</v>
      </c>
      <c r="H26" s="15">
        <v>0</v>
      </c>
      <c r="I26" s="15">
        <v>0</v>
      </c>
      <c r="J26" s="15">
        <v>0</v>
      </c>
      <c r="K26" s="15">
        <v>0</v>
      </c>
      <c r="L26" s="15">
        <v>0</v>
      </c>
      <c r="M26" s="15">
        <v>0</v>
      </c>
      <c r="N26" s="15">
        <v>0</v>
      </c>
      <c r="O26" s="15">
        <v>0</v>
      </c>
      <c r="P26" s="15">
        <v>0</v>
      </c>
      <c r="Q26" s="15">
        <v>0</v>
      </c>
      <c r="R26" s="15">
        <v>0</v>
      </c>
      <c r="T26" s="5" t="s">
        <v>1234</v>
      </c>
      <c r="U26" s="15">
        <v>0</v>
      </c>
      <c r="V26" s="15">
        <f t="shared" si="2"/>
        <v>0</v>
      </c>
      <c r="W26" s="15">
        <v>0</v>
      </c>
    </row>
    <row r="27" spans="1:23" x14ac:dyDescent="0.2">
      <c r="A27" s="5" t="s">
        <v>1235</v>
      </c>
      <c r="B27" s="15">
        <v>0</v>
      </c>
      <c r="C27" s="15">
        <v>0</v>
      </c>
      <c r="D27" s="15">
        <v>0</v>
      </c>
      <c r="E27" s="15">
        <v>0</v>
      </c>
      <c r="F27" s="15">
        <v>0</v>
      </c>
      <c r="G27" s="15">
        <v>0</v>
      </c>
      <c r="H27" s="15">
        <v>0</v>
      </c>
      <c r="I27" s="15">
        <v>0</v>
      </c>
      <c r="J27" s="15">
        <v>0</v>
      </c>
      <c r="K27" s="15">
        <v>0</v>
      </c>
      <c r="L27" s="15">
        <v>0</v>
      </c>
      <c r="M27" s="15">
        <v>0</v>
      </c>
      <c r="N27" s="15">
        <v>0</v>
      </c>
      <c r="O27" s="15">
        <v>0</v>
      </c>
      <c r="P27" s="15">
        <v>0</v>
      </c>
      <c r="Q27" s="15">
        <v>0</v>
      </c>
      <c r="R27" s="15">
        <v>0</v>
      </c>
      <c r="T27" s="5" t="s">
        <v>1235</v>
      </c>
      <c r="U27" s="15">
        <v>0</v>
      </c>
      <c r="V27" s="15">
        <f t="shared" si="2"/>
        <v>0</v>
      </c>
      <c r="W27" s="15">
        <v>0</v>
      </c>
    </row>
    <row r="28" spans="1:23" x14ac:dyDescent="0.2">
      <c r="A28" s="5" t="s">
        <v>1236</v>
      </c>
      <c r="B28" s="15">
        <v>0</v>
      </c>
      <c r="C28" s="15">
        <v>0</v>
      </c>
      <c r="D28" s="15">
        <v>0</v>
      </c>
      <c r="E28" s="15">
        <v>0</v>
      </c>
      <c r="F28" s="15">
        <v>0</v>
      </c>
      <c r="G28" s="15">
        <v>0</v>
      </c>
      <c r="H28" s="15">
        <v>0</v>
      </c>
      <c r="I28" s="15">
        <v>0</v>
      </c>
      <c r="J28" s="15">
        <v>0</v>
      </c>
      <c r="K28" s="15">
        <v>0</v>
      </c>
      <c r="L28" s="15">
        <v>0</v>
      </c>
      <c r="M28" s="15">
        <v>0</v>
      </c>
      <c r="N28" s="15">
        <v>0</v>
      </c>
      <c r="O28" s="15">
        <v>9.8325999999999997E-2</v>
      </c>
      <c r="P28" s="15">
        <v>0</v>
      </c>
      <c r="Q28" s="15">
        <v>0.35299999999999998</v>
      </c>
      <c r="R28" s="15">
        <v>0.35299999999999998</v>
      </c>
      <c r="T28" s="5"/>
      <c r="U28" s="15"/>
      <c r="V28" s="15">
        <f t="shared" si="2"/>
        <v>0.35299999999999998</v>
      </c>
      <c r="W28" s="15"/>
    </row>
    <row r="29" spans="1:23" x14ac:dyDescent="0.2">
      <c r="A29" s="5" t="s">
        <v>1237</v>
      </c>
      <c r="B29" s="15">
        <v>0</v>
      </c>
      <c r="C29" s="15">
        <v>0</v>
      </c>
      <c r="D29" s="15">
        <v>0</v>
      </c>
      <c r="E29" s="15">
        <v>0</v>
      </c>
      <c r="F29" s="15">
        <v>0</v>
      </c>
      <c r="G29" s="15">
        <v>0</v>
      </c>
      <c r="H29" s="15">
        <v>0</v>
      </c>
      <c r="I29" s="15">
        <v>0</v>
      </c>
      <c r="J29" s="15">
        <v>0</v>
      </c>
      <c r="K29" s="15">
        <v>0</v>
      </c>
      <c r="L29" s="15">
        <v>0</v>
      </c>
      <c r="M29" s="15">
        <v>0</v>
      </c>
      <c r="N29" s="15">
        <v>0</v>
      </c>
      <c r="O29" s="15">
        <v>0</v>
      </c>
      <c r="P29" s="15">
        <v>0</v>
      </c>
      <c r="Q29" s="15">
        <v>0</v>
      </c>
      <c r="R29" s="15">
        <v>0</v>
      </c>
      <c r="T29" s="5" t="s">
        <v>1237</v>
      </c>
      <c r="U29" s="15">
        <v>0</v>
      </c>
      <c r="V29" s="15">
        <f t="shared" si="2"/>
        <v>0</v>
      </c>
      <c r="W29" s="15">
        <v>0</v>
      </c>
    </row>
    <row r="30" spans="1:23" x14ac:dyDescent="0.2">
      <c r="A30" s="5"/>
      <c r="B30" s="5"/>
      <c r="C30" s="5"/>
      <c r="D30" s="5"/>
      <c r="E30" s="5"/>
      <c r="F30" s="5"/>
      <c r="G30" s="5"/>
      <c r="H30" s="5"/>
      <c r="I30" s="5"/>
      <c r="J30" s="5"/>
      <c r="K30" s="5"/>
      <c r="L30" s="5"/>
      <c r="M30" s="5"/>
      <c r="N30" s="5"/>
      <c r="O30" s="5"/>
      <c r="P30" s="5"/>
      <c r="Q30" s="5"/>
      <c r="R30" s="5"/>
      <c r="T30" s="5"/>
      <c r="U30" s="5"/>
      <c r="V30" s="5">
        <f t="shared" si="2"/>
        <v>0</v>
      </c>
      <c r="W30" s="5"/>
    </row>
    <row r="31" spans="1:23" ht="10.5" x14ac:dyDescent="0.2">
      <c r="A31" s="14" t="s">
        <v>1238</v>
      </c>
      <c r="B31" s="16">
        <v>2.6439699999999999</v>
      </c>
      <c r="C31" s="16">
        <v>3.7307100000000002</v>
      </c>
      <c r="D31" s="16">
        <v>5.9687549999999998</v>
      </c>
      <c r="E31" s="16">
        <v>5.6917020000000003</v>
      </c>
      <c r="F31" s="16">
        <v>6.7127520000000001</v>
      </c>
      <c r="G31" s="16">
        <v>7.415324</v>
      </c>
      <c r="H31" s="16">
        <v>9.5461860000000005</v>
      </c>
      <c r="I31" s="16">
        <v>11.861407</v>
      </c>
      <c r="J31" s="16">
        <v>14.020987999999999</v>
      </c>
      <c r="K31" s="16">
        <v>14.682206000000001</v>
      </c>
      <c r="L31" s="16">
        <v>18.485997000000001</v>
      </c>
      <c r="M31" s="16">
        <v>27.016508999999999</v>
      </c>
      <c r="N31" s="16">
        <v>33.994318999999997</v>
      </c>
      <c r="O31" s="16">
        <v>43.142716999999998</v>
      </c>
      <c r="P31" s="16">
        <v>52.993000000000002</v>
      </c>
      <c r="Q31" s="16">
        <v>63.192999999999998</v>
      </c>
      <c r="R31" s="16">
        <v>68.498999999999995</v>
      </c>
      <c r="T31" s="14" t="s">
        <v>1238</v>
      </c>
      <c r="U31" s="16">
        <v>29.347999999999999</v>
      </c>
      <c r="V31" s="16">
        <f t="shared" si="2"/>
        <v>33.844999999999999</v>
      </c>
      <c r="W31" s="16">
        <v>34.654000000000003</v>
      </c>
    </row>
    <row r="32" spans="1:23" x14ac:dyDescent="0.2">
      <c r="A32" s="5"/>
      <c r="B32" s="5"/>
      <c r="C32" s="5"/>
      <c r="D32" s="5"/>
      <c r="E32" s="5"/>
      <c r="F32" s="5"/>
      <c r="G32" s="5"/>
      <c r="H32" s="5"/>
      <c r="I32" s="5"/>
      <c r="J32" s="5"/>
      <c r="K32" s="5"/>
      <c r="L32" s="5"/>
      <c r="M32" s="5"/>
      <c r="N32" s="5"/>
      <c r="O32" s="5"/>
      <c r="P32" s="5"/>
      <c r="Q32" s="5"/>
      <c r="R32" s="5"/>
      <c r="T32" s="5"/>
      <c r="U32" s="5"/>
      <c r="V32" s="5"/>
      <c r="W32" s="5"/>
    </row>
    <row r="33" spans="1:23" ht="10.5" x14ac:dyDescent="0.2">
      <c r="A33" s="14" t="s">
        <v>1239</v>
      </c>
      <c r="B33" s="17">
        <v>0.53351099999999996</v>
      </c>
      <c r="C33" s="17">
        <v>0.80632999999999999</v>
      </c>
      <c r="D33" s="17">
        <v>1.1837200000000001</v>
      </c>
      <c r="E33" s="17">
        <v>1.656871</v>
      </c>
      <c r="F33" s="17">
        <v>1.993617</v>
      </c>
      <c r="G33" s="17">
        <v>1.1471290000000001</v>
      </c>
      <c r="H33" s="17">
        <v>1.3125009999999999</v>
      </c>
      <c r="I33" s="17">
        <v>3.3336380000000001</v>
      </c>
      <c r="J33" s="17">
        <v>5.7374390000000002</v>
      </c>
      <c r="K33" s="17">
        <v>7.4000069999999996</v>
      </c>
      <c r="L33" s="17">
        <v>10.032755</v>
      </c>
      <c r="M33" s="17">
        <v>16.289691999999999</v>
      </c>
      <c r="N33" s="17">
        <v>22.290106999999999</v>
      </c>
      <c r="O33" s="17">
        <v>27.368122</v>
      </c>
      <c r="P33" s="17">
        <v>35.527999999999999</v>
      </c>
      <c r="Q33" s="17">
        <v>39.582000000000001</v>
      </c>
      <c r="R33" s="17">
        <v>40.311999999999998</v>
      </c>
      <c r="T33" s="14" t="s">
        <v>1239</v>
      </c>
      <c r="U33" s="17">
        <v>17.291</v>
      </c>
      <c r="V33" s="17">
        <f t="shared" ref="V33:V37" si="3">Q33-U33</f>
        <v>22.291</v>
      </c>
      <c r="W33" s="17">
        <v>18.021000000000001</v>
      </c>
    </row>
    <row r="34" spans="1:23" x14ac:dyDescent="0.2">
      <c r="A34" s="5"/>
      <c r="B34" s="5"/>
      <c r="C34" s="5"/>
      <c r="D34" s="5"/>
      <c r="E34" s="5"/>
      <c r="F34" s="5"/>
      <c r="G34" s="5"/>
      <c r="H34" s="5"/>
      <c r="I34" s="5"/>
      <c r="J34" s="5"/>
      <c r="K34" s="5"/>
      <c r="L34" s="5"/>
      <c r="M34" s="5"/>
      <c r="N34" s="5"/>
      <c r="O34" s="5"/>
      <c r="P34" s="5"/>
      <c r="Q34" s="5"/>
      <c r="R34" s="5"/>
      <c r="T34" s="5"/>
      <c r="U34" s="5"/>
      <c r="V34" s="5">
        <f t="shared" si="3"/>
        <v>0</v>
      </c>
      <c r="W34" s="5"/>
    </row>
    <row r="35" spans="1:23" x14ac:dyDescent="0.2">
      <c r="A35" s="5" t="s">
        <v>817</v>
      </c>
      <c r="B35" s="15">
        <v>-0.1</v>
      </c>
      <c r="C35" s="15">
        <v>-0.1</v>
      </c>
      <c r="D35" s="15">
        <v>0</v>
      </c>
      <c r="E35" s="15">
        <v>0</v>
      </c>
      <c r="F35" s="15">
        <v>0</v>
      </c>
      <c r="G35" s="15">
        <v>0</v>
      </c>
      <c r="H35" s="15">
        <v>0</v>
      </c>
      <c r="I35" s="15">
        <v>0</v>
      </c>
      <c r="J35" s="15">
        <v>0</v>
      </c>
      <c r="K35" s="15">
        <v>0</v>
      </c>
      <c r="L35" s="15">
        <v>-0.1</v>
      </c>
      <c r="M35" s="15">
        <v>0</v>
      </c>
      <c r="N35" s="15">
        <v>0</v>
      </c>
      <c r="O35" s="15">
        <v>0</v>
      </c>
      <c r="P35" s="15">
        <v>0</v>
      </c>
      <c r="Q35" s="15">
        <v>0</v>
      </c>
      <c r="R35" s="15">
        <v>0</v>
      </c>
      <c r="T35" s="5" t="s">
        <v>817</v>
      </c>
      <c r="U35" s="15">
        <v>0</v>
      </c>
      <c r="V35" s="15">
        <f t="shared" si="3"/>
        <v>0</v>
      </c>
      <c r="W35" s="15">
        <v>0</v>
      </c>
    </row>
    <row r="36" spans="1:23" x14ac:dyDescent="0.2">
      <c r="A36" s="5" t="s">
        <v>1240</v>
      </c>
      <c r="B36" s="15">
        <v>0</v>
      </c>
      <c r="C36" s="15">
        <v>0</v>
      </c>
      <c r="D36" s="15">
        <v>0</v>
      </c>
      <c r="E36" s="15">
        <v>3.6597999999999999E-2</v>
      </c>
      <c r="F36" s="15">
        <v>1.589491</v>
      </c>
      <c r="G36" s="15">
        <v>8.2199999999999995E-2</v>
      </c>
      <c r="H36" s="15">
        <v>7.6938999999999994E-2</v>
      </c>
      <c r="I36" s="15">
        <v>0.149785</v>
      </c>
      <c r="J36" s="15">
        <v>0.30081799999999997</v>
      </c>
      <c r="K36" s="15">
        <v>0.214314</v>
      </c>
      <c r="L36" s="15">
        <v>4.6067999999999998E-2</v>
      </c>
      <c r="M36" s="15">
        <v>5.8525000000000001E-2</v>
      </c>
      <c r="N36" s="15">
        <v>0.13525999999999999</v>
      </c>
      <c r="O36" s="15">
        <v>8.1443000000000002E-2</v>
      </c>
      <c r="P36" s="15">
        <v>0.10199999999999999</v>
      </c>
      <c r="Q36" s="15">
        <v>0.19500000000000001</v>
      </c>
      <c r="R36" s="15">
        <v>0.22</v>
      </c>
      <c r="T36" s="5" t="s">
        <v>1240</v>
      </c>
      <c r="U36" s="15">
        <v>8.1000000000000003E-2</v>
      </c>
      <c r="V36" s="15">
        <f t="shared" si="3"/>
        <v>0.114</v>
      </c>
      <c r="W36" s="15">
        <v>0.106</v>
      </c>
    </row>
    <row r="37" spans="1:23" ht="10.5" x14ac:dyDescent="0.2">
      <c r="A37" s="14" t="s">
        <v>1241</v>
      </c>
      <c r="B37" s="16">
        <v>-0.1</v>
      </c>
      <c r="C37" s="16">
        <v>-0.1</v>
      </c>
      <c r="D37" s="16">
        <v>0</v>
      </c>
      <c r="E37" s="16">
        <v>2.6848E-2</v>
      </c>
      <c r="F37" s="16">
        <v>1.5863970000000001</v>
      </c>
      <c r="G37" s="16">
        <v>6.6298999999999997E-2</v>
      </c>
      <c r="H37" s="16">
        <v>4.6339999999999999E-2</v>
      </c>
      <c r="I37" s="16">
        <v>0.14118900000000001</v>
      </c>
      <c r="J37" s="16">
        <v>0.299564</v>
      </c>
      <c r="K37" s="16">
        <v>0.21337100000000001</v>
      </c>
      <c r="L37" s="16">
        <v>0</v>
      </c>
      <c r="M37" s="16">
        <v>5.8015999999999998E-2</v>
      </c>
      <c r="N37" s="16">
        <v>0.13525999999999999</v>
      </c>
      <c r="O37" s="16">
        <v>8.1443000000000002E-2</v>
      </c>
      <c r="P37" s="16">
        <v>0.10199999999999999</v>
      </c>
      <c r="Q37" s="16">
        <v>0.19500000000000001</v>
      </c>
      <c r="R37" s="16">
        <v>0.22</v>
      </c>
      <c r="T37" s="14" t="s">
        <v>1241</v>
      </c>
      <c r="U37" s="16">
        <v>8.1000000000000003E-2</v>
      </c>
      <c r="V37" s="16">
        <f t="shared" si="3"/>
        <v>0.114</v>
      </c>
      <c r="W37" s="16">
        <v>0.106</v>
      </c>
    </row>
    <row r="38" spans="1:23" x14ac:dyDescent="0.2">
      <c r="A38" s="5"/>
      <c r="B38" s="5"/>
      <c r="C38" s="5"/>
      <c r="D38" s="5"/>
      <c r="E38" s="5"/>
      <c r="F38" s="5"/>
      <c r="G38" s="5"/>
      <c r="H38" s="5"/>
      <c r="I38" s="5"/>
      <c r="J38" s="5"/>
      <c r="K38" s="5"/>
      <c r="L38" s="5"/>
      <c r="M38" s="5"/>
      <c r="N38" s="5"/>
      <c r="O38" s="5"/>
      <c r="P38" s="5"/>
      <c r="Q38" s="5"/>
      <c r="R38" s="5"/>
      <c r="T38" s="5"/>
      <c r="U38" s="5"/>
      <c r="V38" s="5"/>
      <c r="W38" s="5"/>
    </row>
    <row r="39" spans="1:23" x14ac:dyDescent="0.2">
      <c r="A39" s="5" t="s">
        <v>1242</v>
      </c>
      <c r="B39" s="15">
        <v>0</v>
      </c>
      <c r="C39" s="15">
        <v>0</v>
      </c>
      <c r="D39" s="15">
        <v>0</v>
      </c>
      <c r="E39" s="15">
        <v>0</v>
      </c>
      <c r="F39" s="15">
        <v>0</v>
      </c>
      <c r="G39" s="15">
        <v>0</v>
      </c>
      <c r="H39" s="15">
        <v>0</v>
      </c>
      <c r="I39" s="15">
        <v>0</v>
      </c>
      <c r="J39" s="15">
        <v>0</v>
      </c>
      <c r="K39" s="15">
        <v>0</v>
      </c>
      <c r="L39" s="15">
        <v>0</v>
      </c>
      <c r="M39" s="15">
        <v>0</v>
      </c>
      <c r="N39" s="15">
        <v>0</v>
      </c>
      <c r="O39" s="15">
        <v>0</v>
      </c>
      <c r="P39" s="15">
        <v>0</v>
      </c>
      <c r="Q39" s="15">
        <v>0</v>
      </c>
      <c r="R39" s="15">
        <v>0</v>
      </c>
      <c r="T39" s="5" t="s">
        <v>1242</v>
      </c>
      <c r="U39" s="15">
        <v>0</v>
      </c>
      <c r="V39" s="15">
        <f t="shared" ref="V39:V40" si="4">Q39-U39</f>
        <v>0</v>
      </c>
      <c r="W39" s="15">
        <v>0</v>
      </c>
    </row>
    <row r="40" spans="1:23" ht="10.5" x14ac:dyDescent="0.2">
      <c r="A40" s="14" t="s">
        <v>1243</v>
      </c>
      <c r="B40" s="16">
        <v>0.46541399999999999</v>
      </c>
      <c r="C40" s="16">
        <v>0.68254400000000004</v>
      </c>
      <c r="D40" s="16">
        <v>1.1521429999999999</v>
      </c>
      <c r="E40" s="16">
        <v>1.683719</v>
      </c>
      <c r="F40" s="16">
        <v>3.5800139999999998</v>
      </c>
      <c r="G40" s="16">
        <v>1.213428</v>
      </c>
      <c r="H40" s="16">
        <v>1.358841</v>
      </c>
      <c r="I40" s="16">
        <v>3.4748269999999999</v>
      </c>
      <c r="J40" s="16">
        <v>6.0370030000000003</v>
      </c>
      <c r="K40" s="16">
        <v>7.613378</v>
      </c>
      <c r="L40" s="16">
        <v>10.023001000000001</v>
      </c>
      <c r="M40" s="16">
        <v>16.347708000000001</v>
      </c>
      <c r="N40" s="16">
        <v>22.425367000000001</v>
      </c>
      <c r="O40" s="16">
        <v>27.449565</v>
      </c>
      <c r="P40" s="16">
        <v>35.630000000000003</v>
      </c>
      <c r="Q40" s="16">
        <v>39.777000000000001</v>
      </c>
      <c r="R40" s="16">
        <v>40.531999999999996</v>
      </c>
      <c r="T40" s="14" t="s">
        <v>1243</v>
      </c>
      <c r="U40" s="16">
        <v>17.372</v>
      </c>
      <c r="V40" s="16">
        <f t="shared" si="4"/>
        <v>22.405000000000001</v>
      </c>
      <c r="W40" s="16">
        <v>18.126999999999999</v>
      </c>
    </row>
    <row r="41" spans="1:23" x14ac:dyDescent="0.2">
      <c r="A41" s="5"/>
      <c r="B41" s="5"/>
      <c r="C41" s="5"/>
      <c r="D41" s="5"/>
      <c r="E41" s="5"/>
      <c r="F41" s="5"/>
      <c r="G41" s="5"/>
      <c r="H41" s="5"/>
      <c r="I41" s="5"/>
      <c r="J41" s="5"/>
      <c r="K41" s="5"/>
      <c r="L41" s="5"/>
      <c r="M41" s="5"/>
      <c r="N41" s="5"/>
      <c r="O41" s="5"/>
      <c r="P41" s="5"/>
      <c r="Q41" s="5"/>
      <c r="R41" s="5"/>
      <c r="T41" s="5"/>
      <c r="U41" s="5"/>
      <c r="V41" s="5"/>
      <c r="W41" s="5"/>
    </row>
    <row r="42" spans="1:23" x14ac:dyDescent="0.2">
      <c r="A42" s="5" t="s">
        <v>1244</v>
      </c>
      <c r="B42" s="15">
        <v>0</v>
      </c>
      <c r="C42" s="15">
        <v>0</v>
      </c>
      <c r="D42" s="15">
        <v>0</v>
      </c>
      <c r="E42" s="15">
        <v>0</v>
      </c>
      <c r="F42" s="15">
        <v>0</v>
      </c>
      <c r="G42" s="15">
        <v>0</v>
      </c>
      <c r="H42" s="15">
        <v>0</v>
      </c>
      <c r="I42" s="15">
        <v>0</v>
      </c>
      <c r="J42" s="15">
        <v>0</v>
      </c>
      <c r="K42" s="15">
        <v>0</v>
      </c>
      <c r="L42" s="15">
        <v>0</v>
      </c>
      <c r="M42" s="15">
        <v>0</v>
      </c>
      <c r="N42" s="15">
        <v>0</v>
      </c>
      <c r="O42" s="15">
        <v>0</v>
      </c>
      <c r="P42" s="15">
        <v>0</v>
      </c>
      <c r="Q42" s="15">
        <v>0</v>
      </c>
      <c r="R42" s="15">
        <v>0</v>
      </c>
      <c r="T42" s="5" t="s">
        <v>1244</v>
      </c>
      <c r="U42" s="15">
        <v>0</v>
      </c>
      <c r="V42" s="15">
        <f>Q42-U42</f>
        <v>0</v>
      </c>
      <c r="W42" s="15">
        <v>0</v>
      </c>
    </row>
    <row r="43" spans="1:23" x14ac:dyDescent="0.2">
      <c r="A43" s="5" t="s">
        <v>1245</v>
      </c>
      <c r="B43" s="15">
        <v>0</v>
      </c>
      <c r="C43" s="15">
        <v>0</v>
      </c>
      <c r="D43" s="15">
        <v>0</v>
      </c>
      <c r="E43" s="15">
        <v>0</v>
      </c>
      <c r="F43" s="15">
        <v>-1.3</v>
      </c>
      <c r="G43" s="15">
        <v>0</v>
      </c>
      <c r="H43" s="15">
        <v>0</v>
      </c>
      <c r="I43" s="15">
        <v>0</v>
      </c>
      <c r="J43" s="15">
        <v>0</v>
      </c>
      <c r="K43" s="15">
        <v>0</v>
      </c>
      <c r="L43" s="15">
        <v>0</v>
      </c>
      <c r="M43" s="15">
        <v>0</v>
      </c>
      <c r="N43" s="15">
        <v>0</v>
      </c>
      <c r="O43" s="15">
        <v>0</v>
      </c>
      <c r="P43" s="15">
        <v>0</v>
      </c>
      <c r="Q43" s="15">
        <v>0</v>
      </c>
      <c r="R43" s="15">
        <v>0</v>
      </c>
      <c r="T43" s="5"/>
      <c r="U43" s="15"/>
      <c r="V43" s="15"/>
      <c r="W43" s="15"/>
    </row>
    <row r="44" spans="1:23" x14ac:dyDescent="0.2">
      <c r="A44" s="5" t="s">
        <v>1246</v>
      </c>
      <c r="B44" s="15">
        <v>0</v>
      </c>
      <c r="C44" s="15">
        <v>0</v>
      </c>
      <c r="D44" s="15">
        <v>0</v>
      </c>
      <c r="E44" s="15">
        <v>0</v>
      </c>
      <c r="F44" s="15">
        <v>0</v>
      </c>
      <c r="G44" s="15">
        <v>0</v>
      </c>
      <c r="H44" s="15">
        <v>0</v>
      </c>
      <c r="I44" s="15">
        <v>0</v>
      </c>
      <c r="J44" s="15">
        <v>0</v>
      </c>
      <c r="K44" s="15">
        <v>0</v>
      </c>
      <c r="L44" s="15">
        <v>0</v>
      </c>
      <c r="M44" s="15">
        <v>0</v>
      </c>
      <c r="N44" s="15">
        <v>0</v>
      </c>
      <c r="O44" s="15">
        <v>0</v>
      </c>
      <c r="P44" s="15">
        <v>0</v>
      </c>
      <c r="Q44" s="15">
        <v>0</v>
      </c>
      <c r="R44" s="15">
        <v>-2.6</v>
      </c>
      <c r="T44" s="5" t="s">
        <v>1246</v>
      </c>
      <c r="U44" s="15">
        <v>-0.1</v>
      </c>
      <c r="V44" s="15">
        <f t="shared" ref="V44:V45" si="5">Q44-U44</f>
        <v>0.1</v>
      </c>
      <c r="W44" s="15">
        <v>-2.7</v>
      </c>
    </row>
    <row r="45" spans="1:23" ht="10.5" x14ac:dyDescent="0.2">
      <c r="A45" s="14" t="s">
        <v>1247</v>
      </c>
      <c r="B45" s="16">
        <v>0.46541399999999999</v>
      </c>
      <c r="C45" s="16">
        <v>0.68254400000000004</v>
      </c>
      <c r="D45" s="16">
        <v>1.1521410000000001</v>
      </c>
      <c r="E45" s="16">
        <v>1.683719</v>
      </c>
      <c r="F45" s="16">
        <v>2.3237040000000002</v>
      </c>
      <c r="G45" s="16">
        <v>1.213428</v>
      </c>
      <c r="H45" s="16">
        <v>1.358841</v>
      </c>
      <c r="I45" s="16">
        <v>3.4748269999999999</v>
      </c>
      <c r="J45" s="16">
        <v>6.0370030000000003</v>
      </c>
      <c r="K45" s="16">
        <v>7.613378</v>
      </c>
      <c r="L45" s="16">
        <v>10.023001000000001</v>
      </c>
      <c r="M45" s="16">
        <v>16.347708000000001</v>
      </c>
      <c r="N45" s="16">
        <v>22.425367000000001</v>
      </c>
      <c r="O45" s="16">
        <v>27.449565</v>
      </c>
      <c r="P45" s="16">
        <v>35.630000000000003</v>
      </c>
      <c r="Q45" s="16">
        <v>39.777000000000001</v>
      </c>
      <c r="R45" s="16">
        <v>37.896999999999998</v>
      </c>
      <c r="T45" s="14" t="s">
        <v>1247</v>
      </c>
      <c r="U45" s="16">
        <v>17.314</v>
      </c>
      <c r="V45" s="16">
        <f t="shared" si="5"/>
        <v>22.463000000000001</v>
      </c>
      <c r="W45" s="16">
        <v>15.433999999999999</v>
      </c>
    </row>
    <row r="46" spans="1:23" x14ac:dyDescent="0.2">
      <c r="A46" s="5"/>
      <c r="B46" s="5"/>
      <c r="C46" s="5"/>
      <c r="D46" s="5"/>
      <c r="E46" s="5"/>
      <c r="F46" s="5"/>
      <c r="G46" s="5"/>
      <c r="H46" s="5"/>
      <c r="I46" s="5"/>
      <c r="J46" s="5"/>
      <c r="K46" s="5"/>
      <c r="L46" s="5"/>
      <c r="M46" s="5"/>
      <c r="N46" s="5"/>
      <c r="O46" s="5"/>
      <c r="P46" s="5"/>
      <c r="Q46" s="5"/>
      <c r="R46" s="5"/>
      <c r="T46" s="5"/>
      <c r="U46" s="5"/>
      <c r="V46" s="5"/>
      <c r="W46" s="5"/>
    </row>
    <row r="47" spans="1:23" x14ac:dyDescent="0.2">
      <c r="A47" s="5" t="s">
        <v>1248</v>
      </c>
      <c r="B47" s="15">
        <v>0.10513699999999999</v>
      </c>
      <c r="C47" s="15">
        <v>0.234599</v>
      </c>
      <c r="D47" s="15">
        <v>0.493697</v>
      </c>
      <c r="E47" s="15">
        <v>0.50621799999999995</v>
      </c>
      <c r="F47" s="15">
        <v>0.64450600000000002</v>
      </c>
      <c r="G47" s="15">
        <v>0.39427699999999999</v>
      </c>
      <c r="H47" s="15">
        <v>0.55082399999999998</v>
      </c>
      <c r="I47" s="15">
        <v>1.4077809999999999</v>
      </c>
      <c r="J47" s="15">
        <v>2.1146470000000002</v>
      </c>
      <c r="K47" s="15">
        <v>2.466958</v>
      </c>
      <c r="L47" s="15">
        <v>2.9612159999999998</v>
      </c>
      <c r="M47" s="15">
        <v>4.8133999999999997</v>
      </c>
      <c r="N47" s="15">
        <v>5.2292509999999996</v>
      </c>
      <c r="O47" s="15">
        <v>6.8638380000000003</v>
      </c>
      <c r="P47" s="15">
        <v>8.2780000000000005</v>
      </c>
      <c r="Q47" s="15">
        <v>8.66</v>
      </c>
      <c r="R47" s="15">
        <v>8.3949999999999996</v>
      </c>
      <c r="T47" s="5" t="s">
        <v>1248</v>
      </c>
      <c r="U47" s="15">
        <v>3.766</v>
      </c>
      <c r="V47" s="15">
        <f t="shared" ref="V47:V48" si="6">Q47-U47</f>
        <v>4.8940000000000001</v>
      </c>
      <c r="W47" s="15">
        <v>3.5009999999999999</v>
      </c>
    </row>
    <row r="48" spans="1:23" ht="10.5" x14ac:dyDescent="0.2">
      <c r="A48" s="14" t="s">
        <v>1204</v>
      </c>
      <c r="B48" s="16">
        <v>0.36027700000000001</v>
      </c>
      <c r="C48" s="16">
        <v>0.44794499999999998</v>
      </c>
      <c r="D48" s="16">
        <v>0.65844400000000003</v>
      </c>
      <c r="E48" s="16">
        <v>1.1775009999999999</v>
      </c>
      <c r="F48" s="16">
        <v>1.679198</v>
      </c>
      <c r="G48" s="16">
        <v>0.81915099999999996</v>
      </c>
      <c r="H48" s="16">
        <v>0.80801699999999999</v>
      </c>
      <c r="I48" s="16">
        <v>2.0670459999999999</v>
      </c>
      <c r="J48" s="16">
        <v>3.9223560000000002</v>
      </c>
      <c r="K48" s="16">
        <v>5.14642</v>
      </c>
      <c r="L48" s="16">
        <v>7.0617850000000004</v>
      </c>
      <c r="M48" s="16">
        <v>11.534307999999999</v>
      </c>
      <c r="N48" s="16">
        <v>17.196116</v>
      </c>
      <c r="O48" s="16">
        <v>20.585726999999999</v>
      </c>
      <c r="P48" s="16">
        <v>27.352</v>
      </c>
      <c r="Q48" s="16">
        <v>31.117000000000001</v>
      </c>
      <c r="R48" s="16">
        <v>29.501999999999999</v>
      </c>
      <c r="T48" s="14" t="s">
        <v>1204</v>
      </c>
      <c r="U48" s="16">
        <v>13.548</v>
      </c>
      <c r="V48" s="16">
        <f t="shared" si="6"/>
        <v>17.569000000000003</v>
      </c>
      <c r="W48" s="16">
        <v>11.933</v>
      </c>
    </row>
    <row r="49" spans="1:23" x14ac:dyDescent="0.2">
      <c r="A49" s="5"/>
      <c r="B49" s="5"/>
      <c r="C49" s="5"/>
      <c r="D49" s="5"/>
      <c r="E49" s="5"/>
      <c r="F49" s="5"/>
      <c r="G49" s="5"/>
      <c r="H49" s="5"/>
      <c r="I49" s="5"/>
      <c r="J49" s="5"/>
      <c r="K49" s="5"/>
      <c r="L49" s="5"/>
      <c r="M49" s="5"/>
      <c r="N49" s="5"/>
      <c r="O49" s="5"/>
      <c r="P49" s="5"/>
      <c r="Q49" s="5"/>
      <c r="R49" s="5"/>
      <c r="T49" s="5"/>
      <c r="U49" s="5"/>
      <c r="V49" s="5"/>
      <c r="W49" s="5"/>
    </row>
    <row r="50" spans="1:23" x14ac:dyDescent="0.2">
      <c r="A50" s="5" t="s">
        <v>1249</v>
      </c>
      <c r="B50" s="15">
        <v>0</v>
      </c>
      <c r="C50" s="15">
        <v>3.4497E-2</v>
      </c>
      <c r="D50" s="15">
        <v>0</v>
      </c>
      <c r="E50" s="15">
        <v>0</v>
      </c>
      <c r="F50" s="15">
        <v>0</v>
      </c>
      <c r="G50" s="15">
        <v>0</v>
      </c>
      <c r="H50" s="15">
        <v>0</v>
      </c>
      <c r="I50" s="15">
        <v>0</v>
      </c>
      <c r="J50" s="15">
        <v>0</v>
      </c>
      <c r="K50" s="15">
        <v>0</v>
      </c>
      <c r="L50" s="15">
        <v>0</v>
      </c>
      <c r="M50" s="15">
        <v>0</v>
      </c>
      <c r="N50" s="15">
        <v>0</v>
      </c>
      <c r="O50" s="15">
        <v>0</v>
      </c>
      <c r="P50" s="15">
        <v>0</v>
      </c>
      <c r="Q50" s="15" t="s">
        <v>1485</v>
      </c>
      <c r="R50" s="15">
        <v>0</v>
      </c>
      <c r="T50" s="5" t="s">
        <v>1249</v>
      </c>
      <c r="U50" s="15">
        <v>0</v>
      </c>
      <c r="V50" s="15" t="e">
        <f t="shared" ref="V50:V52" si="7">Q50-U50</f>
        <v>#VALUE!</v>
      </c>
      <c r="W50" s="15">
        <v>0</v>
      </c>
    </row>
    <row r="51" spans="1:23" x14ac:dyDescent="0.2">
      <c r="A51" s="5" t="s">
        <v>1250</v>
      </c>
      <c r="B51" s="15">
        <v>0</v>
      </c>
      <c r="C51" s="15">
        <v>0</v>
      </c>
      <c r="D51" s="15">
        <v>0</v>
      </c>
      <c r="E51" s="15">
        <v>0</v>
      </c>
      <c r="F51" s="15">
        <v>0</v>
      </c>
      <c r="G51" s="15">
        <v>0</v>
      </c>
      <c r="H51" s="15">
        <v>0</v>
      </c>
      <c r="I51" s="15">
        <v>0</v>
      </c>
      <c r="J51" s="15">
        <v>0</v>
      </c>
      <c r="K51" s="15">
        <v>0</v>
      </c>
      <c r="L51" s="15">
        <v>0</v>
      </c>
      <c r="M51" s="15">
        <v>0</v>
      </c>
      <c r="N51" s="15">
        <v>0</v>
      </c>
      <c r="O51" s="15">
        <v>0</v>
      </c>
      <c r="P51" s="15">
        <v>0</v>
      </c>
      <c r="Q51" s="15">
        <v>0</v>
      </c>
      <c r="R51" s="15">
        <v>0</v>
      </c>
      <c r="T51" s="5" t="s">
        <v>1250</v>
      </c>
      <c r="U51" s="15">
        <v>0</v>
      </c>
      <c r="V51" s="15">
        <f t="shared" si="7"/>
        <v>0</v>
      </c>
      <c r="W51" s="15">
        <v>0</v>
      </c>
    </row>
    <row r="52" spans="1:23" ht="10.5" x14ac:dyDescent="0.2">
      <c r="A52" s="14" t="s">
        <v>1251</v>
      </c>
      <c r="B52" s="16">
        <v>0.36027700000000001</v>
      </c>
      <c r="C52" s="16">
        <v>0.48244199999999998</v>
      </c>
      <c r="D52" s="16">
        <v>0.65844400000000003</v>
      </c>
      <c r="E52" s="16">
        <v>1.1775009999999999</v>
      </c>
      <c r="F52" s="16">
        <v>1.679198</v>
      </c>
      <c r="G52" s="16">
        <v>0.81915099999999996</v>
      </c>
      <c r="H52" s="16">
        <v>0.80801699999999999</v>
      </c>
      <c r="I52" s="16">
        <v>2.0670459999999999</v>
      </c>
      <c r="J52" s="16">
        <v>3.9223560000000002</v>
      </c>
      <c r="K52" s="16">
        <v>5.14642</v>
      </c>
      <c r="L52" s="16">
        <v>7.0617850000000004</v>
      </c>
      <c r="M52" s="16">
        <v>11.534307999999999</v>
      </c>
      <c r="N52" s="16">
        <v>17.196116</v>
      </c>
      <c r="O52" s="16">
        <v>20.585726999999999</v>
      </c>
      <c r="P52" s="16">
        <v>27.352</v>
      </c>
      <c r="Q52" s="16">
        <v>31.117000000000001</v>
      </c>
      <c r="R52" s="16">
        <v>29.501999999999999</v>
      </c>
      <c r="T52" s="14" t="s">
        <v>1251</v>
      </c>
      <c r="U52" s="16">
        <v>13.548</v>
      </c>
      <c r="V52" s="16">
        <f t="shared" si="7"/>
        <v>17.569000000000003</v>
      </c>
      <c r="W52" s="16">
        <v>11.933</v>
      </c>
    </row>
    <row r="53" spans="1:23" x14ac:dyDescent="0.2">
      <c r="A53" s="5"/>
      <c r="B53" s="5"/>
      <c r="C53" s="5"/>
      <c r="D53" s="5"/>
      <c r="E53" s="5"/>
      <c r="F53" s="5"/>
      <c r="G53" s="5"/>
      <c r="H53" s="5"/>
      <c r="I53" s="5"/>
      <c r="J53" s="5"/>
      <c r="K53" s="5"/>
      <c r="L53" s="5"/>
      <c r="M53" s="5"/>
      <c r="N53" s="5"/>
      <c r="O53" s="5"/>
      <c r="P53" s="5"/>
      <c r="Q53" s="5"/>
      <c r="R53" s="5"/>
      <c r="T53" s="5"/>
      <c r="U53" s="5"/>
      <c r="V53" s="5"/>
      <c r="W53" s="5"/>
    </row>
    <row r="54" spans="1:23" x14ac:dyDescent="0.2">
      <c r="A54" s="5" t="s">
        <v>1252</v>
      </c>
      <c r="B54" s="15">
        <v>-0.2</v>
      </c>
      <c r="C54" s="15">
        <v>-0.2</v>
      </c>
      <c r="D54" s="15">
        <v>0</v>
      </c>
      <c r="E54" s="15">
        <v>0</v>
      </c>
      <c r="F54" s="15">
        <v>0</v>
      </c>
      <c r="G54" s="15">
        <v>0</v>
      </c>
      <c r="H54" s="15">
        <v>0</v>
      </c>
      <c r="I54" s="15">
        <v>0</v>
      </c>
      <c r="J54" s="15">
        <v>0</v>
      </c>
      <c r="K54" s="15">
        <v>0</v>
      </c>
      <c r="L54" s="15">
        <v>0</v>
      </c>
      <c r="M54" s="15">
        <v>0</v>
      </c>
      <c r="N54" s="15">
        <v>0</v>
      </c>
      <c r="O54" s="15">
        <v>0</v>
      </c>
      <c r="P54" s="15">
        <v>0</v>
      </c>
      <c r="Q54" s="15">
        <v>0</v>
      </c>
      <c r="R54" s="15">
        <v>0</v>
      </c>
      <c r="T54" s="5" t="s">
        <v>1252</v>
      </c>
      <c r="U54" s="15">
        <v>0</v>
      </c>
      <c r="V54" s="15">
        <f t="shared" ref="V54:V55" si="8">Q54-U54</f>
        <v>0</v>
      </c>
      <c r="W54" s="15">
        <v>0</v>
      </c>
    </row>
    <row r="55" spans="1:23" ht="10.5" x14ac:dyDescent="0.2">
      <c r="A55" s="14" t="s">
        <v>1205</v>
      </c>
      <c r="B55" s="18">
        <v>0.19723499999999999</v>
      </c>
      <c r="C55" s="18">
        <v>0.262459</v>
      </c>
      <c r="D55" s="18">
        <v>0.65844400000000003</v>
      </c>
      <c r="E55" s="18">
        <v>1.1775009999999999</v>
      </c>
      <c r="F55" s="18">
        <v>1.679198</v>
      </c>
      <c r="G55" s="18">
        <v>0.81915099999999996</v>
      </c>
      <c r="H55" s="18">
        <v>0.80801699999999999</v>
      </c>
      <c r="I55" s="18">
        <v>2.0670459999999999</v>
      </c>
      <c r="J55" s="18">
        <v>3.9223560000000002</v>
      </c>
      <c r="K55" s="18">
        <v>5.14642</v>
      </c>
      <c r="L55" s="18">
        <v>7.0617850000000004</v>
      </c>
      <c r="M55" s="18">
        <v>11.534307999999999</v>
      </c>
      <c r="N55" s="18">
        <v>17.196116</v>
      </c>
      <c r="O55" s="18">
        <v>20.585726999999999</v>
      </c>
      <c r="P55" s="18">
        <v>27.352</v>
      </c>
      <c r="Q55" s="18">
        <v>31.117000000000001</v>
      </c>
      <c r="R55" s="18">
        <v>29.501999999999999</v>
      </c>
      <c r="T55" s="14" t="s">
        <v>1205</v>
      </c>
      <c r="U55" s="18">
        <v>13.548</v>
      </c>
      <c r="V55" s="18">
        <f t="shared" si="8"/>
        <v>17.569000000000003</v>
      </c>
      <c r="W55" s="18">
        <v>11.933</v>
      </c>
    </row>
    <row r="56" spans="1:23" x14ac:dyDescent="0.2">
      <c r="A56" s="5"/>
      <c r="B56" s="5"/>
      <c r="C56" s="5"/>
      <c r="D56" s="5"/>
      <c r="E56" s="5"/>
      <c r="F56" s="5"/>
      <c r="G56" s="5"/>
      <c r="H56" s="5"/>
      <c r="I56" s="5"/>
      <c r="J56" s="5"/>
      <c r="K56" s="5"/>
      <c r="L56" s="5"/>
      <c r="M56" s="5"/>
      <c r="N56" s="5"/>
      <c r="O56" s="5"/>
      <c r="P56" s="5"/>
      <c r="Q56" s="5"/>
      <c r="R56" s="5"/>
      <c r="T56" s="5"/>
      <c r="U56" s="5"/>
      <c r="V56" s="5"/>
      <c r="W56" s="5"/>
    </row>
    <row r="57" spans="1:23" x14ac:dyDescent="0.2">
      <c r="A57" s="5" t="s">
        <v>1253</v>
      </c>
      <c r="B57" s="15">
        <v>0</v>
      </c>
      <c r="C57" s="15">
        <v>0</v>
      </c>
      <c r="D57" s="15">
        <v>0</v>
      </c>
      <c r="E57" s="15">
        <v>0</v>
      </c>
      <c r="F57" s="15">
        <v>0</v>
      </c>
      <c r="G57" s="15">
        <v>0</v>
      </c>
      <c r="H57" s="15">
        <v>0</v>
      </c>
      <c r="I57" s="15">
        <v>0</v>
      </c>
      <c r="J57" s="15">
        <v>0</v>
      </c>
      <c r="K57" s="15">
        <v>0</v>
      </c>
      <c r="L57" s="15">
        <v>0</v>
      </c>
      <c r="M57" s="15">
        <v>0</v>
      </c>
      <c r="N57" s="15">
        <v>0</v>
      </c>
      <c r="O57" s="15">
        <v>0</v>
      </c>
      <c r="P57" s="15">
        <v>0</v>
      </c>
      <c r="Q57" s="15">
        <v>0</v>
      </c>
      <c r="R57" s="15">
        <v>0</v>
      </c>
      <c r="T57" s="5" t="s">
        <v>1253</v>
      </c>
      <c r="U57" s="15">
        <v>0</v>
      </c>
      <c r="V57" s="15">
        <f>Q57-U57</f>
        <v>0</v>
      </c>
      <c r="W57" s="15">
        <v>0</v>
      </c>
    </row>
    <row r="58" spans="1:23" x14ac:dyDescent="0.2">
      <c r="A58" s="5"/>
      <c r="B58" s="5"/>
      <c r="C58" s="5"/>
      <c r="D58" s="5"/>
      <c r="E58" s="5"/>
      <c r="F58" s="5"/>
      <c r="G58" s="5"/>
      <c r="H58" s="5"/>
      <c r="I58" s="5"/>
      <c r="J58" s="5"/>
      <c r="K58" s="5"/>
      <c r="L58" s="5"/>
      <c r="M58" s="5"/>
      <c r="N58" s="5"/>
      <c r="O58" s="5"/>
      <c r="P58" s="5"/>
      <c r="Q58" s="5"/>
      <c r="R58" s="5"/>
      <c r="T58" s="5"/>
      <c r="U58" s="5"/>
      <c r="V58" s="5"/>
      <c r="W58" s="5"/>
    </row>
    <row r="59" spans="1:23" ht="10.5" x14ac:dyDescent="0.2">
      <c r="A59" s="14" t="s">
        <v>1254</v>
      </c>
      <c r="B59" s="17">
        <v>0.19723499999999999</v>
      </c>
      <c r="C59" s="17">
        <v>0.262459</v>
      </c>
      <c r="D59" s="17">
        <v>0.65844400000000003</v>
      </c>
      <c r="E59" s="17">
        <v>1.1775009999999999</v>
      </c>
      <c r="F59" s="17">
        <v>1.679198</v>
      </c>
      <c r="G59" s="17">
        <v>0.81915099999999996</v>
      </c>
      <c r="H59" s="17">
        <v>0.80801699999999999</v>
      </c>
      <c r="I59" s="17">
        <v>2.0670459999999999</v>
      </c>
      <c r="J59" s="17">
        <v>3.9223560000000002</v>
      </c>
      <c r="K59" s="17">
        <v>5.14642</v>
      </c>
      <c r="L59" s="17">
        <v>7.0617850000000004</v>
      </c>
      <c r="M59" s="17">
        <v>11.534307999999999</v>
      </c>
      <c r="N59" s="17">
        <v>17.196116</v>
      </c>
      <c r="O59" s="17">
        <v>20.585726999999999</v>
      </c>
      <c r="P59" s="17">
        <v>27.352</v>
      </c>
      <c r="Q59" s="17">
        <v>31.117000000000001</v>
      </c>
      <c r="R59" s="17">
        <v>29.501999999999999</v>
      </c>
      <c r="T59" s="14" t="s">
        <v>1254</v>
      </c>
      <c r="U59" s="17">
        <v>13.548</v>
      </c>
      <c r="V59" s="17">
        <f t="shared" ref="V59:V60" si="9">Q59-U59</f>
        <v>17.569000000000003</v>
      </c>
      <c r="W59" s="17">
        <v>11.933</v>
      </c>
    </row>
    <row r="60" spans="1:23" ht="10.5" x14ac:dyDescent="0.2">
      <c r="A60" s="14" t="s">
        <v>1255</v>
      </c>
      <c r="B60" s="17">
        <v>0.19723499999999999</v>
      </c>
      <c r="C60" s="17">
        <v>0.227962</v>
      </c>
      <c r="D60" s="17">
        <v>0.65844400000000003</v>
      </c>
      <c r="E60" s="17">
        <v>1.1775009999999999</v>
      </c>
      <c r="F60" s="17">
        <v>1.679198</v>
      </c>
      <c r="G60" s="17">
        <v>0.81915099999999996</v>
      </c>
      <c r="H60" s="17">
        <v>0.80801699999999999</v>
      </c>
      <c r="I60" s="17">
        <v>2.0670459999999999</v>
      </c>
      <c r="J60" s="17">
        <v>3.9223560000000002</v>
      </c>
      <c r="K60" s="17">
        <v>5.14642</v>
      </c>
      <c r="L60" s="17">
        <v>7.0617850000000004</v>
      </c>
      <c r="M60" s="17">
        <v>11.534307999999999</v>
      </c>
      <c r="N60" s="17">
        <v>17.196116</v>
      </c>
      <c r="O60" s="17">
        <v>20.585726999999999</v>
      </c>
      <c r="P60" s="17">
        <v>27.352</v>
      </c>
      <c r="Q60" s="17">
        <v>31.117000000000001</v>
      </c>
      <c r="R60" s="17">
        <v>29.501999999999999</v>
      </c>
      <c r="T60" s="14" t="s">
        <v>1255</v>
      </c>
      <c r="U60" s="17">
        <v>13.548</v>
      </c>
      <c r="V60" s="17">
        <f t="shared" si="9"/>
        <v>17.569000000000003</v>
      </c>
      <c r="W60" s="17">
        <v>11.933</v>
      </c>
    </row>
    <row r="61" spans="1:23" x14ac:dyDescent="0.2">
      <c r="A61" s="5"/>
      <c r="B61" s="5"/>
      <c r="C61" s="5"/>
      <c r="D61" s="5"/>
      <c r="E61" s="5"/>
      <c r="F61" s="5"/>
      <c r="G61" s="5"/>
      <c r="H61" s="5"/>
      <c r="I61" s="5"/>
      <c r="J61" s="5"/>
      <c r="K61" s="5"/>
      <c r="L61" s="5"/>
      <c r="M61" s="5"/>
      <c r="N61" s="5"/>
      <c r="O61" s="5"/>
      <c r="P61" s="5"/>
      <c r="Q61" s="5"/>
      <c r="R61" s="5"/>
      <c r="T61" s="5"/>
      <c r="U61" s="5"/>
      <c r="V61" s="5"/>
      <c r="W61" s="5"/>
    </row>
    <row r="62" spans="1:23" ht="10.5" x14ac:dyDescent="0.2">
      <c r="A62" s="14" t="s">
        <v>1256</v>
      </c>
      <c r="B62" s="5"/>
      <c r="C62" s="5"/>
      <c r="D62" s="5"/>
      <c r="E62" s="5"/>
      <c r="F62" s="5"/>
      <c r="G62" s="5"/>
      <c r="H62" s="5"/>
      <c r="I62" s="5"/>
      <c r="J62" s="5"/>
      <c r="K62" s="5"/>
      <c r="L62" s="5"/>
      <c r="M62" s="5"/>
      <c r="N62" s="5"/>
      <c r="O62" s="5"/>
      <c r="P62" s="5"/>
      <c r="Q62" s="5"/>
      <c r="R62" s="5"/>
      <c r="T62" s="14" t="s">
        <v>1256</v>
      </c>
      <c r="U62" s="5"/>
      <c r="V62" s="5"/>
      <c r="W62" s="5"/>
    </row>
    <row r="63" spans="1:23" x14ac:dyDescent="0.2">
      <c r="A63" s="5" t="s">
        <v>1257</v>
      </c>
      <c r="B63" s="19">
        <v>3.9447000000000001</v>
      </c>
      <c r="C63" s="19">
        <v>5.24918</v>
      </c>
      <c r="D63" s="19">
        <v>0.11121399999999999</v>
      </c>
      <c r="E63" s="19">
        <v>0.19888500000000001</v>
      </c>
      <c r="F63" s="19">
        <v>0.28362399999999999</v>
      </c>
      <c r="G63" s="19">
        <v>0.13420499999999999</v>
      </c>
      <c r="H63" s="19">
        <v>0.132355</v>
      </c>
      <c r="I63" s="19">
        <v>0.33858199999999999</v>
      </c>
      <c r="J63" s="19">
        <v>0.64105400000000001</v>
      </c>
      <c r="K63" s="19">
        <v>0.84031299999999998</v>
      </c>
      <c r="L63" s="19">
        <v>1.1518120000000001</v>
      </c>
      <c r="M63" s="19">
        <v>1.881302</v>
      </c>
      <c r="N63" s="19">
        <v>2.7407379999999999</v>
      </c>
      <c r="O63" s="19">
        <v>3.1708090000000002</v>
      </c>
      <c r="P63" s="19" t="s">
        <v>52</v>
      </c>
      <c r="Q63" s="19" t="s">
        <v>52</v>
      </c>
      <c r="R63" s="19">
        <v>0.15057000000000001</v>
      </c>
      <c r="T63" s="5" t="s">
        <v>1257</v>
      </c>
      <c r="U63" s="19">
        <v>7.1164000000000005E-2</v>
      </c>
      <c r="V63" s="19"/>
      <c r="W63" s="19">
        <v>6.0901999999999998E-2</v>
      </c>
    </row>
    <row r="64" spans="1:23" x14ac:dyDescent="0.2">
      <c r="A64" s="5" t="s">
        <v>1258</v>
      </c>
      <c r="B64" s="19">
        <v>3.9447000000000001</v>
      </c>
      <c r="C64" s="19">
        <v>4.55924</v>
      </c>
      <c r="D64" s="19">
        <v>0.11121399999999999</v>
      </c>
      <c r="E64" s="19">
        <v>0.19888500000000001</v>
      </c>
      <c r="F64" s="19">
        <v>0.28362399999999999</v>
      </c>
      <c r="G64" s="19">
        <v>0.13420499999999999</v>
      </c>
      <c r="H64" s="19">
        <v>0.132355</v>
      </c>
      <c r="I64" s="19">
        <v>0.33858199999999999</v>
      </c>
      <c r="J64" s="19">
        <v>0.64105400000000001</v>
      </c>
      <c r="K64" s="19">
        <v>0.84031299999999998</v>
      </c>
      <c r="L64" s="19">
        <v>1.1518120000000001</v>
      </c>
      <c r="M64" s="19">
        <v>1.881302</v>
      </c>
      <c r="N64" s="19">
        <v>2.7407379999999999</v>
      </c>
      <c r="O64" s="19">
        <v>3.1708090000000002</v>
      </c>
      <c r="P64" s="19" t="s">
        <v>52</v>
      </c>
      <c r="Q64" s="19" t="s">
        <v>52</v>
      </c>
      <c r="R64" s="19">
        <v>0.15057000000000001</v>
      </c>
      <c r="T64" s="5" t="s">
        <v>1258</v>
      </c>
      <c r="U64" s="19">
        <v>7.1164000000000005E-2</v>
      </c>
      <c r="V64" s="19"/>
      <c r="W64" s="19">
        <v>6.0901999999999998E-2</v>
      </c>
    </row>
    <row r="65" spans="1:23" x14ac:dyDescent="0.2">
      <c r="A65" s="5" t="s">
        <v>1259</v>
      </c>
      <c r="B65" s="15">
        <v>0.05</v>
      </c>
      <c r="C65" s="15">
        <v>0.05</v>
      </c>
      <c r="D65" s="15">
        <v>5.9204999999999997</v>
      </c>
      <c r="E65" s="15">
        <v>5.9204999999999997</v>
      </c>
      <c r="F65" s="15">
        <v>5.9204999999999997</v>
      </c>
      <c r="G65" s="15">
        <v>6.1036999999999999</v>
      </c>
      <c r="H65" s="15">
        <v>6.1049150000000001</v>
      </c>
      <c r="I65" s="15">
        <v>6.1050000000000004</v>
      </c>
      <c r="J65" s="15">
        <v>6.1185999999999998</v>
      </c>
      <c r="K65" s="15">
        <v>6.1244059999999996</v>
      </c>
      <c r="L65" s="15">
        <v>6.1310209999999996</v>
      </c>
      <c r="M65" s="15">
        <v>6.1310209999999996</v>
      </c>
      <c r="N65" s="15">
        <v>6.2742630000000004</v>
      </c>
      <c r="O65" s="15">
        <v>6.4922630000000003</v>
      </c>
      <c r="P65" s="15" t="s">
        <v>52</v>
      </c>
      <c r="Q65" s="15" t="s">
        <v>52</v>
      </c>
      <c r="R65" s="15">
        <v>195.935</v>
      </c>
      <c r="T65" s="5" t="s">
        <v>1259</v>
      </c>
      <c r="U65" s="15">
        <v>190.376</v>
      </c>
      <c r="V65" s="15">
        <f>W65</f>
        <v>195.935</v>
      </c>
      <c r="W65" s="15">
        <v>195.935</v>
      </c>
    </row>
    <row r="66" spans="1:23" x14ac:dyDescent="0.2">
      <c r="A66" s="5"/>
      <c r="B66" s="5"/>
      <c r="C66" s="5"/>
      <c r="D66" s="5"/>
      <c r="E66" s="5"/>
      <c r="F66" s="5"/>
      <c r="G66" s="5"/>
      <c r="H66" s="5"/>
      <c r="I66" s="5"/>
      <c r="J66" s="5"/>
      <c r="K66" s="5"/>
      <c r="L66" s="5"/>
      <c r="M66" s="5"/>
      <c r="N66" s="5"/>
      <c r="O66" s="5"/>
      <c r="P66" s="5"/>
      <c r="Q66" s="5"/>
      <c r="R66" s="5"/>
      <c r="T66" s="5"/>
      <c r="U66" s="5"/>
      <c r="V66" s="5"/>
      <c r="W66" s="5"/>
    </row>
    <row r="67" spans="1:23" x14ac:dyDescent="0.2">
      <c r="A67" s="5" t="s">
        <v>1260</v>
      </c>
      <c r="B67" s="19">
        <v>3.9447000000000001</v>
      </c>
      <c r="C67" s="19">
        <v>5.24918</v>
      </c>
      <c r="D67" s="19">
        <v>0.11121399999999999</v>
      </c>
      <c r="E67" s="19">
        <v>0.19888500000000001</v>
      </c>
      <c r="F67" s="19">
        <v>0.28362399999999999</v>
      </c>
      <c r="G67" s="19">
        <v>0.13420499999999999</v>
      </c>
      <c r="H67" s="19">
        <v>0.132355</v>
      </c>
      <c r="I67" s="19">
        <v>0.33858199999999999</v>
      </c>
      <c r="J67" s="19">
        <v>0.64105400000000001</v>
      </c>
      <c r="K67" s="19">
        <v>0.84031299999999998</v>
      </c>
      <c r="L67" s="19">
        <v>1.1518120000000001</v>
      </c>
      <c r="M67" s="19">
        <v>1.881302</v>
      </c>
      <c r="N67" s="19">
        <v>2.7407379999999999</v>
      </c>
      <c r="O67" s="19">
        <v>3.1708090000000002</v>
      </c>
      <c r="P67" s="19" t="s">
        <v>52</v>
      </c>
      <c r="Q67" s="19" t="s">
        <v>52</v>
      </c>
      <c r="R67" s="19">
        <v>0.15057000000000001</v>
      </c>
      <c r="T67" s="5" t="s">
        <v>1260</v>
      </c>
      <c r="U67" s="19">
        <v>6.9900000000000004E-2</v>
      </c>
      <c r="V67" s="19"/>
      <c r="W67" s="19">
        <v>6.0699999999999997E-2</v>
      </c>
    </row>
    <row r="68" spans="1:23" x14ac:dyDescent="0.2">
      <c r="A68" s="5" t="s">
        <v>1261</v>
      </c>
      <c r="B68" s="19">
        <v>3.9447000000000001</v>
      </c>
      <c r="C68" s="19">
        <v>4.55924</v>
      </c>
      <c r="D68" s="19">
        <v>0.11121399999999999</v>
      </c>
      <c r="E68" s="19">
        <v>0.19888500000000001</v>
      </c>
      <c r="F68" s="19">
        <v>0.28362399999999999</v>
      </c>
      <c r="G68" s="19">
        <v>0.13420499999999999</v>
      </c>
      <c r="H68" s="19">
        <v>0.132355</v>
      </c>
      <c r="I68" s="19">
        <v>0.33858199999999999</v>
      </c>
      <c r="J68" s="19">
        <v>0.64105400000000001</v>
      </c>
      <c r="K68" s="19">
        <v>0.84031299999999998</v>
      </c>
      <c r="L68" s="19">
        <v>1.1518120000000001</v>
      </c>
      <c r="M68" s="19">
        <v>1.881302</v>
      </c>
      <c r="N68" s="19">
        <v>2.7407379999999999</v>
      </c>
      <c r="O68" s="19">
        <v>3.1708090000000002</v>
      </c>
      <c r="P68" s="19" t="s">
        <v>52</v>
      </c>
      <c r="Q68" s="19" t="s">
        <v>52</v>
      </c>
      <c r="R68" s="19">
        <v>0.15057000000000001</v>
      </c>
      <c r="T68" s="5" t="s">
        <v>1261</v>
      </c>
      <c r="U68" s="19">
        <v>6.9900000000000004E-2</v>
      </c>
      <c r="V68" s="19"/>
      <c r="W68" s="19">
        <v>6.0699999999999997E-2</v>
      </c>
    </row>
    <row r="69" spans="1:23" x14ac:dyDescent="0.2">
      <c r="A69" s="5" t="s">
        <v>1262</v>
      </c>
      <c r="B69" s="15">
        <v>0.05</v>
      </c>
      <c r="C69" s="15">
        <v>0.05</v>
      </c>
      <c r="D69" s="15">
        <v>5.9204999999999997</v>
      </c>
      <c r="E69" s="15">
        <v>5.9204999999999997</v>
      </c>
      <c r="F69" s="15">
        <v>5.9204999999999997</v>
      </c>
      <c r="G69" s="15">
        <v>6.1036999999999999</v>
      </c>
      <c r="H69" s="15">
        <v>6.1049150000000001</v>
      </c>
      <c r="I69" s="15">
        <v>6.1050000000000004</v>
      </c>
      <c r="J69" s="15">
        <v>6.1185999999999998</v>
      </c>
      <c r="K69" s="15">
        <v>6.1244059999999996</v>
      </c>
      <c r="L69" s="15">
        <v>6.1310209999999996</v>
      </c>
      <c r="M69" s="15">
        <v>6.1310209999999996</v>
      </c>
      <c r="N69" s="15">
        <v>6.2742630000000004</v>
      </c>
      <c r="O69" s="15">
        <v>6.4922630000000003</v>
      </c>
      <c r="P69" s="15" t="s">
        <v>52</v>
      </c>
      <c r="Q69" s="15" t="s">
        <v>52</v>
      </c>
      <c r="R69" s="15">
        <v>195.935</v>
      </c>
      <c r="T69" s="5" t="s">
        <v>1262</v>
      </c>
      <c r="U69" s="15">
        <v>193.72</v>
      </c>
      <c r="V69" s="15">
        <f>AVERAGE(U69,W69)</f>
        <v>195.1755</v>
      </c>
      <c r="W69" s="15">
        <v>196.631</v>
      </c>
    </row>
    <row r="70" spans="1:23" x14ac:dyDescent="0.2">
      <c r="A70" s="5"/>
      <c r="B70" s="5"/>
      <c r="C70" s="5"/>
      <c r="D70" s="5"/>
      <c r="E70" s="5"/>
      <c r="F70" s="5"/>
      <c r="G70" s="5"/>
      <c r="H70" s="5"/>
      <c r="I70" s="5"/>
      <c r="J70" s="5"/>
      <c r="K70" s="5"/>
      <c r="L70" s="5"/>
      <c r="M70" s="5"/>
      <c r="N70" s="5"/>
      <c r="O70" s="5"/>
      <c r="P70" s="5"/>
      <c r="Q70" s="5"/>
      <c r="R70" s="5"/>
      <c r="T70" s="5"/>
      <c r="U70" s="5"/>
      <c r="V70" s="5"/>
      <c r="W70" s="5"/>
    </row>
    <row r="71" spans="1:23" x14ac:dyDescent="0.2">
      <c r="A71" s="5" t="s">
        <v>1263</v>
      </c>
      <c r="B71" s="19">
        <v>2.5568399999999998</v>
      </c>
      <c r="C71" s="19">
        <v>4.1321399999999997</v>
      </c>
      <c r="D71" s="19">
        <v>0.121626</v>
      </c>
      <c r="E71" s="19">
        <v>0.17774200000000001</v>
      </c>
      <c r="F71" s="19">
        <v>0.37792500000000001</v>
      </c>
      <c r="G71" s="19">
        <v>0.124251</v>
      </c>
      <c r="H71" s="19">
        <v>0.13911299999999999</v>
      </c>
      <c r="I71" s="19">
        <v>0.35573500000000002</v>
      </c>
      <c r="J71" s="19">
        <v>0.61666500000000002</v>
      </c>
      <c r="K71" s="19">
        <v>0.77695000000000003</v>
      </c>
      <c r="L71" s="19">
        <v>1.0217499999999999</v>
      </c>
      <c r="M71" s="19">
        <v>1.6664950000000001</v>
      </c>
      <c r="N71" s="19">
        <v>2.2338640000000001</v>
      </c>
      <c r="O71" s="19">
        <v>2.6425260000000002</v>
      </c>
      <c r="P71" s="19" t="s">
        <v>52</v>
      </c>
      <c r="Q71" s="19" t="s">
        <v>52</v>
      </c>
      <c r="R71" s="19">
        <v>0.12928999999999999</v>
      </c>
      <c r="T71" s="5" t="s">
        <v>1263</v>
      </c>
      <c r="U71" s="19">
        <v>5.7030999999999998E-2</v>
      </c>
      <c r="V71" s="19"/>
      <c r="W71" s="19">
        <v>5.7821999999999998E-2</v>
      </c>
    </row>
    <row r="72" spans="1:23" x14ac:dyDescent="0.2">
      <c r="A72" s="5" t="s">
        <v>1264</v>
      </c>
      <c r="B72" s="19">
        <v>2.5568399999999998</v>
      </c>
      <c r="C72" s="19">
        <v>4.1321399999999997</v>
      </c>
      <c r="D72" s="19">
        <v>0.121626</v>
      </c>
      <c r="E72" s="19">
        <v>0.17774200000000001</v>
      </c>
      <c r="F72" s="19">
        <v>0.37792500000000001</v>
      </c>
      <c r="G72" s="19">
        <v>0.124251</v>
      </c>
      <c r="H72" s="19">
        <v>0.13911299999999999</v>
      </c>
      <c r="I72" s="19">
        <v>0.35573500000000002</v>
      </c>
      <c r="J72" s="19">
        <v>0.61666500000000002</v>
      </c>
      <c r="K72" s="19">
        <v>0.77695000000000003</v>
      </c>
      <c r="L72" s="19">
        <v>1.0217499999999999</v>
      </c>
      <c r="M72" s="19">
        <v>1.6664950000000001</v>
      </c>
      <c r="N72" s="19">
        <v>2.2338640000000001</v>
      </c>
      <c r="O72" s="19">
        <v>2.6425260000000002</v>
      </c>
      <c r="P72" s="19" t="s">
        <v>52</v>
      </c>
      <c r="Q72" s="19" t="s">
        <v>52</v>
      </c>
      <c r="R72" s="19">
        <v>0.12928999999999999</v>
      </c>
      <c r="T72" s="5" t="s">
        <v>1264</v>
      </c>
      <c r="U72" s="19">
        <v>5.6047E-2</v>
      </c>
      <c r="V72" s="19"/>
      <c r="W72" s="19">
        <v>5.7617000000000002E-2</v>
      </c>
    </row>
    <row r="73" spans="1:23" x14ac:dyDescent="0.2">
      <c r="A73" s="5"/>
      <c r="B73" s="5"/>
      <c r="C73" s="5"/>
      <c r="D73" s="5"/>
      <c r="E73" s="5"/>
      <c r="F73" s="5"/>
      <c r="G73" s="5"/>
      <c r="H73" s="5"/>
      <c r="I73" s="5"/>
      <c r="J73" s="5"/>
      <c r="K73" s="5"/>
      <c r="L73" s="5"/>
      <c r="M73" s="5"/>
      <c r="N73" s="5"/>
      <c r="O73" s="5"/>
      <c r="P73" s="5"/>
      <c r="Q73" s="5"/>
      <c r="R73" s="5"/>
      <c r="T73" s="5"/>
      <c r="U73" s="5"/>
      <c r="V73" s="5"/>
      <c r="W73" s="5"/>
    </row>
    <row r="74" spans="1:23" x14ac:dyDescent="0.2">
      <c r="A74" s="5" t="s">
        <v>1265</v>
      </c>
      <c r="B74" s="19" t="s">
        <v>52</v>
      </c>
      <c r="C74" s="19" t="s">
        <v>52</v>
      </c>
      <c r="D74" s="19" t="s">
        <v>52</v>
      </c>
      <c r="E74" s="19" t="s">
        <v>52</v>
      </c>
      <c r="F74" s="19" t="s">
        <v>52</v>
      </c>
      <c r="G74" s="19" t="s">
        <v>52</v>
      </c>
      <c r="H74" s="19" t="s">
        <v>52</v>
      </c>
      <c r="I74" s="19" t="s">
        <v>52</v>
      </c>
      <c r="J74" s="19" t="s">
        <v>52</v>
      </c>
      <c r="K74" s="19" t="s">
        <v>52</v>
      </c>
      <c r="L74" s="19" t="s">
        <v>52</v>
      </c>
      <c r="M74" s="19" t="s">
        <v>52</v>
      </c>
      <c r="N74" s="19" t="s">
        <v>52</v>
      </c>
      <c r="O74" s="19" t="s">
        <v>52</v>
      </c>
      <c r="P74" s="19">
        <v>0.74</v>
      </c>
      <c r="Q74" s="19">
        <v>4.0599999999999996</v>
      </c>
      <c r="R74" s="19">
        <v>4.077</v>
      </c>
      <c r="T74" s="5" t="s">
        <v>1265</v>
      </c>
      <c r="U74" s="19" t="s">
        <v>52</v>
      </c>
      <c r="V74" s="19"/>
      <c r="W74" s="19">
        <v>1.7000000000000001E-2</v>
      </c>
    </row>
    <row r="75" spans="1:23" x14ac:dyDescent="0.2">
      <c r="A75" s="5" t="s">
        <v>1266</v>
      </c>
      <c r="B75" s="20" t="s">
        <v>52</v>
      </c>
      <c r="C75" s="20" t="s">
        <v>52</v>
      </c>
      <c r="D75" s="21">
        <v>0.33551500000000001</v>
      </c>
      <c r="E75" s="20" t="s">
        <v>52</v>
      </c>
      <c r="F75" s="20" t="s">
        <v>52</v>
      </c>
      <c r="G75" s="20" t="s">
        <v>52</v>
      </c>
      <c r="H75" s="20" t="s">
        <v>52</v>
      </c>
      <c r="I75" s="20" t="s">
        <v>52</v>
      </c>
      <c r="J75" s="20" t="s">
        <v>52</v>
      </c>
      <c r="K75" s="21">
        <v>2.3317000000000001E-2</v>
      </c>
      <c r="L75" s="21">
        <v>1.274564</v>
      </c>
      <c r="M75" s="20" t="s">
        <v>52</v>
      </c>
      <c r="N75" s="21">
        <v>0.120133</v>
      </c>
      <c r="O75" s="21">
        <v>3.6433E-2</v>
      </c>
      <c r="P75" s="21">
        <v>0.17424600000000001</v>
      </c>
      <c r="Q75" s="21">
        <v>0.23495099999999999</v>
      </c>
      <c r="R75" s="21">
        <v>1.3585510000000001</v>
      </c>
      <c r="T75" s="5"/>
      <c r="U75" s="5"/>
      <c r="V75" s="5"/>
      <c r="W75" s="5"/>
    </row>
    <row r="76" spans="1:23" x14ac:dyDescent="0.2">
      <c r="A76" s="5"/>
      <c r="B76" s="5"/>
      <c r="C76" s="5"/>
      <c r="D76" s="5"/>
      <c r="E76" s="5"/>
      <c r="F76" s="5"/>
      <c r="G76" s="5"/>
      <c r="H76" s="5"/>
      <c r="I76" s="5"/>
      <c r="J76" s="5"/>
      <c r="K76" s="5"/>
      <c r="L76" s="5"/>
      <c r="M76" s="5"/>
      <c r="N76" s="5"/>
      <c r="O76" s="5"/>
      <c r="P76" s="5"/>
      <c r="Q76" s="5"/>
      <c r="R76" s="5"/>
      <c r="T76" s="5"/>
      <c r="U76" s="5"/>
      <c r="V76" s="5"/>
      <c r="W76" s="5"/>
    </row>
    <row r="77" spans="1:23" ht="10.5" x14ac:dyDescent="0.2">
      <c r="A77" s="14" t="s">
        <v>1267</v>
      </c>
      <c r="B77" s="5"/>
      <c r="C77" s="5"/>
      <c r="D77" s="5"/>
      <c r="E77" s="5"/>
      <c r="F77" s="5"/>
      <c r="G77" s="5"/>
      <c r="H77" s="5"/>
      <c r="I77" s="5"/>
      <c r="J77" s="5"/>
      <c r="K77" s="5"/>
      <c r="L77" s="5"/>
      <c r="M77" s="5"/>
      <c r="N77" s="5"/>
      <c r="O77" s="5"/>
      <c r="P77" s="5"/>
      <c r="Q77" s="5"/>
      <c r="R77" s="5"/>
      <c r="T77" s="14" t="s">
        <v>1267</v>
      </c>
      <c r="U77" s="5"/>
      <c r="V77" s="5"/>
      <c r="W77" s="5"/>
    </row>
    <row r="78" spans="1:23" x14ac:dyDescent="0.2">
      <c r="A78" s="5" t="s">
        <v>49</v>
      </c>
      <c r="B78" s="15">
        <v>0.61737200000000003</v>
      </c>
      <c r="C78" s="15">
        <v>0.95842799999999995</v>
      </c>
      <c r="D78" s="15">
        <v>1.453198</v>
      </c>
      <c r="E78" s="15">
        <v>1.800972</v>
      </c>
      <c r="F78" s="15">
        <v>2.1799620000000002</v>
      </c>
      <c r="G78" s="15">
        <v>1.363051</v>
      </c>
      <c r="H78" s="15">
        <v>1.4858450000000001</v>
      </c>
      <c r="I78" s="15">
        <v>3.4250609999999999</v>
      </c>
      <c r="J78" s="15">
        <v>5.8375779999999997</v>
      </c>
      <c r="K78" s="15">
        <v>7.6738030000000004</v>
      </c>
      <c r="L78" s="15">
        <v>10.305216</v>
      </c>
      <c r="M78" s="15">
        <v>16.527079000000001</v>
      </c>
      <c r="N78" s="15">
        <v>22.764682000000001</v>
      </c>
      <c r="O78" s="15">
        <v>28.436503999999999</v>
      </c>
      <c r="P78" s="15">
        <v>37.093000000000004</v>
      </c>
      <c r="Q78" s="15">
        <v>41.375999999999998</v>
      </c>
      <c r="R78" s="15">
        <v>42.134</v>
      </c>
      <c r="T78" s="5" t="s">
        <v>49</v>
      </c>
      <c r="U78" s="15">
        <v>18.344000000000001</v>
      </c>
      <c r="V78" s="15">
        <f t="shared" ref="V78:V80" si="10">Q78-U78</f>
        <v>23.031999999999996</v>
      </c>
      <c r="W78" s="15">
        <v>19.102</v>
      </c>
    </row>
    <row r="79" spans="1:23" x14ac:dyDescent="0.2">
      <c r="A79" s="5" t="s">
        <v>1268</v>
      </c>
      <c r="B79" s="15">
        <v>0.53351099999999996</v>
      </c>
      <c r="C79" s="15">
        <v>0.80632999999999999</v>
      </c>
      <c r="D79" s="15">
        <v>1.2353050000000001</v>
      </c>
      <c r="E79" s="15">
        <v>1.656871</v>
      </c>
      <c r="F79" s="15">
        <v>1.993617</v>
      </c>
      <c r="G79" s="15">
        <v>1.1471290000000001</v>
      </c>
      <c r="H79" s="15">
        <v>1.3125009999999999</v>
      </c>
      <c r="I79" s="15">
        <v>3.3336380000000001</v>
      </c>
      <c r="J79" s="15">
        <v>5.7374390000000002</v>
      </c>
      <c r="K79" s="15">
        <v>7.4000069999999996</v>
      </c>
      <c r="L79" s="15">
        <v>10.032755</v>
      </c>
      <c r="M79" s="15">
        <v>16.289691999999999</v>
      </c>
      <c r="N79" s="15">
        <v>22.290106999999999</v>
      </c>
      <c r="O79" s="15">
        <v>27.368122</v>
      </c>
      <c r="P79" s="15">
        <v>35.527999999999999</v>
      </c>
      <c r="Q79" s="15">
        <v>39.582000000000001</v>
      </c>
      <c r="R79" s="15">
        <v>40.311999999999998</v>
      </c>
      <c r="T79" s="5" t="s">
        <v>1268</v>
      </c>
      <c r="U79" s="15">
        <v>17.454000000000001</v>
      </c>
      <c r="V79" s="15">
        <f t="shared" si="10"/>
        <v>22.128</v>
      </c>
      <c r="W79" s="15">
        <v>18.181999999999999</v>
      </c>
    </row>
    <row r="80" spans="1:23" x14ac:dyDescent="0.2">
      <c r="A80" s="5" t="s">
        <v>759</v>
      </c>
      <c r="B80" s="15">
        <v>0.53351099999999996</v>
      </c>
      <c r="C80" s="15">
        <v>0.80632999999999999</v>
      </c>
      <c r="D80" s="15">
        <v>1.1837200000000001</v>
      </c>
      <c r="E80" s="15">
        <v>1.656871</v>
      </c>
      <c r="F80" s="15">
        <v>1.993617</v>
      </c>
      <c r="G80" s="15">
        <v>1.1471290000000001</v>
      </c>
      <c r="H80" s="15">
        <v>1.3125009999999999</v>
      </c>
      <c r="I80" s="15">
        <v>3.3336380000000001</v>
      </c>
      <c r="J80" s="15">
        <v>5.7374390000000002</v>
      </c>
      <c r="K80" s="15">
        <v>7.4000069999999996</v>
      </c>
      <c r="L80" s="15">
        <v>10.032755</v>
      </c>
      <c r="M80" s="15">
        <v>16.289691999999999</v>
      </c>
      <c r="N80" s="15">
        <v>22.290106999999999</v>
      </c>
      <c r="O80" s="15">
        <v>27.368122</v>
      </c>
      <c r="P80" s="15">
        <v>35.527999999999999</v>
      </c>
      <c r="Q80" s="15">
        <v>39.582000000000001</v>
      </c>
      <c r="R80" s="15">
        <v>40.311999999999998</v>
      </c>
      <c r="T80" s="5" t="s">
        <v>759</v>
      </c>
      <c r="U80" s="15">
        <v>17.291</v>
      </c>
      <c r="V80" s="15">
        <f t="shared" si="10"/>
        <v>22.291</v>
      </c>
      <c r="W80" s="15">
        <v>18.021000000000001</v>
      </c>
    </row>
    <row r="81" spans="1:23" x14ac:dyDescent="0.2">
      <c r="A81" s="5" t="s">
        <v>1269</v>
      </c>
      <c r="B81" s="15" t="s">
        <v>52</v>
      </c>
      <c r="C81" s="15" t="s">
        <v>52</v>
      </c>
      <c r="D81" s="15">
        <v>1.5828599999999999</v>
      </c>
      <c r="E81" s="15">
        <v>1.9180159999999999</v>
      </c>
      <c r="F81" s="15">
        <v>2.3377659999999998</v>
      </c>
      <c r="G81" s="15">
        <v>1.639859</v>
      </c>
      <c r="H81" s="15">
        <v>1.7258450000000001</v>
      </c>
      <c r="I81" s="15">
        <v>3.6534789999999999</v>
      </c>
      <c r="J81" s="15">
        <v>6.0775779999999999</v>
      </c>
      <c r="K81" s="15">
        <v>8.0288190000000004</v>
      </c>
      <c r="L81" s="15">
        <v>10.650074</v>
      </c>
      <c r="M81" s="15">
        <v>16.992688999999999</v>
      </c>
      <c r="N81" s="15">
        <v>23.752742000000001</v>
      </c>
      <c r="O81" s="15">
        <v>28.607994000000001</v>
      </c>
      <c r="P81" s="15">
        <v>37.491</v>
      </c>
      <c r="Q81" s="15">
        <v>41.877000000000002</v>
      </c>
      <c r="R81" s="15" t="s">
        <v>52</v>
      </c>
      <c r="T81" s="5"/>
      <c r="U81" s="15"/>
      <c r="V81" s="15"/>
      <c r="W81" s="15"/>
    </row>
    <row r="82" spans="1:23" x14ac:dyDescent="0.2">
      <c r="A82" s="5" t="s">
        <v>1270</v>
      </c>
      <c r="B82" s="21">
        <v>0.22589899999999999</v>
      </c>
      <c r="C82" s="21">
        <v>0.34371200000000002</v>
      </c>
      <c r="D82" s="21">
        <v>0.42850300000000002</v>
      </c>
      <c r="E82" s="21">
        <v>0.30065399999999998</v>
      </c>
      <c r="F82" s="21">
        <v>0.27736100000000002</v>
      </c>
      <c r="G82" s="21">
        <v>0.32492799999999999</v>
      </c>
      <c r="H82" s="21">
        <v>0.40536299999999997</v>
      </c>
      <c r="I82" s="21">
        <v>0.40513700000000002</v>
      </c>
      <c r="J82" s="21">
        <v>0.35027999999999998</v>
      </c>
      <c r="K82" s="21">
        <v>0.32402900000000001</v>
      </c>
      <c r="L82" s="21">
        <v>0.29544199999999998</v>
      </c>
      <c r="M82" s="21">
        <v>0.29443799999999998</v>
      </c>
      <c r="N82" s="21">
        <v>0.233184</v>
      </c>
      <c r="O82" s="21">
        <v>0.250052</v>
      </c>
      <c r="P82" s="21">
        <v>0.23233200000000001</v>
      </c>
      <c r="Q82" s="21">
        <v>0.21771299999999999</v>
      </c>
      <c r="R82" s="21">
        <v>0.221521</v>
      </c>
      <c r="T82" s="5" t="s">
        <v>1270</v>
      </c>
      <c r="U82" s="20" t="s">
        <v>52</v>
      </c>
      <c r="V82" s="20"/>
      <c r="W82" s="20" t="s">
        <v>52</v>
      </c>
    </row>
    <row r="83" spans="1:23" x14ac:dyDescent="0.2">
      <c r="A83" s="5" t="s">
        <v>1271</v>
      </c>
      <c r="B83" s="15" t="s">
        <v>52</v>
      </c>
      <c r="C83" s="15">
        <v>0.234599</v>
      </c>
      <c r="D83" s="15">
        <v>0.45752999999999999</v>
      </c>
      <c r="E83" s="15">
        <v>0.52647299999999997</v>
      </c>
      <c r="F83" s="15">
        <v>0.64525299999999997</v>
      </c>
      <c r="G83" s="15">
        <v>0.38</v>
      </c>
      <c r="H83" s="15">
        <v>0.58026599999999995</v>
      </c>
      <c r="I83" s="15">
        <v>1.4056500000000001</v>
      </c>
      <c r="J83" s="15">
        <v>2.0953979999999999</v>
      </c>
      <c r="K83" s="15">
        <v>2.465401</v>
      </c>
      <c r="L83" s="15">
        <v>2.9639000000000002</v>
      </c>
      <c r="M83" s="15">
        <v>4.8240590000000001</v>
      </c>
      <c r="N83" s="15">
        <v>5.7591570000000001</v>
      </c>
      <c r="O83" s="15">
        <v>6.4423149999999998</v>
      </c>
      <c r="P83" s="15">
        <v>8.1300000000000008</v>
      </c>
      <c r="Q83" s="15">
        <v>8.9640000000000004</v>
      </c>
      <c r="R83" s="15">
        <v>8.5169999999999995</v>
      </c>
      <c r="T83" s="5" t="s">
        <v>1271</v>
      </c>
      <c r="U83" s="15">
        <v>3.8980000000000001</v>
      </c>
      <c r="V83" s="15"/>
      <c r="W83" s="15">
        <v>3.4510000000000001</v>
      </c>
    </row>
    <row r="84" spans="1:23" x14ac:dyDescent="0.2">
      <c r="A84" s="5" t="s">
        <v>1272</v>
      </c>
      <c r="B84" s="15">
        <v>0</v>
      </c>
      <c r="C84" s="15">
        <v>0.234599</v>
      </c>
      <c r="D84" s="15">
        <v>0.45752999999999999</v>
      </c>
      <c r="E84" s="15">
        <v>0.52647299999999997</v>
      </c>
      <c r="F84" s="15">
        <v>0.64525299999999997</v>
      </c>
      <c r="G84" s="15">
        <v>0.38</v>
      </c>
      <c r="H84" s="15">
        <v>0.58026599999999995</v>
      </c>
      <c r="I84" s="15">
        <v>1.4056500000000001</v>
      </c>
      <c r="J84" s="15">
        <v>2.0953979999999999</v>
      </c>
      <c r="K84" s="15">
        <v>2.465401</v>
      </c>
      <c r="L84" s="15">
        <v>2.9639000000000002</v>
      </c>
      <c r="M84" s="15">
        <v>4.8240590000000001</v>
      </c>
      <c r="N84" s="15">
        <v>5.7591570000000001</v>
      </c>
      <c r="O84" s="15">
        <v>6.4423149999999998</v>
      </c>
      <c r="P84" s="15">
        <v>8.1300000000000008</v>
      </c>
      <c r="Q84" s="15">
        <v>8.9640000000000004</v>
      </c>
      <c r="R84" s="15">
        <v>8.5169999999999995</v>
      </c>
      <c r="T84" s="5" t="s">
        <v>1272</v>
      </c>
      <c r="U84" s="15">
        <v>3.8980000000000001</v>
      </c>
      <c r="V84" s="15"/>
      <c r="W84" s="15">
        <v>3.4510000000000001</v>
      </c>
    </row>
    <row r="85" spans="1:23" x14ac:dyDescent="0.2">
      <c r="A85" s="5" t="s">
        <v>1273</v>
      </c>
      <c r="B85" s="15" t="s">
        <v>52</v>
      </c>
      <c r="C85" s="15" t="s">
        <v>52</v>
      </c>
      <c r="D85" s="15" t="s">
        <v>52</v>
      </c>
      <c r="E85" s="15" t="s">
        <v>52</v>
      </c>
      <c r="F85" s="15" t="s">
        <v>52</v>
      </c>
      <c r="G85" s="15" t="s">
        <v>52</v>
      </c>
      <c r="H85" s="15" t="s">
        <v>52</v>
      </c>
      <c r="I85" s="15">
        <v>2.1310000000000001E-3</v>
      </c>
      <c r="J85" s="15" t="s">
        <v>52</v>
      </c>
      <c r="K85" s="15" t="s">
        <v>52</v>
      </c>
      <c r="L85" s="15" t="s">
        <v>52</v>
      </c>
      <c r="M85" s="15" t="s">
        <v>52</v>
      </c>
      <c r="N85" s="15" t="s">
        <v>52</v>
      </c>
      <c r="O85" s="15">
        <v>0.42152299999999998</v>
      </c>
      <c r="P85" s="15">
        <v>0.14799999999999999</v>
      </c>
      <c r="Q85" s="15">
        <v>-0.3</v>
      </c>
      <c r="R85" s="15">
        <v>-0.1</v>
      </c>
      <c r="T85" s="5" t="s">
        <v>1273</v>
      </c>
      <c r="U85" s="15">
        <v>-0.1</v>
      </c>
      <c r="V85" s="15"/>
      <c r="W85" s="15">
        <v>0.05</v>
      </c>
    </row>
    <row r="86" spans="1:23" x14ac:dyDescent="0.2">
      <c r="A86" s="5" t="s">
        <v>1274</v>
      </c>
      <c r="B86" s="15">
        <v>0</v>
      </c>
      <c r="C86" s="15">
        <v>0</v>
      </c>
      <c r="D86" s="15">
        <v>3.6166999999999998E-2</v>
      </c>
      <c r="E86" s="15">
        <v>0</v>
      </c>
      <c r="F86" s="15">
        <v>0</v>
      </c>
      <c r="G86" s="15">
        <v>1.4277E-2</v>
      </c>
      <c r="H86" s="15">
        <v>0</v>
      </c>
      <c r="I86" s="15">
        <v>2.1310000000000001E-3</v>
      </c>
      <c r="J86" s="15">
        <v>1.9248999999999999E-2</v>
      </c>
      <c r="K86" s="15">
        <v>1.557E-3</v>
      </c>
      <c r="L86" s="15">
        <v>0</v>
      </c>
      <c r="M86" s="15">
        <v>0</v>
      </c>
      <c r="N86" s="15">
        <v>-0.5</v>
      </c>
      <c r="O86" s="15">
        <v>0.42152299999999998</v>
      </c>
      <c r="P86" s="15">
        <v>0.14799999999999999</v>
      </c>
      <c r="Q86" s="15">
        <v>-0.3</v>
      </c>
      <c r="R86" s="15">
        <v>-0.1</v>
      </c>
      <c r="T86" s="5" t="s">
        <v>1274</v>
      </c>
      <c r="U86" s="15">
        <v>-0.1</v>
      </c>
      <c r="V86" s="15"/>
      <c r="W86" s="15">
        <v>0.05</v>
      </c>
    </row>
    <row r="87" spans="1:23" x14ac:dyDescent="0.2">
      <c r="A87" s="5"/>
      <c r="B87" s="5"/>
      <c r="C87" s="5"/>
      <c r="D87" s="5"/>
      <c r="E87" s="5"/>
      <c r="F87" s="5"/>
      <c r="G87" s="5"/>
      <c r="H87" s="5"/>
      <c r="I87" s="5"/>
      <c r="J87" s="5"/>
      <c r="K87" s="5"/>
      <c r="L87" s="5"/>
      <c r="M87" s="5"/>
      <c r="N87" s="5"/>
      <c r="O87" s="5"/>
      <c r="P87" s="5"/>
      <c r="Q87" s="5"/>
      <c r="R87" s="5"/>
      <c r="T87" s="5"/>
      <c r="U87" s="5"/>
      <c r="V87" s="5"/>
      <c r="W87" s="5"/>
    </row>
    <row r="88" spans="1:23" x14ac:dyDescent="0.2">
      <c r="A88" s="5" t="s">
        <v>1275</v>
      </c>
      <c r="B88" s="15">
        <v>0.12784200000000001</v>
      </c>
      <c r="C88" s="15">
        <v>0.20660700000000001</v>
      </c>
      <c r="D88" s="15">
        <v>0.72008899999999998</v>
      </c>
      <c r="E88" s="15">
        <v>1.052324</v>
      </c>
      <c r="F88" s="15">
        <v>2.2375090000000002</v>
      </c>
      <c r="G88" s="15">
        <v>0.75839299999999998</v>
      </c>
      <c r="H88" s="15">
        <v>0.84927600000000003</v>
      </c>
      <c r="I88" s="15">
        <v>2.171767</v>
      </c>
      <c r="J88" s="15">
        <v>3.7731270000000001</v>
      </c>
      <c r="K88" s="15">
        <v>4.7583609999999998</v>
      </c>
      <c r="L88" s="15">
        <v>6.2643760000000004</v>
      </c>
      <c r="M88" s="15">
        <v>10.217318000000001</v>
      </c>
      <c r="N88" s="15">
        <v>14.015853999999999</v>
      </c>
      <c r="O88" s="15">
        <v>17.155978000000001</v>
      </c>
      <c r="P88" s="15">
        <v>22.268750000000001</v>
      </c>
      <c r="Q88" s="15">
        <v>24.860624999999999</v>
      </c>
      <c r="R88" s="15">
        <v>25.3325</v>
      </c>
      <c r="T88" s="5" t="s">
        <v>1275</v>
      </c>
      <c r="U88" s="15">
        <v>10.8575</v>
      </c>
      <c r="V88" s="15"/>
      <c r="W88" s="15">
        <v>11.329375000000001</v>
      </c>
    </row>
    <row r="89" spans="1:23" x14ac:dyDescent="0.2">
      <c r="A89" s="5" t="s">
        <v>1276</v>
      </c>
      <c r="B89" s="15">
        <v>3.4589999999999998E-3</v>
      </c>
      <c r="C89" s="15">
        <v>1.0280000000000001E-3</v>
      </c>
      <c r="D89" s="15">
        <v>2.7290000000000001E-3</v>
      </c>
      <c r="E89" s="15">
        <v>1.5410000000000001E-3</v>
      </c>
      <c r="F89" s="15">
        <v>5.7399999999999997E-4</v>
      </c>
      <c r="G89" s="15" t="s">
        <v>52</v>
      </c>
      <c r="H89" s="15" t="s">
        <v>52</v>
      </c>
      <c r="I89" s="15" t="s">
        <v>52</v>
      </c>
      <c r="J89" s="15" t="s">
        <v>52</v>
      </c>
      <c r="K89" s="15" t="s">
        <v>52</v>
      </c>
      <c r="L89" s="15" t="s">
        <v>52</v>
      </c>
      <c r="M89" s="15" t="s">
        <v>52</v>
      </c>
      <c r="N89" s="15" t="s">
        <v>52</v>
      </c>
      <c r="O89" s="15" t="s">
        <v>52</v>
      </c>
      <c r="P89" s="15" t="s">
        <v>52</v>
      </c>
      <c r="Q89" s="15" t="s">
        <v>52</v>
      </c>
      <c r="R89" s="15" t="s">
        <v>52</v>
      </c>
      <c r="T89" s="5"/>
      <c r="U89" s="15"/>
      <c r="V89" s="15"/>
      <c r="W89" s="15"/>
    </row>
    <row r="90" spans="1:23" x14ac:dyDescent="0.2">
      <c r="A90" s="5" t="s">
        <v>1277</v>
      </c>
      <c r="B90" s="22">
        <v>37319</v>
      </c>
      <c r="C90" s="22">
        <v>37683</v>
      </c>
      <c r="D90" s="22">
        <v>37683</v>
      </c>
      <c r="E90" s="22">
        <v>38412</v>
      </c>
      <c r="F90" s="22">
        <v>38875</v>
      </c>
      <c r="G90" s="22">
        <v>39270</v>
      </c>
      <c r="H90" s="22">
        <v>39601</v>
      </c>
      <c r="I90" s="22">
        <v>39961</v>
      </c>
      <c r="J90" s="22">
        <v>40290</v>
      </c>
      <c r="K90" s="22">
        <v>40666</v>
      </c>
      <c r="L90" s="22">
        <v>41031</v>
      </c>
      <c r="M90" s="22">
        <v>41402</v>
      </c>
      <c r="N90" s="22">
        <v>41752</v>
      </c>
      <c r="O90" s="22">
        <v>41969</v>
      </c>
      <c r="P90" s="22">
        <v>42296</v>
      </c>
      <c r="Q90" s="22">
        <v>42296</v>
      </c>
      <c r="R90" s="22">
        <v>42446</v>
      </c>
      <c r="T90" s="5" t="s">
        <v>1277</v>
      </c>
      <c r="U90" s="22">
        <v>42446</v>
      </c>
      <c r="V90" s="22"/>
      <c r="W90" s="22">
        <v>42446</v>
      </c>
    </row>
    <row r="91" spans="1:23" x14ac:dyDescent="0.2">
      <c r="A91" s="5" t="s">
        <v>1278</v>
      </c>
      <c r="B91" s="20" t="s">
        <v>1279</v>
      </c>
      <c r="C91" s="20" t="s">
        <v>1279</v>
      </c>
      <c r="D91" s="20" t="s">
        <v>1280</v>
      </c>
      <c r="E91" s="20" t="s">
        <v>1279</v>
      </c>
      <c r="F91" s="20" t="s">
        <v>1281</v>
      </c>
      <c r="G91" s="20" t="s">
        <v>1279</v>
      </c>
      <c r="H91" s="20" t="s">
        <v>1281</v>
      </c>
      <c r="I91" s="20" t="s">
        <v>1279</v>
      </c>
      <c r="J91" s="20" t="s">
        <v>1279</v>
      </c>
      <c r="K91" s="20" t="s">
        <v>1279</v>
      </c>
      <c r="L91" s="20" t="s">
        <v>1279</v>
      </c>
      <c r="M91" s="20" t="s">
        <v>1279</v>
      </c>
      <c r="N91" s="20" t="s">
        <v>1281</v>
      </c>
      <c r="O91" s="20" t="s">
        <v>1281</v>
      </c>
      <c r="P91" s="20" t="s">
        <v>1281</v>
      </c>
      <c r="Q91" s="20" t="s">
        <v>1280</v>
      </c>
      <c r="R91" s="20" t="s">
        <v>1280</v>
      </c>
      <c r="T91" s="5" t="s">
        <v>1278</v>
      </c>
      <c r="U91" s="20" t="s">
        <v>1280</v>
      </c>
      <c r="V91" s="20"/>
      <c r="W91" s="20" t="s">
        <v>1280</v>
      </c>
    </row>
    <row r="92" spans="1:23" x14ac:dyDescent="0.2">
      <c r="A92" s="5" t="s">
        <v>1282</v>
      </c>
      <c r="B92" s="20" t="s">
        <v>1284</v>
      </c>
      <c r="C92" s="20" t="s">
        <v>1284</v>
      </c>
      <c r="D92" s="20" t="s">
        <v>1284</v>
      </c>
      <c r="E92" s="20" t="s">
        <v>1284</v>
      </c>
      <c r="F92" s="20" t="s">
        <v>1284</v>
      </c>
      <c r="G92" s="20" t="s">
        <v>1284</v>
      </c>
      <c r="H92" s="20" t="s">
        <v>1284</v>
      </c>
      <c r="I92" s="20" t="s">
        <v>1284</v>
      </c>
      <c r="J92" s="20" t="s">
        <v>1284</v>
      </c>
      <c r="K92" s="20" t="s">
        <v>1284</v>
      </c>
      <c r="L92" s="20" t="s">
        <v>1284</v>
      </c>
      <c r="M92" s="20" t="s">
        <v>1284</v>
      </c>
      <c r="N92" s="20" t="s">
        <v>1284</v>
      </c>
      <c r="O92" s="20" t="s">
        <v>1284</v>
      </c>
      <c r="P92" s="20" t="s">
        <v>1284</v>
      </c>
      <c r="Q92" s="20" t="s">
        <v>1284</v>
      </c>
      <c r="R92" s="20" t="s">
        <v>1448</v>
      </c>
      <c r="T92" s="5" t="s">
        <v>1282</v>
      </c>
      <c r="U92" s="20" t="s">
        <v>1284</v>
      </c>
      <c r="V92" s="20"/>
      <c r="W92" s="20" t="s">
        <v>1284</v>
      </c>
    </row>
    <row r="93" spans="1:23" x14ac:dyDescent="0.2">
      <c r="A93" s="5"/>
      <c r="B93" s="5"/>
      <c r="C93" s="5"/>
      <c r="D93" s="5"/>
      <c r="E93" s="5"/>
      <c r="F93" s="5"/>
      <c r="G93" s="5"/>
      <c r="H93" s="5"/>
      <c r="I93" s="5"/>
      <c r="J93" s="5"/>
      <c r="K93" s="5"/>
      <c r="L93" s="5"/>
      <c r="M93" s="5"/>
      <c r="N93" s="5"/>
      <c r="O93" s="5"/>
      <c r="P93" s="5"/>
      <c r="Q93" s="5"/>
      <c r="R93" s="5"/>
      <c r="T93" s="5"/>
      <c r="U93" s="5"/>
      <c r="V93" s="5"/>
      <c r="W93" s="5"/>
    </row>
    <row r="94" spans="1:23" ht="10.5" x14ac:dyDescent="0.2">
      <c r="A94" s="14" t="s">
        <v>1285</v>
      </c>
      <c r="B94" s="5"/>
      <c r="C94" s="5"/>
      <c r="D94" s="5"/>
      <c r="E94" s="5"/>
      <c r="F94" s="5"/>
      <c r="G94" s="5"/>
      <c r="H94" s="5"/>
      <c r="I94" s="5"/>
      <c r="J94" s="5"/>
      <c r="K94" s="5"/>
      <c r="L94" s="5"/>
      <c r="M94" s="5"/>
      <c r="N94" s="5"/>
      <c r="O94" s="5"/>
      <c r="P94" s="5"/>
      <c r="Q94" s="5"/>
      <c r="R94" s="5"/>
      <c r="T94" s="14" t="s">
        <v>1285</v>
      </c>
      <c r="U94" s="5"/>
      <c r="V94" s="5"/>
      <c r="W94" s="5"/>
    </row>
    <row r="95" spans="1:23" x14ac:dyDescent="0.2">
      <c r="A95" s="5" t="s">
        <v>1286</v>
      </c>
      <c r="B95" s="15">
        <v>2.6439699999999999</v>
      </c>
      <c r="C95" s="15">
        <v>3.7307100000000002</v>
      </c>
      <c r="D95" s="15">
        <v>5.9687549999999998</v>
      </c>
      <c r="E95" s="15">
        <v>5.6917020000000003</v>
      </c>
      <c r="F95" s="15">
        <v>6.7127520000000001</v>
      </c>
      <c r="G95" s="15">
        <v>7.415324</v>
      </c>
      <c r="H95" s="15">
        <v>9.5461860000000005</v>
      </c>
      <c r="I95" s="15">
        <v>11.861407</v>
      </c>
      <c r="J95" s="15">
        <v>14.020987999999999</v>
      </c>
      <c r="K95" s="15">
        <v>14.682206000000001</v>
      </c>
      <c r="L95" s="15">
        <v>18.485997000000001</v>
      </c>
      <c r="M95" s="15">
        <v>27.016508999999999</v>
      </c>
      <c r="N95" s="15">
        <v>33.994318999999997</v>
      </c>
      <c r="O95" s="15">
        <v>43.044390999999997</v>
      </c>
      <c r="P95" s="15">
        <v>52.993000000000002</v>
      </c>
      <c r="Q95" s="15">
        <v>62.84</v>
      </c>
      <c r="R95" s="15">
        <v>68.146000000000001</v>
      </c>
      <c r="T95" s="5" t="s">
        <v>1286</v>
      </c>
      <c r="U95" s="15">
        <v>29.347999999999999</v>
      </c>
      <c r="V95" s="15">
        <f t="shared" ref="V95" si="11">Q95-U95</f>
        <v>33.492000000000004</v>
      </c>
      <c r="W95" s="15">
        <v>34.654000000000003</v>
      </c>
    </row>
    <row r="96" spans="1:23" x14ac:dyDescent="0.2">
      <c r="A96" s="5" t="s">
        <v>1287</v>
      </c>
      <c r="B96" s="15" t="s">
        <v>52</v>
      </c>
      <c r="C96" s="15" t="s">
        <v>52</v>
      </c>
      <c r="D96" s="15">
        <v>0.129662</v>
      </c>
      <c r="E96" s="15">
        <v>0.117044</v>
      </c>
      <c r="F96" s="15">
        <v>0.157804</v>
      </c>
      <c r="G96" s="15">
        <v>0.276808</v>
      </c>
      <c r="H96" s="15">
        <v>0.24</v>
      </c>
      <c r="I96" s="15">
        <v>0.22841800000000001</v>
      </c>
      <c r="J96" s="15">
        <v>0.24</v>
      </c>
      <c r="K96" s="15">
        <v>0.355016</v>
      </c>
      <c r="L96" s="15">
        <v>0.344858</v>
      </c>
      <c r="M96" s="15">
        <v>0.46561000000000002</v>
      </c>
      <c r="N96" s="15">
        <v>0.98806000000000005</v>
      </c>
      <c r="O96" s="15">
        <v>0.17149</v>
      </c>
      <c r="P96" s="15">
        <v>0.39800000000000002</v>
      </c>
      <c r="Q96" s="15">
        <v>0.501</v>
      </c>
      <c r="R96" s="15" t="s">
        <v>52</v>
      </c>
      <c r="T96" s="5"/>
      <c r="U96" s="5"/>
      <c r="V96" s="5"/>
      <c r="W96" s="5"/>
    </row>
    <row r="97" spans="1:256" x14ac:dyDescent="0.2">
      <c r="A97" s="5" t="s">
        <v>1288</v>
      </c>
      <c r="B97" s="15">
        <v>0</v>
      </c>
      <c r="C97" s="15">
        <v>0</v>
      </c>
      <c r="D97" s="15">
        <v>1.2127000000000001E-2</v>
      </c>
      <c r="E97" s="15">
        <v>5.3810000000000004E-3</v>
      </c>
      <c r="F97" s="15">
        <v>0</v>
      </c>
      <c r="G97" s="15">
        <v>0</v>
      </c>
      <c r="H97" s="15">
        <v>2.1964999999999998E-2</v>
      </c>
      <c r="I97" s="15">
        <v>4.6709999999999998E-3</v>
      </c>
      <c r="J97" s="15">
        <v>4.8200000000000001E-4</v>
      </c>
      <c r="K97" s="15">
        <v>6.8199999999999999E-4</v>
      </c>
      <c r="L97" s="15">
        <v>3.6576999999999998E-2</v>
      </c>
      <c r="M97" s="15">
        <v>4.4700000000000002E-4</v>
      </c>
      <c r="N97" s="15">
        <v>0</v>
      </c>
      <c r="O97" s="15">
        <v>0</v>
      </c>
      <c r="P97" s="15">
        <v>0</v>
      </c>
      <c r="Q97" s="15">
        <v>0</v>
      </c>
      <c r="R97" s="15">
        <v>0</v>
      </c>
      <c r="T97" s="5"/>
      <c r="U97" s="5"/>
      <c r="V97" s="5"/>
      <c r="W97" s="5"/>
    </row>
    <row r="98" spans="1:256" x14ac:dyDescent="0.2">
      <c r="A98" s="5" t="s">
        <v>1289</v>
      </c>
      <c r="B98" s="15">
        <v>0</v>
      </c>
      <c r="C98" s="15">
        <v>0</v>
      </c>
      <c r="D98" s="15">
        <v>0.117535</v>
      </c>
      <c r="E98" s="15">
        <v>0.111663</v>
      </c>
      <c r="F98" s="15">
        <v>0</v>
      </c>
      <c r="G98" s="15">
        <v>0</v>
      </c>
      <c r="H98" s="15">
        <v>0.21803500000000001</v>
      </c>
      <c r="I98" s="15">
        <v>0.223747</v>
      </c>
      <c r="J98" s="15">
        <v>0.23951800000000001</v>
      </c>
      <c r="K98" s="15">
        <v>0.35433399999999998</v>
      </c>
      <c r="L98" s="15">
        <v>0.30828100000000003</v>
      </c>
      <c r="M98" s="15">
        <v>0.46516299999999999</v>
      </c>
      <c r="N98" s="15">
        <v>0</v>
      </c>
      <c r="O98" s="15">
        <v>0</v>
      </c>
      <c r="P98" s="15">
        <v>0</v>
      </c>
      <c r="Q98" s="15">
        <v>0</v>
      </c>
      <c r="R98" s="15">
        <v>0</v>
      </c>
      <c r="T98" s="5"/>
      <c r="U98" s="5"/>
      <c r="V98" s="5"/>
      <c r="W98" s="5"/>
    </row>
    <row r="99" spans="1:256" x14ac:dyDescent="0.2">
      <c r="A99" s="5"/>
      <c r="B99" s="5"/>
      <c r="C99" s="5"/>
      <c r="D99" s="5"/>
      <c r="E99" s="5"/>
      <c r="F99" s="5"/>
      <c r="G99" s="5"/>
      <c r="H99" s="5"/>
      <c r="I99" s="5"/>
      <c r="J99" s="5"/>
      <c r="K99" s="5"/>
      <c r="L99" s="5"/>
      <c r="M99" s="5"/>
      <c r="N99" s="5"/>
      <c r="O99" s="5"/>
      <c r="P99" s="5"/>
      <c r="Q99" s="5"/>
      <c r="R99" s="5"/>
      <c r="T99" s="5"/>
      <c r="U99" s="5"/>
      <c r="V99" s="5"/>
      <c r="W99" s="5"/>
    </row>
    <row r="100" spans="1:256" x14ac:dyDescent="0.2">
      <c r="A100" s="5" t="s">
        <v>1290</v>
      </c>
      <c r="B100" s="15">
        <v>0</v>
      </c>
      <c r="C100" s="15">
        <v>0</v>
      </c>
      <c r="D100" s="15">
        <v>0</v>
      </c>
      <c r="E100" s="15">
        <v>0</v>
      </c>
      <c r="F100" s="15">
        <v>0</v>
      </c>
      <c r="G100" s="15">
        <v>0</v>
      </c>
      <c r="H100" s="15">
        <v>0.34357500000000002</v>
      </c>
      <c r="I100" s="15">
        <v>0.32500000000000001</v>
      </c>
      <c r="J100" s="15">
        <v>6.7757999999999999E-2</v>
      </c>
      <c r="K100" s="15">
        <v>0</v>
      </c>
      <c r="L100" s="15">
        <v>0</v>
      </c>
      <c r="M100" s="15">
        <v>0.15603700000000001</v>
      </c>
      <c r="N100" s="15">
        <v>0.915798</v>
      </c>
      <c r="O100" s="15">
        <v>0.73489099999999996</v>
      </c>
      <c r="P100" s="15">
        <v>2.41E-4</v>
      </c>
      <c r="Q100" s="15">
        <v>5.4840000000000002E-3</v>
      </c>
      <c r="R100" s="15">
        <v>0.51010599999999995</v>
      </c>
      <c r="T100" s="5" t="s">
        <v>1290</v>
      </c>
      <c r="U100" s="15">
        <v>1.1900000000000001E-3</v>
      </c>
      <c r="V100" s="15">
        <f t="shared" ref="V100" si="12">Q100-U100</f>
        <v>4.2940000000000001E-3</v>
      </c>
      <c r="W100" s="15">
        <v>0.50581200000000004</v>
      </c>
    </row>
    <row r="101" spans="1:256" ht="10.5" x14ac:dyDescent="0.2">
      <c r="A101" s="14" t="s">
        <v>1291</v>
      </c>
      <c r="B101" s="17">
        <v>0</v>
      </c>
      <c r="C101" s="17">
        <v>0</v>
      </c>
      <c r="D101" s="17">
        <v>0</v>
      </c>
      <c r="E101" s="17">
        <v>0</v>
      </c>
      <c r="F101" s="17">
        <v>0</v>
      </c>
      <c r="G101" s="17">
        <v>0</v>
      </c>
      <c r="H101" s="17">
        <v>0.34357500000000002</v>
      </c>
      <c r="I101" s="17">
        <v>0.32500000000000001</v>
      </c>
      <c r="J101" s="17">
        <v>6.7757999999999999E-2</v>
      </c>
      <c r="K101" s="17">
        <v>0</v>
      </c>
      <c r="L101" s="17">
        <v>0</v>
      </c>
      <c r="M101" s="17">
        <v>0.15603700000000001</v>
      </c>
      <c r="N101" s="17">
        <v>0.915798</v>
      </c>
      <c r="O101" s="17">
        <v>0.73489099999999996</v>
      </c>
      <c r="P101" s="17">
        <v>2.41E-4</v>
      </c>
      <c r="Q101" s="17">
        <v>5.4840000000000002E-3</v>
      </c>
      <c r="R101" s="17">
        <v>0.51010599999999995</v>
      </c>
      <c r="T101" s="14" t="s">
        <v>1291</v>
      </c>
      <c r="U101" s="17">
        <v>1.1900000000000001E-3</v>
      </c>
      <c r="V101" s="15">
        <f t="shared" ref="V101" si="13">Q101-U101</f>
        <v>4.2940000000000001E-3</v>
      </c>
      <c r="W101" s="17">
        <v>0.50581200000000004</v>
      </c>
    </row>
    <row r="102" spans="1:256" x14ac:dyDescent="0.2">
      <c r="A102" s="5"/>
      <c r="B102" s="5"/>
      <c r="C102" s="5"/>
      <c r="D102" s="5"/>
      <c r="E102" s="5"/>
      <c r="F102" s="5"/>
      <c r="G102" s="5"/>
      <c r="H102" s="5"/>
      <c r="I102" s="5"/>
      <c r="J102" s="5"/>
      <c r="K102" s="5"/>
      <c r="L102" s="5"/>
      <c r="M102" s="5"/>
      <c r="N102" s="5"/>
      <c r="O102" s="5"/>
      <c r="P102" s="5"/>
      <c r="Q102" s="5"/>
      <c r="R102" s="5"/>
      <c r="T102" s="5"/>
      <c r="U102" s="5"/>
      <c r="V102" s="5"/>
      <c r="W102" s="5"/>
    </row>
    <row r="103" spans="1:256" x14ac:dyDescent="0.2">
      <c r="A103" s="8" t="s">
        <v>919</v>
      </c>
      <c r="B103" s="8"/>
      <c r="C103" s="8"/>
      <c r="D103" s="8"/>
      <c r="E103" s="8"/>
      <c r="F103" s="8"/>
      <c r="G103" s="8"/>
      <c r="H103" s="8"/>
      <c r="I103" s="8"/>
      <c r="J103" s="8"/>
      <c r="K103" s="8"/>
      <c r="L103" s="8"/>
      <c r="M103" s="8"/>
      <c r="N103" s="8"/>
      <c r="O103" s="8"/>
      <c r="P103" s="8"/>
      <c r="Q103" s="8"/>
      <c r="R103" s="8"/>
      <c r="S103" s="9"/>
      <c r="T103" s="8" t="s">
        <v>919</v>
      </c>
      <c r="U103" s="8"/>
      <c r="V103" s="8"/>
      <c r="W103" s="8"/>
    </row>
    <row r="104" spans="1:256" ht="21" x14ac:dyDescent="0.25">
      <c r="A104" s="10" t="s">
        <v>1065</v>
      </c>
      <c r="B104" s="23">
        <v>36738</v>
      </c>
      <c r="C104" s="23">
        <v>37103</v>
      </c>
      <c r="D104" s="23">
        <v>37468</v>
      </c>
      <c r="E104" s="23">
        <v>37833</v>
      </c>
      <c r="F104" s="11" t="s">
        <v>1292</v>
      </c>
      <c r="G104" s="23">
        <v>38564</v>
      </c>
      <c r="H104" s="23">
        <v>38929</v>
      </c>
      <c r="I104" s="23">
        <v>39294</v>
      </c>
      <c r="J104" s="23">
        <v>39660</v>
      </c>
      <c r="K104" s="23">
        <v>40025</v>
      </c>
      <c r="L104" s="23">
        <v>40390</v>
      </c>
      <c r="M104" s="23">
        <v>40755</v>
      </c>
      <c r="N104" s="11" t="s">
        <v>1293</v>
      </c>
      <c r="O104" s="11" t="s">
        <v>1294</v>
      </c>
      <c r="P104" s="11" t="s">
        <v>1295</v>
      </c>
      <c r="Q104" s="23">
        <v>42216</v>
      </c>
      <c r="R104" s="23">
        <v>42400</v>
      </c>
      <c r="T104" s="10" t="s">
        <v>1065</v>
      </c>
      <c r="U104" s="11" t="s">
        <v>1486</v>
      </c>
      <c r="V104" s="11"/>
      <c r="W104" s="11" t="s">
        <v>1297</v>
      </c>
      <c r="Y104" s="9"/>
      <c r="Z104" s="9"/>
      <c r="AA104" s="9"/>
      <c r="AB104" s="9"/>
      <c r="AC104" s="9"/>
      <c r="AD104" s="9"/>
      <c r="AE104" s="9"/>
      <c r="AF104" s="9"/>
      <c r="AG104" s="9"/>
      <c r="AH104" s="9"/>
      <c r="AI104" s="9"/>
      <c r="AJ104" s="9"/>
      <c r="AK104" s="9"/>
      <c r="AL104" s="9"/>
      <c r="AM104" s="9"/>
      <c r="AN104" s="9"/>
      <c r="AO104" s="9"/>
      <c r="AP104" s="9"/>
      <c r="AQ104" s="9"/>
      <c r="AR104" s="9"/>
      <c r="AS104" s="9"/>
      <c r="AT104" s="9"/>
      <c r="AU104" s="9"/>
      <c r="AV104" s="9"/>
      <c r="AW104" s="9"/>
      <c r="AX104" s="9"/>
      <c r="AY104" s="9"/>
      <c r="AZ104" s="9"/>
      <c r="BA104" s="9"/>
      <c r="BB104" s="9"/>
      <c r="BC104" s="9"/>
      <c r="BD104" s="9"/>
      <c r="BE104" s="9"/>
      <c r="BF104" s="9"/>
      <c r="BG104" s="9"/>
      <c r="BH104" s="9"/>
      <c r="BI104" s="9"/>
      <c r="BJ104" s="9"/>
      <c r="BK104" s="9"/>
      <c r="BL104" s="9"/>
      <c r="BM104" s="9"/>
      <c r="BN104" s="9"/>
      <c r="BO104" s="9"/>
      <c r="BP104" s="9"/>
      <c r="BQ104" s="9"/>
      <c r="BR104" s="9"/>
      <c r="BS104" s="9"/>
      <c r="BT104" s="9"/>
      <c r="BU104" s="9"/>
      <c r="BV104" s="9"/>
      <c r="BW104" s="9"/>
      <c r="BX104" s="9"/>
      <c r="BY104" s="9"/>
      <c r="BZ104" s="9"/>
      <c r="CA104" s="9"/>
      <c r="CB104" s="9"/>
      <c r="CC104" s="9"/>
      <c r="CD104" s="9"/>
      <c r="CE104" s="9"/>
      <c r="CF104" s="9"/>
      <c r="CG104" s="9"/>
      <c r="CH104" s="9"/>
      <c r="CI104" s="9"/>
      <c r="CJ104" s="9"/>
      <c r="CK104" s="9"/>
      <c r="CL104" s="9"/>
      <c r="CM104" s="9"/>
      <c r="CN104" s="9"/>
      <c r="CO104" s="9"/>
      <c r="CP104" s="9"/>
      <c r="CQ104" s="9"/>
      <c r="CR104" s="9"/>
      <c r="CS104" s="9"/>
      <c r="CT104" s="9"/>
      <c r="CU104" s="9"/>
      <c r="CV104" s="9"/>
      <c r="CW104" s="9"/>
      <c r="CX104" s="9"/>
      <c r="CY104" s="9"/>
      <c r="CZ104" s="9"/>
      <c r="DA104" s="9"/>
      <c r="DB104" s="9"/>
      <c r="DC104" s="9"/>
      <c r="DD104" s="9"/>
      <c r="DE104" s="9"/>
      <c r="DF104" s="9"/>
      <c r="DG104" s="9"/>
      <c r="DH104" s="9"/>
      <c r="DI104" s="9"/>
      <c r="DJ104" s="9"/>
      <c r="DK104" s="9"/>
      <c r="DL104" s="9"/>
      <c r="DM104" s="9"/>
      <c r="DN104" s="9"/>
      <c r="DO104" s="9"/>
      <c r="DP104" s="9"/>
      <c r="DQ104" s="9"/>
      <c r="DR104" s="9"/>
      <c r="DS104" s="9"/>
      <c r="DT104" s="9"/>
      <c r="DU104" s="9"/>
      <c r="DV104" s="9"/>
      <c r="DW104" s="9"/>
      <c r="DX104" s="9"/>
      <c r="DY104" s="9"/>
      <c r="DZ104" s="9"/>
      <c r="EA104" s="9"/>
      <c r="EB104" s="9"/>
      <c r="EC104" s="9"/>
      <c r="ED104" s="9"/>
      <c r="EE104" s="9"/>
      <c r="EF104" s="9"/>
      <c r="EG104" s="9"/>
      <c r="EH104" s="9"/>
      <c r="EI104" s="9"/>
      <c r="EJ104" s="9"/>
      <c r="EK104" s="9"/>
      <c r="EL104" s="9"/>
      <c r="EM104" s="9"/>
      <c r="EN104" s="9"/>
      <c r="EO104" s="9"/>
      <c r="EP104" s="9"/>
      <c r="EQ104" s="9"/>
      <c r="ER104" s="9"/>
      <c r="ES104" s="9"/>
      <c r="ET104" s="9"/>
      <c r="EU104" s="9"/>
      <c r="EV104" s="9"/>
      <c r="EW104" s="9"/>
      <c r="EX104" s="9"/>
      <c r="EY104" s="9"/>
      <c r="EZ104" s="9"/>
      <c r="FA104" s="9"/>
      <c r="FB104" s="9"/>
      <c r="FC104" s="9"/>
      <c r="FD104" s="9"/>
      <c r="FE104" s="9"/>
      <c r="FF104" s="9"/>
      <c r="FG104" s="9"/>
      <c r="FH104" s="9"/>
      <c r="FI104" s="9"/>
      <c r="FJ104" s="9"/>
      <c r="FK104" s="9"/>
      <c r="FL104" s="9"/>
      <c r="FM104" s="9"/>
      <c r="FN104" s="9"/>
      <c r="FO104" s="9"/>
      <c r="FP104" s="9"/>
      <c r="FQ104" s="9"/>
      <c r="FR104" s="9"/>
      <c r="FS104" s="9"/>
      <c r="FT104" s="9"/>
      <c r="FU104" s="9"/>
      <c r="FV104" s="9"/>
      <c r="FW104" s="9"/>
      <c r="FX104" s="9"/>
      <c r="FY104" s="9"/>
      <c r="FZ104" s="9"/>
      <c r="GA104" s="9"/>
      <c r="GB104" s="9"/>
      <c r="GC104" s="9"/>
      <c r="GD104" s="9"/>
      <c r="GE104" s="9"/>
      <c r="GF104" s="9"/>
      <c r="GG104" s="9"/>
      <c r="GH104" s="9"/>
      <c r="GI104" s="9"/>
      <c r="GJ104" s="9"/>
      <c r="GK104" s="9"/>
      <c r="GL104" s="9"/>
      <c r="GM104" s="9"/>
      <c r="GN104" s="9"/>
      <c r="GO104" s="9"/>
      <c r="GP104" s="9"/>
      <c r="GQ104" s="9"/>
      <c r="GR104" s="9"/>
      <c r="GS104" s="9"/>
      <c r="GT104" s="9"/>
      <c r="GU104" s="9"/>
      <c r="GV104" s="9"/>
      <c r="GW104" s="9"/>
      <c r="GX104" s="9"/>
      <c r="GY104" s="9"/>
      <c r="GZ104" s="9"/>
      <c r="HA104" s="9"/>
      <c r="HB104" s="9"/>
      <c r="HC104" s="9"/>
      <c r="HD104" s="9"/>
      <c r="HE104" s="9"/>
      <c r="HF104" s="9"/>
      <c r="HG104" s="9"/>
      <c r="HH104" s="9"/>
      <c r="HI104" s="9"/>
      <c r="HJ104" s="9"/>
      <c r="HK104" s="9"/>
      <c r="HL104" s="9"/>
      <c r="HM104" s="9"/>
      <c r="HN104" s="9"/>
      <c r="HO104" s="9"/>
      <c r="HP104" s="9"/>
      <c r="HQ104" s="9"/>
      <c r="HR104" s="9"/>
      <c r="HS104" s="9"/>
      <c r="HT104" s="9"/>
      <c r="HU104" s="9"/>
      <c r="HV104" s="9"/>
      <c r="HW104" s="9"/>
      <c r="HX104" s="9"/>
      <c r="HY104" s="9"/>
      <c r="HZ104" s="9"/>
      <c r="IA104" s="9"/>
      <c r="IB104" s="9"/>
      <c r="IC104" s="9"/>
      <c r="ID104" s="9"/>
      <c r="IE104" s="9"/>
      <c r="IF104" s="9"/>
      <c r="IG104" s="9"/>
      <c r="IH104" s="9"/>
      <c r="II104" s="9"/>
      <c r="IJ104" s="9"/>
      <c r="IK104" s="9"/>
      <c r="IL104" s="9"/>
      <c r="IM104" s="9"/>
      <c r="IN104" s="9"/>
      <c r="IO104" s="9"/>
      <c r="IP104" s="9"/>
      <c r="IQ104" s="9"/>
      <c r="IR104" s="9"/>
      <c r="IS104" s="9"/>
      <c r="IT104" s="9"/>
      <c r="IU104" s="9"/>
      <c r="IV104" s="9"/>
    </row>
    <row r="105" spans="1:256" x14ac:dyDescent="0.2">
      <c r="A105" s="12" t="s">
        <v>1035</v>
      </c>
      <c r="B105" s="13" t="s">
        <v>88</v>
      </c>
      <c r="C105" s="13" t="s">
        <v>88</v>
      </c>
      <c r="D105" s="13" t="s">
        <v>88</v>
      </c>
      <c r="E105" s="13" t="s">
        <v>88</v>
      </c>
      <c r="F105" s="13" t="s">
        <v>88</v>
      </c>
      <c r="G105" s="13" t="s">
        <v>88</v>
      </c>
      <c r="H105" s="13" t="s">
        <v>88</v>
      </c>
      <c r="I105" s="13" t="s">
        <v>88</v>
      </c>
      <c r="J105" s="13" t="s">
        <v>88</v>
      </c>
      <c r="K105" s="13" t="s">
        <v>88</v>
      </c>
      <c r="L105" s="13" t="s">
        <v>88</v>
      </c>
      <c r="M105" s="13" t="s">
        <v>88</v>
      </c>
      <c r="N105" s="13" t="s">
        <v>88</v>
      </c>
      <c r="O105" s="13" t="s">
        <v>88</v>
      </c>
      <c r="P105" s="13" t="s">
        <v>88</v>
      </c>
      <c r="Q105" s="13" t="s">
        <v>88</v>
      </c>
      <c r="R105" s="13" t="s">
        <v>88</v>
      </c>
      <c r="T105" s="12" t="s">
        <v>1035</v>
      </c>
      <c r="U105" s="13" t="s">
        <v>88</v>
      </c>
      <c r="V105" s="13"/>
      <c r="W105" s="13" t="s">
        <v>88</v>
      </c>
    </row>
    <row r="106" spans="1:256" ht="10.5" x14ac:dyDescent="0.2">
      <c r="A106" s="14" t="s">
        <v>1298</v>
      </c>
      <c r="B106" s="5"/>
      <c r="C106" s="5"/>
      <c r="D106" s="5"/>
      <c r="E106" s="5"/>
      <c r="F106" s="5"/>
      <c r="G106" s="5"/>
      <c r="H106" s="5"/>
      <c r="I106" s="5"/>
      <c r="J106" s="5"/>
      <c r="K106" s="5"/>
      <c r="L106" s="5"/>
      <c r="M106" s="5"/>
      <c r="N106" s="5"/>
      <c r="O106" s="5"/>
      <c r="P106" s="5"/>
      <c r="Q106" s="5"/>
      <c r="R106" s="5"/>
      <c r="T106" s="14" t="s">
        <v>1298</v>
      </c>
      <c r="U106" s="5"/>
      <c r="V106" s="5"/>
      <c r="W106" s="5"/>
    </row>
    <row r="107" spans="1:256" x14ac:dyDescent="0.2">
      <c r="A107" s="5" t="s">
        <v>1299</v>
      </c>
      <c r="B107" s="15">
        <v>2.1426000000000001E-2</v>
      </c>
      <c r="C107" s="15">
        <v>8.6899999999999998E-3</v>
      </c>
      <c r="D107" s="15">
        <v>2.0939999999999999E-3</v>
      </c>
      <c r="E107" s="15">
        <v>1.379014</v>
      </c>
      <c r="F107" s="15">
        <v>1.791488</v>
      </c>
      <c r="G107" s="15">
        <v>2.0525169999999999</v>
      </c>
      <c r="H107" s="15">
        <v>2.3259999999999999E-3</v>
      </c>
      <c r="I107" s="15">
        <v>6.0714319999999997</v>
      </c>
      <c r="J107" s="15">
        <v>10.374245999999999</v>
      </c>
      <c r="K107" s="15">
        <v>13.633570000000001</v>
      </c>
      <c r="L107" s="15">
        <v>13.675719000000001</v>
      </c>
      <c r="M107" s="15">
        <v>9.0160850000000003</v>
      </c>
      <c r="N107" s="15">
        <v>12.281984</v>
      </c>
      <c r="O107" s="15">
        <v>8.6758839999999999</v>
      </c>
      <c r="P107" s="15">
        <v>37.72</v>
      </c>
      <c r="Q107" s="15">
        <v>74.641999999999996</v>
      </c>
      <c r="R107" s="15">
        <v>54.881</v>
      </c>
      <c r="T107" s="5" t="s">
        <v>1299</v>
      </c>
      <c r="U107" s="15">
        <v>0</v>
      </c>
      <c r="V107" s="15">
        <f>Q107</f>
        <v>74.641999999999996</v>
      </c>
      <c r="W107" s="15">
        <v>54.881</v>
      </c>
    </row>
    <row r="108" spans="1:256" ht="10.5" x14ac:dyDescent="0.2">
      <c r="A108" s="14" t="s">
        <v>1300</v>
      </c>
      <c r="B108" s="16">
        <v>2.1426000000000001E-2</v>
      </c>
      <c r="C108" s="16">
        <v>8.6899999999999998E-3</v>
      </c>
      <c r="D108" s="16">
        <v>2.0939999999999999E-3</v>
      </c>
      <c r="E108" s="16">
        <v>1.379014</v>
      </c>
      <c r="F108" s="16">
        <v>1.791488</v>
      </c>
      <c r="G108" s="16">
        <v>2.0525169999999999</v>
      </c>
      <c r="H108" s="16">
        <v>2.3259999999999999E-3</v>
      </c>
      <c r="I108" s="16">
        <v>6.0714319999999997</v>
      </c>
      <c r="J108" s="16">
        <v>10.374245999999999</v>
      </c>
      <c r="K108" s="16">
        <v>13.633570000000001</v>
      </c>
      <c r="L108" s="16">
        <v>13.675719000000001</v>
      </c>
      <c r="M108" s="16">
        <v>9.0160850000000003</v>
      </c>
      <c r="N108" s="16">
        <v>12.281984</v>
      </c>
      <c r="O108" s="16">
        <v>8.6758839999999999</v>
      </c>
      <c r="P108" s="16">
        <v>37.72</v>
      </c>
      <c r="Q108" s="16">
        <v>74.641999999999996</v>
      </c>
      <c r="R108" s="16">
        <v>54.881</v>
      </c>
      <c r="T108" s="14" t="s">
        <v>1300</v>
      </c>
      <c r="U108" s="16">
        <v>0</v>
      </c>
      <c r="V108" s="16">
        <f t="shared" ref="V108" si="14">Q108</f>
        <v>74.641999999999996</v>
      </c>
      <c r="W108" s="16">
        <v>54.881</v>
      </c>
    </row>
    <row r="109" spans="1:256" x14ac:dyDescent="0.2">
      <c r="A109" s="5"/>
      <c r="B109" s="5"/>
      <c r="C109" s="5"/>
      <c r="D109" s="5"/>
      <c r="E109" s="5"/>
      <c r="F109" s="5"/>
      <c r="G109" s="5"/>
      <c r="H109" s="5"/>
      <c r="I109" s="5"/>
      <c r="J109" s="5"/>
      <c r="K109" s="5"/>
      <c r="L109" s="5"/>
      <c r="M109" s="5"/>
      <c r="N109" s="5"/>
      <c r="O109" s="5"/>
      <c r="P109" s="5"/>
      <c r="Q109" s="5"/>
      <c r="R109" s="5"/>
      <c r="T109" s="5"/>
      <c r="U109" s="5"/>
      <c r="V109" s="5"/>
      <c r="W109" s="5"/>
    </row>
    <row r="110" spans="1:256" x14ac:dyDescent="0.2">
      <c r="A110" s="5" t="s">
        <v>1301</v>
      </c>
      <c r="B110" s="15">
        <v>5.4602909999999998</v>
      </c>
      <c r="C110" s="15">
        <v>6.6717899999999997</v>
      </c>
      <c r="D110" s="15">
        <v>16.262021000000001</v>
      </c>
      <c r="E110" s="15">
        <v>9.7809080000000002</v>
      </c>
      <c r="F110" s="15">
        <v>12.926830000000001</v>
      </c>
      <c r="G110" s="15">
        <v>12.644933</v>
      </c>
      <c r="H110" s="15">
        <v>14.918566</v>
      </c>
      <c r="I110" s="15">
        <v>18.405792000000002</v>
      </c>
      <c r="J110" s="15">
        <v>19.040704000000002</v>
      </c>
      <c r="K110" s="15">
        <v>19.898344999999999</v>
      </c>
      <c r="L110" s="15">
        <v>29.090603999999999</v>
      </c>
      <c r="M110" s="15">
        <v>45.961061999999998</v>
      </c>
      <c r="N110" s="15">
        <v>64.634418999999994</v>
      </c>
      <c r="O110" s="15">
        <v>78.68374</v>
      </c>
      <c r="P110" s="15">
        <v>91.965999999999994</v>
      </c>
      <c r="Q110" s="15">
        <v>111.935</v>
      </c>
      <c r="R110" s="15">
        <v>106.61799999999999</v>
      </c>
      <c r="T110" s="5" t="s">
        <v>1301</v>
      </c>
      <c r="U110" s="15">
        <v>0</v>
      </c>
      <c r="V110" s="15">
        <f t="shared" ref="V110:V113" si="15">Q110</f>
        <v>111.935</v>
      </c>
      <c r="W110" s="15">
        <v>106.61799999999999</v>
      </c>
    </row>
    <row r="111" spans="1:256" x14ac:dyDescent="0.2">
      <c r="A111" s="5" t="s">
        <v>1302</v>
      </c>
      <c r="B111" s="15">
        <v>8.4109000000000003E-2</v>
      </c>
      <c r="C111" s="15">
        <v>0.14813499999999999</v>
      </c>
      <c r="D111" s="15">
        <v>0.14016999999999999</v>
      </c>
      <c r="E111" s="15">
        <v>8.3107E-2</v>
      </c>
      <c r="F111" s="15">
        <v>0.32832</v>
      </c>
      <c r="G111" s="15">
        <v>0.58192699999999997</v>
      </c>
      <c r="H111" s="15">
        <v>0.47114800000000001</v>
      </c>
      <c r="I111" s="15">
        <v>0.34260200000000002</v>
      </c>
      <c r="J111" s="15">
        <v>6.4179E-2</v>
      </c>
      <c r="K111" s="15">
        <v>3.8899999999999997E-2</v>
      </c>
      <c r="L111" s="15">
        <v>0.131157</v>
      </c>
      <c r="M111" s="15">
        <v>0.13861799999999999</v>
      </c>
      <c r="N111" s="15">
        <v>0.95635199999999998</v>
      </c>
      <c r="O111" s="15">
        <v>0.89222199999999996</v>
      </c>
      <c r="P111" s="15">
        <v>3.5219999999999998</v>
      </c>
      <c r="Q111" s="15">
        <v>4.4489999999999998</v>
      </c>
      <c r="R111" s="15">
        <v>3.73</v>
      </c>
      <c r="T111" s="5" t="s">
        <v>1302</v>
      </c>
      <c r="U111" s="15">
        <v>0</v>
      </c>
      <c r="V111" s="15">
        <f t="shared" si="15"/>
        <v>4.4489999999999998</v>
      </c>
      <c r="W111" s="15">
        <v>3.73</v>
      </c>
    </row>
    <row r="112" spans="1:256" x14ac:dyDescent="0.2">
      <c r="A112" s="5" t="s">
        <v>1303</v>
      </c>
      <c r="B112" s="15">
        <v>4.3954E-2</v>
      </c>
      <c r="C112" s="15">
        <v>6.3805000000000001E-2</v>
      </c>
      <c r="D112" s="15">
        <v>0</v>
      </c>
      <c r="E112" s="15">
        <v>0</v>
      </c>
      <c r="F112" s="15">
        <v>0</v>
      </c>
      <c r="G112" s="15">
        <v>0</v>
      </c>
      <c r="H112" s="15">
        <v>0</v>
      </c>
      <c r="I112" s="15">
        <v>0</v>
      </c>
      <c r="J112" s="15">
        <v>0</v>
      </c>
      <c r="K112" s="15">
        <v>0</v>
      </c>
      <c r="L112" s="15">
        <v>0</v>
      </c>
      <c r="M112" s="15">
        <v>0</v>
      </c>
      <c r="N112" s="15">
        <v>0</v>
      </c>
      <c r="O112" s="15">
        <v>0</v>
      </c>
      <c r="P112" s="15">
        <v>0</v>
      </c>
      <c r="Q112" s="15">
        <v>0</v>
      </c>
      <c r="R112" s="15">
        <v>0</v>
      </c>
      <c r="T112" s="5"/>
      <c r="U112" s="15"/>
      <c r="V112" s="15">
        <f t="shared" si="15"/>
        <v>0</v>
      </c>
      <c r="W112" s="15"/>
    </row>
    <row r="113" spans="1:23" ht="10.5" x14ac:dyDescent="0.2">
      <c r="A113" s="14" t="s">
        <v>1304</v>
      </c>
      <c r="B113" s="16">
        <v>5.5883539999999998</v>
      </c>
      <c r="C113" s="16">
        <v>6.8837299999999999</v>
      </c>
      <c r="D113" s="16">
        <v>16.402190999999998</v>
      </c>
      <c r="E113" s="16">
        <v>9.8640150000000002</v>
      </c>
      <c r="F113" s="16">
        <v>13.25515</v>
      </c>
      <c r="G113" s="16">
        <v>13.22686</v>
      </c>
      <c r="H113" s="16">
        <v>15.389714</v>
      </c>
      <c r="I113" s="16">
        <v>18.748394000000001</v>
      </c>
      <c r="J113" s="16">
        <v>19.104883000000001</v>
      </c>
      <c r="K113" s="16">
        <v>19.937245000000001</v>
      </c>
      <c r="L113" s="16">
        <v>29.221761000000001</v>
      </c>
      <c r="M113" s="16">
        <v>46.099679999999999</v>
      </c>
      <c r="N113" s="16">
        <v>65.590771000000004</v>
      </c>
      <c r="O113" s="16">
        <v>79.575962000000004</v>
      </c>
      <c r="P113" s="16">
        <v>95.488</v>
      </c>
      <c r="Q113" s="16">
        <v>116.384</v>
      </c>
      <c r="R113" s="16">
        <v>110.348</v>
      </c>
      <c r="T113" s="14" t="s">
        <v>1304</v>
      </c>
      <c r="U113" s="16">
        <v>0</v>
      </c>
      <c r="V113" s="16">
        <f t="shared" si="15"/>
        <v>116.384</v>
      </c>
      <c r="W113" s="16">
        <v>110.348</v>
      </c>
    </row>
    <row r="114" spans="1:23" x14ac:dyDescent="0.2">
      <c r="A114" s="5"/>
      <c r="B114" s="5"/>
      <c r="C114" s="5"/>
      <c r="D114" s="5"/>
      <c r="E114" s="5"/>
      <c r="F114" s="5"/>
      <c r="G114" s="5"/>
      <c r="H114" s="5"/>
      <c r="I114" s="5"/>
      <c r="J114" s="5"/>
      <c r="K114" s="5"/>
      <c r="L114" s="5"/>
      <c r="M114" s="5"/>
      <c r="N114" s="5"/>
      <c r="O114" s="5"/>
      <c r="P114" s="5"/>
      <c r="Q114" s="5"/>
      <c r="R114" s="5"/>
      <c r="T114" s="5"/>
      <c r="U114" s="5"/>
      <c r="V114" s="5"/>
      <c r="W114" s="5"/>
    </row>
    <row r="115" spans="1:23" x14ac:dyDescent="0.2">
      <c r="A115" s="5" t="s">
        <v>317</v>
      </c>
      <c r="B115" s="15">
        <v>0.17154</v>
      </c>
      <c r="C115" s="15">
        <v>0.33513799999999999</v>
      </c>
      <c r="D115" s="15">
        <v>1.279763</v>
      </c>
      <c r="E115" s="15">
        <v>0.28871599999999997</v>
      </c>
      <c r="F115" s="15">
        <v>0.24516399999999999</v>
      </c>
      <c r="G115" s="15">
        <v>0.25069599999999997</v>
      </c>
      <c r="H115" s="15">
        <v>0.17116600000000001</v>
      </c>
      <c r="I115" s="15">
        <v>0.403391</v>
      </c>
      <c r="J115" s="15">
        <v>0.40257500000000002</v>
      </c>
      <c r="K115" s="15">
        <v>0.26390200000000003</v>
      </c>
      <c r="L115" s="15">
        <v>0.83121500000000004</v>
      </c>
      <c r="M115" s="15">
        <v>1.0403690000000001</v>
      </c>
      <c r="N115" s="15">
        <v>2.0073970000000001</v>
      </c>
      <c r="O115" s="15">
        <v>4.2788599999999999</v>
      </c>
      <c r="P115" s="15">
        <v>4.4809999999999999</v>
      </c>
      <c r="Q115" s="15">
        <v>2.6520000000000001</v>
      </c>
      <c r="R115" s="15">
        <v>3.9220000000000002</v>
      </c>
      <c r="T115" s="5" t="s">
        <v>317</v>
      </c>
      <c r="U115" s="15">
        <v>0</v>
      </c>
      <c r="V115" s="15">
        <f t="shared" ref="V115:V119" si="16">Q115</f>
        <v>2.6520000000000001</v>
      </c>
      <c r="W115" s="15">
        <v>3.9220000000000002</v>
      </c>
    </row>
    <row r="116" spans="1:23" x14ac:dyDescent="0.2">
      <c r="A116" s="5" t="s">
        <v>1305</v>
      </c>
      <c r="B116" s="15">
        <v>0.190412</v>
      </c>
      <c r="C116" s="15">
        <v>0.145175</v>
      </c>
      <c r="D116" s="15">
        <v>0.320104</v>
      </c>
      <c r="E116" s="15">
        <v>0.29724400000000001</v>
      </c>
      <c r="F116" s="15">
        <v>0.43258400000000002</v>
      </c>
      <c r="G116" s="15">
        <v>0.41919499999999998</v>
      </c>
      <c r="H116" s="15">
        <v>0.37633800000000001</v>
      </c>
      <c r="I116" s="15">
        <v>0.62364900000000001</v>
      </c>
      <c r="J116" s="15">
        <v>0.62682199999999999</v>
      </c>
      <c r="K116" s="15">
        <v>0.80538299999999996</v>
      </c>
      <c r="L116" s="15">
        <v>0.86937500000000001</v>
      </c>
      <c r="M116" s="15">
        <v>2.8978220000000001</v>
      </c>
      <c r="N116" s="15">
        <v>6.4617509999999996</v>
      </c>
      <c r="O116" s="15">
        <v>5.9434120000000004</v>
      </c>
      <c r="P116" s="15">
        <v>2.25</v>
      </c>
      <c r="Q116" s="15">
        <v>3.7850000000000001</v>
      </c>
      <c r="R116" s="15">
        <v>3.125</v>
      </c>
      <c r="T116" s="5" t="s">
        <v>1305</v>
      </c>
      <c r="U116" s="15">
        <v>0</v>
      </c>
      <c r="V116" s="15">
        <f t="shared" si="16"/>
        <v>3.7850000000000001</v>
      </c>
      <c r="W116" s="15">
        <v>3.125</v>
      </c>
    </row>
    <row r="117" spans="1:23" x14ac:dyDescent="0.2">
      <c r="A117" s="5" t="s">
        <v>1306</v>
      </c>
      <c r="B117" s="15">
        <v>0</v>
      </c>
      <c r="C117" s="15">
        <v>0</v>
      </c>
      <c r="D117" s="15">
        <v>0</v>
      </c>
      <c r="E117" s="15">
        <v>0</v>
      </c>
      <c r="F117" s="15">
        <v>0</v>
      </c>
      <c r="G117" s="15">
        <v>0</v>
      </c>
      <c r="H117" s="15">
        <v>0</v>
      </c>
      <c r="I117" s="15">
        <v>0</v>
      </c>
      <c r="J117" s="15">
        <v>0</v>
      </c>
      <c r="K117" s="15">
        <v>0</v>
      </c>
      <c r="L117" s="15">
        <v>0</v>
      </c>
      <c r="M117" s="15">
        <v>0</v>
      </c>
      <c r="N117" s="15">
        <v>0.52244299999999999</v>
      </c>
      <c r="O117" s="15">
        <v>0</v>
      </c>
      <c r="P117" s="15">
        <v>0</v>
      </c>
      <c r="Q117" s="15">
        <v>0</v>
      </c>
      <c r="R117" s="15">
        <v>0</v>
      </c>
      <c r="T117" s="5"/>
      <c r="U117" s="15"/>
      <c r="V117" s="15">
        <f t="shared" si="16"/>
        <v>0</v>
      </c>
      <c r="W117" s="15"/>
    </row>
    <row r="118" spans="1:23" x14ac:dyDescent="0.2">
      <c r="A118" s="5" t="s">
        <v>1307</v>
      </c>
      <c r="B118" s="15">
        <v>0</v>
      </c>
      <c r="C118" s="15">
        <v>0</v>
      </c>
      <c r="D118" s="15">
        <v>0</v>
      </c>
      <c r="E118" s="15">
        <v>0</v>
      </c>
      <c r="F118" s="15">
        <v>0</v>
      </c>
      <c r="G118" s="15">
        <v>0</v>
      </c>
      <c r="H118" s="15">
        <v>0</v>
      </c>
      <c r="I118" s="15">
        <v>0</v>
      </c>
      <c r="J118" s="15">
        <v>0</v>
      </c>
      <c r="K118" s="15">
        <v>9.5999999999999992E-3</v>
      </c>
      <c r="L118" s="15">
        <v>9.5999999999999992E-3</v>
      </c>
      <c r="M118" s="15">
        <v>9.5999999999999992E-3</v>
      </c>
      <c r="N118" s="15">
        <v>9.5999999999999992E-3</v>
      </c>
      <c r="O118" s="15">
        <v>1.302341</v>
      </c>
      <c r="P118" s="15">
        <v>2.4569999999999999</v>
      </c>
      <c r="Q118" s="15">
        <v>1.7829999999999999</v>
      </c>
      <c r="R118" s="15">
        <v>0</v>
      </c>
      <c r="T118" s="5" t="s">
        <v>1307</v>
      </c>
      <c r="U118" s="15">
        <v>0</v>
      </c>
      <c r="V118" s="15">
        <f t="shared" si="16"/>
        <v>1.7829999999999999</v>
      </c>
      <c r="W118" s="15">
        <v>0</v>
      </c>
    </row>
    <row r="119" spans="1:23" ht="10.5" x14ac:dyDescent="0.2">
      <c r="A119" s="14" t="s">
        <v>1071</v>
      </c>
      <c r="B119" s="16">
        <v>5.9717320000000003</v>
      </c>
      <c r="C119" s="16">
        <v>7.3727330000000002</v>
      </c>
      <c r="D119" s="16">
        <v>18.004152000000001</v>
      </c>
      <c r="E119" s="16">
        <v>11.828989</v>
      </c>
      <c r="F119" s="16">
        <v>15.724386000000001</v>
      </c>
      <c r="G119" s="16">
        <v>15.949268</v>
      </c>
      <c r="H119" s="16">
        <v>15.939544</v>
      </c>
      <c r="I119" s="16">
        <v>25.846865999999999</v>
      </c>
      <c r="J119" s="16">
        <v>30.508526</v>
      </c>
      <c r="K119" s="16">
        <v>34.649700000000003</v>
      </c>
      <c r="L119" s="16">
        <v>44.607669999999999</v>
      </c>
      <c r="M119" s="16">
        <v>59.063555999999998</v>
      </c>
      <c r="N119" s="16">
        <v>86.873946000000004</v>
      </c>
      <c r="O119" s="16">
        <v>99.776459000000003</v>
      </c>
      <c r="P119" s="16">
        <v>142.39599999999999</v>
      </c>
      <c r="Q119" s="16">
        <v>199.24600000000001</v>
      </c>
      <c r="R119" s="16">
        <v>172.27600000000001</v>
      </c>
      <c r="T119" s="14" t="s">
        <v>1071</v>
      </c>
      <c r="U119" s="16">
        <v>0</v>
      </c>
      <c r="V119" s="16">
        <f t="shared" si="16"/>
        <v>199.24600000000001</v>
      </c>
      <c r="W119" s="16">
        <v>172.27600000000001</v>
      </c>
    </row>
    <row r="120" spans="1:23" x14ac:dyDescent="0.2">
      <c r="A120" s="5"/>
      <c r="B120" s="5"/>
      <c r="C120" s="5"/>
      <c r="D120" s="5"/>
      <c r="E120" s="5"/>
      <c r="F120" s="5"/>
      <c r="G120" s="5"/>
      <c r="H120" s="5"/>
      <c r="I120" s="5"/>
      <c r="J120" s="5"/>
      <c r="K120" s="5"/>
      <c r="L120" s="5"/>
      <c r="M120" s="5"/>
      <c r="N120" s="5"/>
      <c r="O120" s="5"/>
      <c r="P120" s="5"/>
      <c r="Q120" s="5"/>
      <c r="R120" s="5"/>
      <c r="T120" s="5"/>
      <c r="U120" s="5"/>
      <c r="V120" s="5"/>
      <c r="W120" s="5"/>
    </row>
    <row r="121" spans="1:23" x14ac:dyDescent="0.2">
      <c r="A121" s="5" t="s">
        <v>1308</v>
      </c>
      <c r="B121" s="15">
        <v>0.77440900000000001</v>
      </c>
      <c r="C121" s="15">
        <v>1.0021409999999999</v>
      </c>
      <c r="D121" s="15">
        <v>1.021703</v>
      </c>
      <c r="E121" s="15">
        <v>0.85298799999999997</v>
      </c>
      <c r="F121" s="15">
        <v>1.3523529999999999</v>
      </c>
      <c r="G121" s="15">
        <v>1.394747</v>
      </c>
      <c r="H121" s="15">
        <v>0.81395600000000001</v>
      </c>
      <c r="I121" s="15">
        <v>0.94522499999999998</v>
      </c>
      <c r="J121" s="15">
        <v>1.1550879999999999</v>
      </c>
      <c r="K121" s="15">
        <v>1.2976939999999999</v>
      </c>
      <c r="L121" s="15">
        <v>1.429818</v>
      </c>
      <c r="M121" s="15">
        <v>1.9844580000000001</v>
      </c>
      <c r="N121" s="15">
        <v>5.5686249999999999</v>
      </c>
      <c r="O121" s="15">
        <v>8.1358289999999993</v>
      </c>
      <c r="P121" s="15">
        <v>9.9570000000000007</v>
      </c>
      <c r="Q121" s="15">
        <v>12.095000000000001</v>
      </c>
      <c r="R121" s="15">
        <v>0</v>
      </c>
      <c r="T121" s="5"/>
      <c r="U121" s="5"/>
      <c r="V121" s="5"/>
      <c r="W121" s="5"/>
    </row>
    <row r="122" spans="1:23" x14ac:dyDescent="0.2">
      <c r="A122" s="5" t="s">
        <v>1309</v>
      </c>
      <c r="B122" s="15">
        <v>-0.3</v>
      </c>
      <c r="C122" s="15">
        <v>-0.5</v>
      </c>
      <c r="D122" s="15">
        <v>-0.6</v>
      </c>
      <c r="E122" s="15">
        <v>-0.5</v>
      </c>
      <c r="F122" s="15">
        <v>-0.7</v>
      </c>
      <c r="G122" s="15">
        <v>-0.8</v>
      </c>
      <c r="H122" s="15">
        <v>-0.4</v>
      </c>
      <c r="I122" s="15">
        <v>-0.5</v>
      </c>
      <c r="J122" s="15">
        <v>-0.6</v>
      </c>
      <c r="K122" s="15">
        <v>-0.8</v>
      </c>
      <c r="L122" s="15">
        <v>-1.1000000000000001</v>
      </c>
      <c r="M122" s="15">
        <v>-1.3</v>
      </c>
      <c r="N122" s="15">
        <v>-0.9</v>
      </c>
      <c r="O122" s="15">
        <v>-1.8</v>
      </c>
      <c r="P122" s="15">
        <v>-3.4</v>
      </c>
      <c r="Q122" s="15">
        <v>-5.0999999999999996</v>
      </c>
      <c r="R122" s="15">
        <v>0</v>
      </c>
      <c r="T122" s="5"/>
      <c r="U122" s="5"/>
      <c r="V122" s="5"/>
      <c r="W122" s="5"/>
    </row>
    <row r="123" spans="1:23" ht="10.5" x14ac:dyDescent="0.2">
      <c r="A123" s="14" t="s">
        <v>1310</v>
      </c>
      <c r="B123" s="16">
        <v>0.43894499999999997</v>
      </c>
      <c r="C123" s="16">
        <v>0.51457900000000001</v>
      </c>
      <c r="D123" s="16">
        <v>0.37642500000000001</v>
      </c>
      <c r="E123" s="16">
        <v>0.37131500000000001</v>
      </c>
      <c r="F123" s="16">
        <v>0.68732800000000005</v>
      </c>
      <c r="G123" s="16">
        <v>0.61297199999999996</v>
      </c>
      <c r="H123" s="16">
        <v>0.39390399999999998</v>
      </c>
      <c r="I123" s="16">
        <v>0.44924999999999998</v>
      </c>
      <c r="J123" s="16">
        <v>0.569774</v>
      </c>
      <c r="K123" s="16">
        <v>0.45084999999999997</v>
      </c>
      <c r="L123" s="16">
        <v>0.36963499999999999</v>
      </c>
      <c r="M123" s="16">
        <v>0.70626900000000004</v>
      </c>
      <c r="N123" s="16">
        <v>4.6967359999999996</v>
      </c>
      <c r="O123" s="16">
        <v>6.3506819999999999</v>
      </c>
      <c r="P123" s="16">
        <v>6.6070000000000002</v>
      </c>
      <c r="Q123" s="16">
        <v>6.9969999999999999</v>
      </c>
      <c r="R123" s="16">
        <v>6.7629999999999999</v>
      </c>
      <c r="T123" s="14" t="s">
        <v>1310</v>
      </c>
      <c r="U123" s="16">
        <v>0</v>
      </c>
      <c r="V123" s="16">
        <f>Q123</f>
        <v>6.9969999999999999</v>
      </c>
      <c r="W123" s="16">
        <v>6.7629999999999999</v>
      </c>
    </row>
    <row r="124" spans="1:23" x14ac:dyDescent="0.2">
      <c r="A124" s="5"/>
      <c r="B124" s="5"/>
      <c r="C124" s="5"/>
      <c r="D124" s="5"/>
      <c r="E124" s="5"/>
      <c r="F124" s="5"/>
      <c r="G124" s="5"/>
      <c r="H124" s="5"/>
      <c r="I124" s="5"/>
      <c r="J124" s="5"/>
      <c r="K124" s="5"/>
      <c r="L124" s="5"/>
      <c r="M124" s="5"/>
      <c r="N124" s="5"/>
      <c r="O124" s="5"/>
      <c r="P124" s="5"/>
      <c r="Q124" s="5"/>
      <c r="R124" s="5"/>
      <c r="T124" s="5"/>
      <c r="U124" s="5"/>
      <c r="V124" s="5"/>
      <c r="W124" s="5"/>
    </row>
    <row r="125" spans="1:23" x14ac:dyDescent="0.2">
      <c r="A125" s="5" t="s">
        <v>1311</v>
      </c>
      <c r="B125" s="15">
        <v>0</v>
      </c>
      <c r="C125" s="15">
        <v>0</v>
      </c>
      <c r="D125" s="15">
        <v>0</v>
      </c>
      <c r="E125" s="15">
        <v>1.3240670000000001</v>
      </c>
      <c r="F125" s="15">
        <v>6.7756999999999998E-2</v>
      </c>
      <c r="G125" s="15">
        <v>6.7756999999999998E-2</v>
      </c>
      <c r="H125" s="15">
        <v>6.7756999999999998E-2</v>
      </c>
      <c r="I125" s="15">
        <v>6.7756999999999998E-2</v>
      </c>
      <c r="J125" s="15">
        <v>6.7756999999999998E-2</v>
      </c>
      <c r="K125" s="15">
        <v>6.7756999999999998E-2</v>
      </c>
      <c r="L125" s="15">
        <v>6.7756999999999998E-2</v>
      </c>
      <c r="M125" s="15">
        <v>5.0000000000000004E-6</v>
      </c>
      <c r="N125" s="15">
        <v>5.0000000000000004E-6</v>
      </c>
      <c r="O125" s="15">
        <v>5.0000000000000004E-6</v>
      </c>
      <c r="P125" s="15">
        <v>0</v>
      </c>
      <c r="Q125" s="15">
        <v>0</v>
      </c>
      <c r="R125" s="15">
        <v>0</v>
      </c>
      <c r="T125" s="5"/>
      <c r="U125" s="5"/>
      <c r="V125" s="5"/>
      <c r="W125" s="5"/>
    </row>
    <row r="126" spans="1:23" x14ac:dyDescent="0.2">
      <c r="A126" s="5" t="s">
        <v>1312</v>
      </c>
      <c r="B126" s="15">
        <v>0</v>
      </c>
      <c r="C126" s="15">
        <v>0</v>
      </c>
      <c r="D126" s="15">
        <v>0.46426400000000001</v>
      </c>
      <c r="E126" s="15">
        <v>0</v>
      </c>
      <c r="F126" s="15">
        <v>0</v>
      </c>
      <c r="G126" s="15">
        <v>0</v>
      </c>
      <c r="H126" s="15">
        <v>0</v>
      </c>
      <c r="I126" s="15">
        <v>0</v>
      </c>
      <c r="J126" s="15">
        <v>0</v>
      </c>
      <c r="K126" s="15">
        <v>0</v>
      </c>
      <c r="L126" s="15">
        <v>0</v>
      </c>
      <c r="M126" s="15">
        <v>0</v>
      </c>
      <c r="N126" s="15">
        <v>0</v>
      </c>
      <c r="O126" s="15">
        <v>0</v>
      </c>
      <c r="P126" s="15">
        <v>0</v>
      </c>
      <c r="Q126" s="15">
        <v>0</v>
      </c>
      <c r="R126" s="15">
        <v>0</v>
      </c>
      <c r="T126" s="5"/>
      <c r="U126" s="5"/>
      <c r="V126" s="5"/>
      <c r="W126" s="5"/>
    </row>
    <row r="127" spans="1:23" x14ac:dyDescent="0.2">
      <c r="A127" s="5" t="s">
        <v>1313</v>
      </c>
      <c r="B127" s="15">
        <v>0</v>
      </c>
      <c r="C127" s="15">
        <v>0</v>
      </c>
      <c r="D127" s="15">
        <v>0</v>
      </c>
      <c r="E127" s="15">
        <v>0</v>
      </c>
      <c r="F127" s="15">
        <v>0</v>
      </c>
      <c r="G127" s="15">
        <v>0</v>
      </c>
      <c r="H127" s="15">
        <v>0</v>
      </c>
      <c r="I127" s="15">
        <v>0</v>
      </c>
      <c r="J127" s="15">
        <v>0</v>
      </c>
      <c r="K127" s="15">
        <v>0</v>
      </c>
      <c r="L127" s="15">
        <v>0</v>
      </c>
      <c r="M127" s="15">
        <v>0</v>
      </c>
      <c r="N127" s="15">
        <v>0</v>
      </c>
      <c r="O127" s="15">
        <v>0.40571000000000002</v>
      </c>
      <c r="P127" s="15">
        <v>0.52300000000000002</v>
      </c>
      <c r="Q127" s="15">
        <v>0.45800000000000002</v>
      </c>
      <c r="R127" s="15">
        <v>0.63200000000000001</v>
      </c>
      <c r="T127" s="5" t="s">
        <v>1313</v>
      </c>
      <c r="U127" s="15">
        <v>0</v>
      </c>
      <c r="V127" s="15">
        <f t="shared" ref="V127:V130" si="17">Q127</f>
        <v>0.45800000000000002</v>
      </c>
      <c r="W127" s="15">
        <v>0.63200000000000001</v>
      </c>
    </row>
    <row r="128" spans="1:23" x14ac:dyDescent="0.2">
      <c r="A128" s="5" t="s">
        <v>1314</v>
      </c>
      <c r="B128" s="15">
        <v>0</v>
      </c>
      <c r="C128" s="15">
        <v>0</v>
      </c>
      <c r="D128" s="15">
        <v>0</v>
      </c>
      <c r="E128" s="15">
        <v>0</v>
      </c>
      <c r="F128" s="15">
        <v>0</v>
      </c>
      <c r="G128" s="15">
        <v>0</v>
      </c>
      <c r="H128" s="15">
        <v>0</v>
      </c>
      <c r="I128" s="15">
        <v>0</v>
      </c>
      <c r="J128" s="15">
        <v>0</v>
      </c>
      <c r="K128" s="15">
        <v>0</v>
      </c>
      <c r="L128" s="15">
        <v>0</v>
      </c>
      <c r="M128" s="15">
        <v>0</v>
      </c>
      <c r="N128" s="15">
        <v>0</v>
      </c>
      <c r="O128" s="15">
        <v>0.68274400000000002</v>
      </c>
      <c r="P128" s="15">
        <v>0.53500000000000003</v>
      </c>
      <c r="Q128" s="15">
        <v>0.67800000000000005</v>
      </c>
      <c r="R128" s="15">
        <v>0.52200000000000002</v>
      </c>
      <c r="T128" s="5" t="s">
        <v>1314</v>
      </c>
      <c r="U128" s="15">
        <v>0</v>
      </c>
      <c r="V128" s="15">
        <f t="shared" si="17"/>
        <v>0.67800000000000005</v>
      </c>
      <c r="W128" s="15">
        <v>0.52200000000000002</v>
      </c>
    </row>
    <row r="129" spans="1:23" x14ac:dyDescent="0.2">
      <c r="A129" s="5" t="s">
        <v>1315</v>
      </c>
      <c r="B129" s="15">
        <v>0</v>
      </c>
      <c r="C129" s="15">
        <v>0</v>
      </c>
      <c r="D129" s="15">
        <v>0</v>
      </c>
      <c r="E129" s="15">
        <v>0</v>
      </c>
      <c r="F129" s="15">
        <v>0</v>
      </c>
      <c r="G129" s="15">
        <v>0</v>
      </c>
      <c r="H129" s="15">
        <v>0</v>
      </c>
      <c r="I129" s="15">
        <v>0</v>
      </c>
      <c r="J129" s="15">
        <v>0</v>
      </c>
      <c r="K129" s="15">
        <v>0</v>
      </c>
      <c r="L129" s="15">
        <v>0</v>
      </c>
      <c r="M129" s="15">
        <v>0</v>
      </c>
      <c r="N129" s="15">
        <v>0</v>
      </c>
      <c r="O129" s="15">
        <v>0</v>
      </c>
      <c r="P129" s="15">
        <v>0</v>
      </c>
      <c r="Q129" s="15">
        <v>0</v>
      </c>
      <c r="R129" s="15">
        <v>0</v>
      </c>
      <c r="T129" s="5" t="s">
        <v>1315</v>
      </c>
      <c r="U129" s="15">
        <v>0</v>
      </c>
      <c r="V129" s="15">
        <f t="shared" si="17"/>
        <v>0</v>
      </c>
      <c r="W129" s="15">
        <v>0</v>
      </c>
    </row>
    <row r="130" spans="1:23" ht="10.5" x14ac:dyDescent="0.2">
      <c r="A130" s="14" t="s">
        <v>926</v>
      </c>
      <c r="B130" s="18">
        <v>6.4106769999999997</v>
      </c>
      <c r="C130" s="18">
        <v>7.8873119999999997</v>
      </c>
      <c r="D130" s="18">
        <v>18.844840999999999</v>
      </c>
      <c r="E130" s="18">
        <v>13.524371</v>
      </c>
      <c r="F130" s="18">
        <v>16.479471</v>
      </c>
      <c r="G130" s="18">
        <v>16.629996999999999</v>
      </c>
      <c r="H130" s="18">
        <v>16.401205000000001</v>
      </c>
      <c r="I130" s="18">
        <v>26.363873000000002</v>
      </c>
      <c r="J130" s="18">
        <v>31.146056999999999</v>
      </c>
      <c r="K130" s="18">
        <v>35.168306999999999</v>
      </c>
      <c r="L130" s="18">
        <v>45.045062000000001</v>
      </c>
      <c r="M130" s="18">
        <v>59.769829999999999</v>
      </c>
      <c r="N130" s="18">
        <v>91.570687000000007</v>
      </c>
      <c r="O130" s="18">
        <v>107.21559999999999</v>
      </c>
      <c r="P130" s="18">
        <v>150.06100000000001</v>
      </c>
      <c r="Q130" s="18">
        <v>207.37899999999999</v>
      </c>
      <c r="R130" s="18">
        <v>180.19300000000001</v>
      </c>
      <c r="T130" s="14" t="s">
        <v>926</v>
      </c>
      <c r="U130" s="18">
        <v>0</v>
      </c>
      <c r="V130" s="18">
        <f t="shared" si="17"/>
        <v>207.37899999999999</v>
      </c>
      <c r="W130" s="18">
        <v>180.19300000000001</v>
      </c>
    </row>
    <row r="131" spans="1:23" x14ac:dyDescent="0.2">
      <c r="A131" s="5"/>
      <c r="B131" s="5"/>
      <c r="C131" s="5"/>
      <c r="D131" s="5"/>
      <c r="E131" s="5"/>
      <c r="F131" s="5"/>
      <c r="G131" s="5"/>
      <c r="H131" s="5"/>
      <c r="I131" s="5"/>
      <c r="J131" s="5"/>
      <c r="K131" s="5"/>
      <c r="L131" s="5"/>
      <c r="M131" s="5"/>
      <c r="N131" s="5"/>
      <c r="O131" s="5"/>
      <c r="P131" s="5"/>
      <c r="Q131" s="5"/>
      <c r="R131" s="5"/>
      <c r="T131" s="5"/>
      <c r="U131" s="5"/>
      <c r="V131" s="5"/>
      <c r="W131" s="5"/>
    </row>
    <row r="132" spans="1:23" ht="10.5" x14ac:dyDescent="0.2">
      <c r="A132" s="14" t="s">
        <v>1316</v>
      </c>
      <c r="B132" s="5"/>
      <c r="C132" s="5"/>
      <c r="D132" s="5"/>
      <c r="E132" s="5"/>
      <c r="F132" s="5"/>
      <c r="G132" s="5"/>
      <c r="H132" s="5"/>
      <c r="I132" s="5"/>
      <c r="J132" s="5"/>
      <c r="K132" s="5"/>
      <c r="L132" s="5"/>
      <c r="M132" s="5"/>
      <c r="N132" s="5"/>
      <c r="O132" s="5"/>
      <c r="P132" s="5"/>
      <c r="Q132" s="5"/>
      <c r="R132" s="5"/>
      <c r="T132" s="14" t="s">
        <v>1316</v>
      </c>
      <c r="U132" s="5"/>
      <c r="V132" s="5"/>
      <c r="W132" s="5"/>
    </row>
    <row r="133" spans="1:23" x14ac:dyDescent="0.2">
      <c r="A133" s="5" t="s">
        <v>1317</v>
      </c>
      <c r="B133" s="15">
        <v>1.9277230000000001</v>
      </c>
      <c r="C133" s="15">
        <v>2.87216</v>
      </c>
      <c r="D133" s="15">
        <v>8.2267469999999996</v>
      </c>
      <c r="E133" s="15">
        <v>6.4727439999999996</v>
      </c>
      <c r="F133" s="15">
        <v>8.6378350000000008</v>
      </c>
      <c r="G133" s="15">
        <v>6.2647449999999996</v>
      </c>
      <c r="H133" s="15">
        <v>6.1344760000000003</v>
      </c>
      <c r="I133" s="15">
        <v>8.4206529999999997</v>
      </c>
      <c r="J133" s="15">
        <v>9.0096220000000002</v>
      </c>
      <c r="K133" s="15">
        <v>9.0551239999999993</v>
      </c>
      <c r="L133" s="15">
        <v>14.693125999999999</v>
      </c>
      <c r="M133" s="15">
        <v>15.396705000000001</v>
      </c>
      <c r="N133" s="15">
        <v>21.918330999999998</v>
      </c>
      <c r="O133" s="15">
        <v>34.619874000000003</v>
      </c>
      <c r="P133" s="15">
        <v>48.082000000000001</v>
      </c>
      <c r="Q133" s="15">
        <v>71.212999999999994</v>
      </c>
      <c r="R133" s="15">
        <v>72.552000000000007</v>
      </c>
      <c r="T133" s="5" t="s">
        <v>1317</v>
      </c>
      <c r="U133" s="15">
        <v>0</v>
      </c>
      <c r="V133" s="15"/>
      <c r="W133" s="15">
        <v>72.552000000000007</v>
      </c>
    </row>
    <row r="134" spans="1:23" x14ac:dyDescent="0.2">
      <c r="A134" s="5" t="s">
        <v>1318</v>
      </c>
      <c r="B134" s="15">
        <v>0.41249799999999998</v>
      </c>
      <c r="C134" s="15">
        <v>0.58334799999999998</v>
      </c>
      <c r="D134" s="15">
        <v>4.0366900000000001</v>
      </c>
      <c r="E134" s="15">
        <v>1.805013</v>
      </c>
      <c r="F134" s="15">
        <v>2.4582519999999999</v>
      </c>
      <c r="G134" s="15">
        <v>2.9420449999999998</v>
      </c>
      <c r="H134" s="15">
        <v>3.7519230000000001</v>
      </c>
      <c r="I134" s="15">
        <v>5.3300700000000001</v>
      </c>
      <c r="J134" s="15">
        <v>6.4722200000000001</v>
      </c>
      <c r="K134" s="15">
        <v>7.249517</v>
      </c>
      <c r="L134" s="15">
        <v>10.202825000000001</v>
      </c>
      <c r="M134" s="15">
        <v>13.395632000000001</v>
      </c>
      <c r="N134" s="15">
        <v>21.381882999999998</v>
      </c>
      <c r="O134" s="15">
        <v>18.518591000000001</v>
      </c>
      <c r="P134" s="15">
        <v>23.454999999999998</v>
      </c>
      <c r="Q134" s="15">
        <v>32.57</v>
      </c>
      <c r="R134" s="15">
        <v>31.812999999999999</v>
      </c>
      <c r="T134" s="5" t="s">
        <v>1318</v>
      </c>
      <c r="U134" s="15">
        <v>0</v>
      </c>
      <c r="V134" s="15"/>
      <c r="W134" s="15">
        <v>31.812999999999999</v>
      </c>
    </row>
    <row r="135" spans="1:23" x14ac:dyDescent="0.2">
      <c r="A135" s="5" t="s">
        <v>1319</v>
      </c>
      <c r="B135" s="15">
        <v>2.0069279999999998</v>
      </c>
      <c r="C135" s="15">
        <v>1.98132</v>
      </c>
      <c r="D135" s="15">
        <v>3.3769550000000002</v>
      </c>
      <c r="E135" s="15">
        <v>0</v>
      </c>
      <c r="F135" s="15">
        <v>0</v>
      </c>
      <c r="G135" s="15">
        <v>3.7735439999999998</v>
      </c>
      <c r="H135" s="15">
        <v>1.5757490000000001</v>
      </c>
      <c r="I135" s="15">
        <v>5.14846</v>
      </c>
      <c r="J135" s="15">
        <v>4.8169110000000002</v>
      </c>
      <c r="K135" s="15">
        <v>3.0357430000000001</v>
      </c>
      <c r="L135" s="15">
        <v>5.3846129999999999</v>
      </c>
      <c r="M135" s="15">
        <v>3.0738530000000002</v>
      </c>
      <c r="N135" s="15">
        <v>2.1777609999999998</v>
      </c>
      <c r="O135" s="15">
        <v>0</v>
      </c>
      <c r="P135" s="15">
        <v>0</v>
      </c>
      <c r="Q135" s="15">
        <v>0</v>
      </c>
      <c r="R135" s="15">
        <v>0</v>
      </c>
      <c r="T135" s="5"/>
      <c r="U135" s="15"/>
      <c r="V135" s="15"/>
      <c r="W135" s="15"/>
    </row>
    <row r="136" spans="1:23" x14ac:dyDescent="0.2">
      <c r="A136" s="5" t="s">
        <v>1320</v>
      </c>
      <c r="B136" s="15">
        <v>1.2765E-2</v>
      </c>
      <c r="C136" s="15">
        <v>1.8190000000000001E-2</v>
      </c>
      <c r="D136" s="15">
        <v>9.4280000000000006E-3</v>
      </c>
      <c r="E136" s="15">
        <v>3.1419999999999998E-3</v>
      </c>
      <c r="F136" s="15">
        <v>0</v>
      </c>
      <c r="G136" s="15">
        <v>0</v>
      </c>
      <c r="H136" s="15">
        <v>0</v>
      </c>
      <c r="I136" s="15">
        <v>0</v>
      </c>
      <c r="J136" s="15">
        <v>0</v>
      </c>
      <c r="K136" s="15">
        <v>0</v>
      </c>
      <c r="L136" s="15">
        <v>0</v>
      </c>
      <c r="M136" s="15">
        <v>0</v>
      </c>
      <c r="N136" s="15">
        <v>0</v>
      </c>
      <c r="O136" s="15">
        <v>0</v>
      </c>
      <c r="P136" s="15">
        <v>0</v>
      </c>
      <c r="Q136" s="15">
        <v>0</v>
      </c>
      <c r="R136" s="15">
        <v>0</v>
      </c>
      <c r="T136" s="5"/>
      <c r="U136" s="15"/>
      <c r="V136" s="15"/>
      <c r="W136" s="15"/>
    </row>
    <row r="137" spans="1:23" x14ac:dyDescent="0.2">
      <c r="A137" s="5" t="s">
        <v>1321</v>
      </c>
      <c r="B137" s="15">
        <v>0.30737799999999998</v>
      </c>
      <c r="C137" s="15">
        <v>0.23452899999999999</v>
      </c>
      <c r="D137" s="15">
        <v>0.45753300000000002</v>
      </c>
      <c r="E137" s="15">
        <v>0.52647299999999997</v>
      </c>
      <c r="F137" s="15">
        <v>0.61730399999999996</v>
      </c>
      <c r="G137" s="15">
        <v>0.40362900000000002</v>
      </c>
      <c r="H137" s="15">
        <v>0.57026600000000005</v>
      </c>
      <c r="I137" s="15">
        <v>0.70172199999999996</v>
      </c>
      <c r="J137" s="15">
        <v>0.83848800000000001</v>
      </c>
      <c r="K137" s="15">
        <v>0.804234</v>
      </c>
      <c r="L137" s="15">
        <v>1.5117910000000001</v>
      </c>
      <c r="M137" s="15">
        <v>2.8626130000000001</v>
      </c>
      <c r="N137" s="15">
        <v>4.391534</v>
      </c>
      <c r="O137" s="15">
        <v>5.6338489999999997</v>
      </c>
      <c r="P137" s="15">
        <v>3.2589999999999999</v>
      </c>
      <c r="Q137" s="15">
        <v>3.51</v>
      </c>
      <c r="R137" s="15">
        <v>2.456</v>
      </c>
      <c r="T137" s="5" t="s">
        <v>1321</v>
      </c>
      <c r="U137" s="15">
        <v>0</v>
      </c>
      <c r="V137" s="15">
        <f t="shared" ref="V137:V140" si="18">Q137</f>
        <v>3.51</v>
      </c>
      <c r="W137" s="15">
        <v>2.456</v>
      </c>
    </row>
    <row r="138" spans="1:23" x14ac:dyDescent="0.2">
      <c r="A138" s="5" t="s">
        <v>1322</v>
      </c>
      <c r="B138" s="15">
        <v>0</v>
      </c>
      <c r="C138" s="15">
        <v>0</v>
      </c>
      <c r="D138" s="15">
        <v>0</v>
      </c>
      <c r="E138" s="15">
        <v>0</v>
      </c>
      <c r="F138" s="15">
        <v>0</v>
      </c>
      <c r="G138" s="15">
        <v>0</v>
      </c>
      <c r="H138" s="15">
        <v>0</v>
      </c>
      <c r="I138" s="15">
        <v>0</v>
      </c>
      <c r="J138" s="15">
        <v>0</v>
      </c>
      <c r="K138" s="15">
        <v>0</v>
      </c>
      <c r="L138" s="15">
        <v>0</v>
      </c>
      <c r="M138" s="15">
        <v>0</v>
      </c>
      <c r="N138" s="15">
        <v>0</v>
      </c>
      <c r="O138" s="15">
        <v>0</v>
      </c>
      <c r="P138" s="15">
        <v>2.9660000000000002</v>
      </c>
      <c r="Q138" s="15">
        <v>4.2699999999999996</v>
      </c>
      <c r="R138" s="15">
        <v>4.4130000000000003</v>
      </c>
      <c r="T138" s="5" t="s">
        <v>1322</v>
      </c>
      <c r="U138" s="15">
        <v>0</v>
      </c>
      <c r="V138" s="15">
        <f t="shared" si="18"/>
        <v>4.2699999999999996</v>
      </c>
      <c r="W138" s="15">
        <v>4.4130000000000003</v>
      </c>
    </row>
    <row r="139" spans="1:23" x14ac:dyDescent="0.2">
      <c r="A139" s="5" t="s">
        <v>1323</v>
      </c>
      <c r="B139" s="15">
        <v>0.41524</v>
      </c>
      <c r="C139" s="15">
        <v>0.38337100000000002</v>
      </c>
      <c r="D139" s="15">
        <v>0.124108</v>
      </c>
      <c r="E139" s="15">
        <v>1.697122</v>
      </c>
      <c r="F139" s="15">
        <v>6.7752000000000007E-2</v>
      </c>
      <c r="G139" s="15">
        <v>6.7752000000000007E-2</v>
      </c>
      <c r="H139" s="15">
        <v>6.7752000000000007E-2</v>
      </c>
      <c r="I139" s="15">
        <v>6.7752000000000007E-2</v>
      </c>
      <c r="J139" s="15">
        <v>8.1401000000000001E-2</v>
      </c>
      <c r="K139" s="15">
        <v>6.7752000000000007E-2</v>
      </c>
      <c r="L139" s="15">
        <v>6.7752000000000007E-2</v>
      </c>
      <c r="M139" s="15">
        <v>0</v>
      </c>
      <c r="N139" s="15">
        <v>0</v>
      </c>
      <c r="O139" s="15">
        <v>5.9499999999999997E-2</v>
      </c>
      <c r="P139" s="15">
        <v>0</v>
      </c>
      <c r="Q139" s="15">
        <v>0</v>
      </c>
      <c r="R139" s="15">
        <v>0</v>
      </c>
      <c r="T139" s="5" t="s">
        <v>1323</v>
      </c>
      <c r="U139" s="15">
        <v>0</v>
      </c>
      <c r="V139" s="15">
        <f t="shared" si="18"/>
        <v>0</v>
      </c>
      <c r="W139" s="15">
        <v>0</v>
      </c>
    </row>
    <row r="140" spans="1:23" ht="10.5" x14ac:dyDescent="0.2">
      <c r="A140" s="14" t="s">
        <v>1085</v>
      </c>
      <c r="B140" s="16">
        <v>5.0825319999999996</v>
      </c>
      <c r="C140" s="16">
        <v>6.0729179999999996</v>
      </c>
      <c r="D140" s="16">
        <v>16.231460999999999</v>
      </c>
      <c r="E140" s="16">
        <v>10.504493999999999</v>
      </c>
      <c r="F140" s="16">
        <v>11.781143</v>
      </c>
      <c r="G140" s="16">
        <v>13.451715</v>
      </c>
      <c r="H140" s="16">
        <v>12.100166</v>
      </c>
      <c r="I140" s="16">
        <v>19.668657</v>
      </c>
      <c r="J140" s="16">
        <v>21.218641999999999</v>
      </c>
      <c r="K140" s="16">
        <v>20.21237</v>
      </c>
      <c r="L140" s="16">
        <v>31.860106999999999</v>
      </c>
      <c r="M140" s="16">
        <v>34.728802999999999</v>
      </c>
      <c r="N140" s="16">
        <v>49.869509000000001</v>
      </c>
      <c r="O140" s="16">
        <v>58.831814000000001</v>
      </c>
      <c r="P140" s="16">
        <v>77.762</v>
      </c>
      <c r="Q140" s="16">
        <v>111.563</v>
      </c>
      <c r="R140" s="16">
        <v>111.23399999999999</v>
      </c>
      <c r="T140" s="14" t="s">
        <v>1085</v>
      </c>
      <c r="U140" s="16">
        <v>0</v>
      </c>
      <c r="V140" s="16">
        <f t="shared" si="18"/>
        <v>111.563</v>
      </c>
      <c r="W140" s="16">
        <v>111.23399999999999</v>
      </c>
    </row>
    <row r="141" spans="1:23" x14ac:dyDescent="0.2">
      <c r="A141" s="5"/>
      <c r="B141" s="5"/>
      <c r="C141" s="5"/>
      <c r="D141" s="5"/>
      <c r="E141" s="5"/>
      <c r="F141" s="5"/>
      <c r="G141" s="5"/>
      <c r="H141" s="5"/>
      <c r="I141" s="5"/>
      <c r="J141" s="5"/>
      <c r="K141" s="5"/>
      <c r="L141" s="5"/>
      <c r="M141" s="5"/>
      <c r="N141" s="5"/>
      <c r="O141" s="5"/>
      <c r="P141" s="5"/>
      <c r="Q141" s="5"/>
      <c r="R141" s="5"/>
      <c r="T141" s="5"/>
      <c r="U141" s="5"/>
      <c r="V141" s="5"/>
      <c r="W141" s="5"/>
    </row>
    <row r="142" spans="1:23" x14ac:dyDescent="0.2">
      <c r="A142" s="5" t="s">
        <v>1324</v>
      </c>
      <c r="B142" s="15">
        <v>8.7620000000000007E-3</v>
      </c>
      <c r="C142" s="15">
        <v>1.257E-2</v>
      </c>
      <c r="D142" s="15">
        <v>3.1419999999999998E-3</v>
      </c>
      <c r="E142" s="15">
        <v>0</v>
      </c>
      <c r="F142" s="15">
        <v>0</v>
      </c>
      <c r="G142" s="15">
        <v>0</v>
      </c>
      <c r="H142" s="15">
        <v>0</v>
      </c>
      <c r="I142" s="15">
        <v>0</v>
      </c>
      <c r="J142" s="15">
        <v>0</v>
      </c>
      <c r="K142" s="15">
        <v>0</v>
      </c>
      <c r="L142" s="15">
        <v>0</v>
      </c>
      <c r="M142" s="15">
        <v>0</v>
      </c>
      <c r="N142" s="15">
        <v>0</v>
      </c>
      <c r="O142" s="15">
        <v>0</v>
      </c>
      <c r="P142" s="15">
        <v>0</v>
      </c>
      <c r="Q142" s="15">
        <v>0</v>
      </c>
      <c r="R142" s="15">
        <v>0</v>
      </c>
      <c r="T142" s="5"/>
      <c r="U142" s="5"/>
      <c r="V142" s="5"/>
      <c r="W142" s="5"/>
    </row>
    <row r="143" spans="1:23" x14ac:dyDescent="0.2">
      <c r="A143" s="5" t="s">
        <v>1325</v>
      </c>
      <c r="B143" s="15">
        <v>0</v>
      </c>
      <c r="C143" s="15">
        <v>0</v>
      </c>
      <c r="D143" s="15">
        <v>3.6166999999999998E-2</v>
      </c>
      <c r="E143" s="15">
        <v>1.5911999999999999E-2</v>
      </c>
      <c r="F143" s="15">
        <v>1.5165E-2</v>
      </c>
      <c r="G143" s="15">
        <v>2.9441999999999999E-2</v>
      </c>
      <c r="H143" s="15">
        <v>0</v>
      </c>
      <c r="I143" s="15">
        <v>2.1310000000000001E-3</v>
      </c>
      <c r="J143" s="15">
        <v>1.9248999999999999E-2</v>
      </c>
      <c r="K143" s="15">
        <v>2.0806000000000002E-2</v>
      </c>
      <c r="L143" s="15">
        <v>1.8121999999999999E-2</v>
      </c>
      <c r="M143" s="15">
        <v>7.463E-3</v>
      </c>
      <c r="N143" s="15">
        <v>0</v>
      </c>
      <c r="O143" s="15">
        <v>0</v>
      </c>
      <c r="P143" s="15">
        <v>0</v>
      </c>
      <c r="Q143" s="15">
        <v>0</v>
      </c>
      <c r="R143" s="15">
        <v>0</v>
      </c>
      <c r="T143" s="5"/>
      <c r="U143" s="5"/>
      <c r="V143" s="5"/>
      <c r="W143" s="5"/>
    </row>
    <row r="144" spans="1:23" x14ac:dyDescent="0.2">
      <c r="A144" s="5" t="s">
        <v>1326</v>
      </c>
      <c r="B144" s="15">
        <v>0</v>
      </c>
      <c r="C144" s="15">
        <v>0</v>
      </c>
      <c r="D144" s="15">
        <v>0</v>
      </c>
      <c r="E144" s="15">
        <v>0</v>
      </c>
      <c r="F144" s="15">
        <v>0</v>
      </c>
      <c r="G144" s="15">
        <v>0</v>
      </c>
      <c r="H144" s="15">
        <v>0</v>
      </c>
      <c r="I144" s="15">
        <v>0</v>
      </c>
      <c r="J144" s="15">
        <v>0</v>
      </c>
      <c r="K144" s="15">
        <v>0</v>
      </c>
      <c r="L144" s="15">
        <v>0</v>
      </c>
      <c r="M144" s="15">
        <v>0</v>
      </c>
      <c r="N144" s="15">
        <v>0.41649999999999998</v>
      </c>
      <c r="O144" s="15">
        <v>0</v>
      </c>
      <c r="P144" s="15">
        <v>0</v>
      </c>
      <c r="Q144" s="15">
        <v>0</v>
      </c>
      <c r="R144" s="15">
        <v>0</v>
      </c>
      <c r="T144" s="5" t="s">
        <v>1326</v>
      </c>
      <c r="U144" s="15">
        <v>0</v>
      </c>
      <c r="V144" s="15">
        <f t="shared" ref="V144:V145" si="19">Q144</f>
        <v>0</v>
      </c>
      <c r="W144" s="15">
        <v>0</v>
      </c>
    </row>
    <row r="145" spans="1:23" ht="10.5" x14ac:dyDescent="0.2">
      <c r="A145" s="14" t="s">
        <v>932</v>
      </c>
      <c r="B145" s="16">
        <v>5.0912940000000004</v>
      </c>
      <c r="C145" s="16">
        <v>6.0854879999999998</v>
      </c>
      <c r="D145" s="16">
        <v>16.270769999999999</v>
      </c>
      <c r="E145" s="16">
        <v>10.520405999999999</v>
      </c>
      <c r="F145" s="16">
        <v>11.796308</v>
      </c>
      <c r="G145" s="16">
        <v>13.481157</v>
      </c>
      <c r="H145" s="16">
        <v>12.100166</v>
      </c>
      <c r="I145" s="16">
        <v>19.670788000000002</v>
      </c>
      <c r="J145" s="16">
        <v>21.237891000000001</v>
      </c>
      <c r="K145" s="16">
        <v>20.233176</v>
      </c>
      <c r="L145" s="16">
        <v>31.878229000000001</v>
      </c>
      <c r="M145" s="16">
        <v>34.736266000000001</v>
      </c>
      <c r="N145" s="16">
        <v>50.286009</v>
      </c>
      <c r="O145" s="16">
        <v>58.831814000000001</v>
      </c>
      <c r="P145" s="16">
        <v>77.762</v>
      </c>
      <c r="Q145" s="16">
        <v>111.563</v>
      </c>
      <c r="R145" s="16">
        <v>111.23399999999999</v>
      </c>
      <c r="T145" s="14" t="s">
        <v>932</v>
      </c>
      <c r="U145" s="16">
        <v>0</v>
      </c>
      <c r="V145" s="16">
        <f t="shared" si="19"/>
        <v>111.563</v>
      </c>
      <c r="W145" s="16">
        <v>111.23399999999999</v>
      </c>
    </row>
    <row r="146" spans="1:23" x14ac:dyDescent="0.2">
      <c r="A146" s="5"/>
      <c r="B146" s="5"/>
      <c r="C146" s="5"/>
      <c r="D146" s="5"/>
      <c r="E146" s="5"/>
      <c r="F146" s="5"/>
      <c r="G146" s="5"/>
      <c r="H146" s="5"/>
      <c r="I146" s="5"/>
      <c r="J146" s="5"/>
      <c r="K146" s="5"/>
      <c r="L146" s="5"/>
      <c r="M146" s="5"/>
      <c r="N146" s="5"/>
      <c r="O146" s="5"/>
      <c r="P146" s="5"/>
      <c r="Q146" s="5"/>
      <c r="R146" s="5"/>
      <c r="T146" s="5"/>
      <c r="U146" s="5"/>
      <c r="V146" s="5"/>
      <c r="W146" s="5"/>
    </row>
    <row r="147" spans="1:23" x14ac:dyDescent="0.2">
      <c r="A147" s="5" t="s">
        <v>1327</v>
      </c>
      <c r="B147" s="15">
        <v>2.1874999999999999E-2</v>
      </c>
      <c r="C147" s="15">
        <v>2.1874999999999999E-2</v>
      </c>
      <c r="D147" s="15">
        <v>5.9205000000000001E-2</v>
      </c>
      <c r="E147" s="15">
        <v>5.9205000000000001E-2</v>
      </c>
      <c r="F147" s="15">
        <v>5.9205000000000001E-2</v>
      </c>
      <c r="G147" s="15">
        <v>6.1037000000000001E-2</v>
      </c>
      <c r="H147" s="15">
        <v>6.105E-2</v>
      </c>
      <c r="I147" s="15">
        <v>6.105E-2</v>
      </c>
      <c r="J147" s="15">
        <v>6.1185999999999997E-2</v>
      </c>
      <c r="K147" s="15">
        <v>6.1244E-2</v>
      </c>
      <c r="L147" s="15">
        <v>6.1310000000000003E-2</v>
      </c>
      <c r="M147" s="15">
        <v>6.1310000000000003E-2</v>
      </c>
      <c r="N147" s="15">
        <v>6.2742999999999993E-2</v>
      </c>
      <c r="O147" s="15">
        <v>6.4922999999999995E-2</v>
      </c>
      <c r="P147" s="15">
        <v>9.5000000000000001E-2</v>
      </c>
      <c r="Q147" s="15">
        <v>9.8000000000000004E-2</v>
      </c>
      <c r="R147" s="15">
        <v>9.9000000000000005E-2</v>
      </c>
      <c r="T147" s="5" t="s">
        <v>1327</v>
      </c>
      <c r="U147" s="15">
        <v>0</v>
      </c>
      <c r="V147" s="15">
        <f t="shared" ref="V147:V152" si="20">Q147</f>
        <v>9.8000000000000004E-2</v>
      </c>
      <c r="W147" s="15">
        <v>9.9000000000000005E-2</v>
      </c>
    </row>
    <row r="148" spans="1:23" x14ac:dyDescent="0.2">
      <c r="A148" s="5" t="s">
        <v>1328</v>
      </c>
      <c r="B148" s="15">
        <v>0</v>
      </c>
      <c r="C148" s="15">
        <v>0</v>
      </c>
      <c r="D148" s="15">
        <v>0</v>
      </c>
      <c r="E148" s="15">
        <v>0</v>
      </c>
      <c r="F148" s="15">
        <v>0</v>
      </c>
      <c r="G148" s="15">
        <v>5.6799000000000002E-2</v>
      </c>
      <c r="H148" s="15">
        <v>5.7393E-2</v>
      </c>
      <c r="I148" s="15">
        <v>5.7393E-2</v>
      </c>
      <c r="J148" s="15">
        <v>5.7393E-2</v>
      </c>
      <c r="K148" s="15">
        <v>5.7393E-2</v>
      </c>
      <c r="L148" s="15">
        <v>5.7393E-2</v>
      </c>
      <c r="M148" s="15">
        <v>5.7393E-2</v>
      </c>
      <c r="N148" s="15">
        <v>0.22967000000000001</v>
      </c>
      <c r="O148" s="15">
        <v>1.52023</v>
      </c>
      <c r="P148" s="15">
        <v>2.8650000000000002</v>
      </c>
      <c r="Q148" s="15">
        <v>3.9420000000000002</v>
      </c>
      <c r="R148" s="15">
        <v>4.4550000000000001</v>
      </c>
      <c r="T148" s="5" t="s">
        <v>1328</v>
      </c>
      <c r="U148" s="15">
        <v>0</v>
      </c>
      <c r="V148" s="15">
        <f t="shared" si="20"/>
        <v>3.9420000000000002</v>
      </c>
      <c r="W148" s="15">
        <v>4.4550000000000001</v>
      </c>
    </row>
    <row r="149" spans="1:23" x14ac:dyDescent="0.2">
      <c r="A149" s="5" t="s">
        <v>1329</v>
      </c>
      <c r="B149" s="15">
        <v>0.73727900000000002</v>
      </c>
      <c r="C149" s="15">
        <v>0.99973800000000002</v>
      </c>
      <c r="D149" s="15">
        <v>1.354136</v>
      </c>
      <c r="E149" s="15">
        <v>1.7875300000000001</v>
      </c>
      <c r="F149" s="15">
        <v>4.623958</v>
      </c>
      <c r="G149" s="15">
        <v>5.4431099999999999</v>
      </c>
      <c r="H149" s="15">
        <v>6.5947019999999998</v>
      </c>
      <c r="I149" s="15">
        <v>8.9867480000000004</v>
      </c>
      <c r="J149" s="15">
        <v>12.976862000000001</v>
      </c>
      <c r="K149" s="15">
        <v>18.003281999999999</v>
      </c>
      <c r="L149" s="15">
        <v>16.064364999999999</v>
      </c>
      <c r="M149" s="15">
        <v>27.754709999999999</v>
      </c>
      <c r="N149" s="15">
        <v>43.626691000000001</v>
      </c>
      <c r="O149" s="15">
        <v>48.235165000000002</v>
      </c>
      <c r="P149" s="15">
        <v>70.808000000000007</v>
      </c>
      <c r="Q149" s="15">
        <v>95.77</v>
      </c>
      <c r="R149" s="15">
        <v>67.935000000000002</v>
      </c>
      <c r="T149" s="5" t="s">
        <v>1329</v>
      </c>
      <c r="U149" s="15">
        <v>0</v>
      </c>
      <c r="V149" s="15">
        <f t="shared" si="20"/>
        <v>95.77</v>
      </c>
      <c r="W149" s="15">
        <v>67.935000000000002</v>
      </c>
    </row>
    <row r="150" spans="1:23" x14ac:dyDescent="0.2">
      <c r="A150" s="5" t="s">
        <v>1330</v>
      </c>
      <c r="B150" s="15">
        <v>0</v>
      </c>
      <c r="C150" s="15">
        <v>0</v>
      </c>
      <c r="D150" s="15">
        <v>0</v>
      </c>
      <c r="E150" s="15">
        <v>0</v>
      </c>
      <c r="F150" s="15">
        <v>0</v>
      </c>
      <c r="G150" s="15">
        <v>-2.4</v>
      </c>
      <c r="H150" s="15">
        <v>-2.4</v>
      </c>
      <c r="I150" s="15">
        <v>-2.4</v>
      </c>
      <c r="J150" s="15">
        <v>-3.2</v>
      </c>
      <c r="K150" s="15">
        <v>-3.2</v>
      </c>
      <c r="L150" s="15">
        <v>-3</v>
      </c>
      <c r="M150" s="15">
        <v>-2.8</v>
      </c>
      <c r="N150" s="15">
        <v>-2.6</v>
      </c>
      <c r="O150" s="15">
        <v>-1.4</v>
      </c>
      <c r="P150" s="15">
        <v>-1.5</v>
      </c>
      <c r="Q150" s="15">
        <v>-4</v>
      </c>
      <c r="R150" s="15">
        <v>-3.5</v>
      </c>
      <c r="T150" s="5" t="s">
        <v>1330</v>
      </c>
      <c r="U150" s="15">
        <v>0</v>
      </c>
      <c r="V150" s="15">
        <f t="shared" si="20"/>
        <v>-4</v>
      </c>
      <c r="W150" s="15">
        <v>-3.5</v>
      </c>
    </row>
    <row r="151" spans="1:23" x14ac:dyDescent="0.2">
      <c r="A151" s="5" t="s">
        <v>1331</v>
      </c>
      <c r="B151" s="15">
        <v>3.5000000000000001E-3</v>
      </c>
      <c r="C151" s="15">
        <v>3.5000000000000001E-3</v>
      </c>
      <c r="D151" s="15">
        <v>1.16073</v>
      </c>
      <c r="E151" s="15">
        <v>1.15723</v>
      </c>
      <c r="F151" s="15">
        <v>0</v>
      </c>
      <c r="G151" s="15">
        <v>0</v>
      </c>
      <c r="H151" s="15">
        <v>0</v>
      </c>
      <c r="I151" s="15">
        <v>0</v>
      </c>
      <c r="J151" s="15">
        <v>0</v>
      </c>
      <c r="K151" s="15">
        <v>0</v>
      </c>
      <c r="L151" s="15">
        <v>0</v>
      </c>
      <c r="M151" s="15">
        <v>0</v>
      </c>
      <c r="N151" s="15">
        <v>0</v>
      </c>
      <c r="O151" s="15">
        <v>0</v>
      </c>
      <c r="P151" s="15">
        <v>0</v>
      </c>
      <c r="Q151" s="15">
        <v>0</v>
      </c>
      <c r="R151" s="15">
        <v>0</v>
      </c>
      <c r="T151" s="5" t="s">
        <v>1331</v>
      </c>
      <c r="U151" s="15">
        <v>0</v>
      </c>
      <c r="V151" s="15">
        <f t="shared" si="20"/>
        <v>0</v>
      </c>
      <c r="W151" s="15">
        <v>0</v>
      </c>
    </row>
    <row r="152" spans="1:23" ht="10.5" x14ac:dyDescent="0.2">
      <c r="A152" s="14" t="s">
        <v>1332</v>
      </c>
      <c r="B152" s="16">
        <v>0.76265400000000005</v>
      </c>
      <c r="C152" s="16">
        <v>1.0251129999999999</v>
      </c>
      <c r="D152" s="16">
        <v>2.574071</v>
      </c>
      <c r="E152" s="16">
        <v>3.003965</v>
      </c>
      <c r="F152" s="16">
        <v>4.6831630000000004</v>
      </c>
      <c r="G152" s="16">
        <v>3.1488399999999999</v>
      </c>
      <c r="H152" s="16">
        <v>4.3010390000000003</v>
      </c>
      <c r="I152" s="16">
        <v>6.693085</v>
      </c>
      <c r="J152" s="16">
        <v>9.9081659999999996</v>
      </c>
      <c r="K152" s="16">
        <v>14.935131</v>
      </c>
      <c r="L152" s="16">
        <v>13.166833</v>
      </c>
      <c r="M152" s="16">
        <v>25.033563999999998</v>
      </c>
      <c r="N152" s="16">
        <v>41.284678</v>
      </c>
      <c r="O152" s="16">
        <v>48.383786000000001</v>
      </c>
      <c r="P152" s="16">
        <v>72.299000000000007</v>
      </c>
      <c r="Q152" s="16">
        <v>95.816000000000003</v>
      </c>
      <c r="R152" s="16">
        <v>68.959000000000003</v>
      </c>
      <c r="T152" s="14" t="s">
        <v>1332</v>
      </c>
      <c r="U152" s="16">
        <v>0</v>
      </c>
      <c r="V152" s="16">
        <f t="shared" si="20"/>
        <v>95.816000000000003</v>
      </c>
      <c r="W152" s="16">
        <v>68.959000000000003</v>
      </c>
    </row>
    <row r="153" spans="1:23" x14ac:dyDescent="0.2">
      <c r="A153" s="5"/>
      <c r="B153" s="5"/>
      <c r="C153" s="5"/>
      <c r="D153" s="5"/>
      <c r="E153" s="5"/>
      <c r="F153" s="5"/>
      <c r="G153" s="5"/>
      <c r="H153" s="5"/>
      <c r="I153" s="5"/>
      <c r="J153" s="5"/>
      <c r="K153" s="5"/>
      <c r="L153" s="5"/>
      <c r="M153" s="5"/>
      <c r="N153" s="5"/>
      <c r="O153" s="5"/>
      <c r="P153" s="5"/>
      <c r="Q153" s="5"/>
      <c r="R153" s="5"/>
      <c r="T153" s="5"/>
      <c r="U153" s="5"/>
      <c r="V153" s="5"/>
      <c r="W153" s="5"/>
    </row>
    <row r="154" spans="1:23" x14ac:dyDescent="0.2">
      <c r="A154" s="5" t="s">
        <v>1087</v>
      </c>
      <c r="B154" s="15">
        <v>0.55672900000000003</v>
      </c>
      <c r="C154" s="15">
        <v>0.77671100000000004</v>
      </c>
      <c r="D154" s="15">
        <v>0</v>
      </c>
      <c r="E154" s="15">
        <v>0</v>
      </c>
      <c r="F154" s="15">
        <v>0</v>
      </c>
      <c r="G154" s="15">
        <v>0</v>
      </c>
      <c r="H154" s="15">
        <v>0</v>
      </c>
      <c r="I154" s="15">
        <v>0</v>
      </c>
      <c r="J154" s="15">
        <v>0</v>
      </c>
      <c r="K154" s="15">
        <v>0</v>
      </c>
      <c r="L154" s="15">
        <v>0</v>
      </c>
      <c r="M154" s="15">
        <v>0</v>
      </c>
      <c r="N154" s="15">
        <v>0</v>
      </c>
      <c r="O154" s="15">
        <v>0</v>
      </c>
      <c r="P154" s="15">
        <v>0</v>
      </c>
      <c r="Q154" s="15">
        <v>0</v>
      </c>
      <c r="R154" s="15">
        <v>0</v>
      </c>
      <c r="T154" s="5"/>
      <c r="U154" s="5"/>
      <c r="V154" s="5"/>
      <c r="W154" s="5"/>
    </row>
    <row r="155" spans="1:23" x14ac:dyDescent="0.2">
      <c r="A155" s="5"/>
      <c r="B155" s="5"/>
      <c r="C155" s="5"/>
      <c r="D155" s="5"/>
      <c r="E155" s="5"/>
      <c r="F155" s="5"/>
      <c r="G155" s="5"/>
      <c r="H155" s="5"/>
      <c r="I155" s="5"/>
      <c r="J155" s="5"/>
      <c r="K155" s="5"/>
      <c r="L155" s="5"/>
      <c r="M155" s="5"/>
      <c r="N155" s="5"/>
      <c r="O155" s="5"/>
      <c r="P155" s="5"/>
      <c r="Q155" s="5"/>
      <c r="R155" s="5"/>
      <c r="T155" s="5"/>
      <c r="U155" s="5"/>
      <c r="V155" s="5"/>
      <c r="W155" s="5"/>
    </row>
    <row r="156" spans="1:23" ht="10.5" x14ac:dyDescent="0.2">
      <c r="A156" s="14" t="s">
        <v>1333</v>
      </c>
      <c r="B156" s="24">
        <v>1.319383</v>
      </c>
      <c r="C156" s="24">
        <v>1.8018240000000001</v>
      </c>
      <c r="D156" s="24">
        <v>2.574071</v>
      </c>
      <c r="E156" s="24">
        <v>3.003965</v>
      </c>
      <c r="F156" s="24">
        <v>4.6831630000000004</v>
      </c>
      <c r="G156" s="24">
        <v>3.1488399999999999</v>
      </c>
      <c r="H156" s="24">
        <v>4.3010390000000003</v>
      </c>
      <c r="I156" s="24">
        <v>6.693085</v>
      </c>
      <c r="J156" s="24">
        <v>9.9081659999999996</v>
      </c>
      <c r="K156" s="24">
        <v>14.935131</v>
      </c>
      <c r="L156" s="24">
        <v>13.166833</v>
      </c>
      <c r="M156" s="24">
        <v>25.033563999999998</v>
      </c>
      <c r="N156" s="24">
        <v>41.284678</v>
      </c>
      <c r="O156" s="24">
        <v>48.383786000000001</v>
      </c>
      <c r="P156" s="24">
        <v>72.299000000000007</v>
      </c>
      <c r="Q156" s="24">
        <v>95.816000000000003</v>
      </c>
      <c r="R156" s="24">
        <v>68.959000000000003</v>
      </c>
      <c r="T156" s="14" t="s">
        <v>1333</v>
      </c>
      <c r="U156" s="24">
        <v>0</v>
      </c>
      <c r="V156" s="24">
        <f>Q156</f>
        <v>95.816000000000003</v>
      </c>
      <c r="W156" s="24">
        <v>68.959000000000003</v>
      </c>
    </row>
    <row r="157" spans="1:23" x14ac:dyDescent="0.2">
      <c r="A157" s="5"/>
      <c r="B157" s="5"/>
      <c r="C157" s="5"/>
      <c r="D157" s="5"/>
      <c r="E157" s="5"/>
      <c r="F157" s="5"/>
      <c r="G157" s="5"/>
      <c r="H157" s="5"/>
      <c r="I157" s="5"/>
      <c r="J157" s="5"/>
      <c r="K157" s="5"/>
      <c r="L157" s="5"/>
      <c r="M157" s="5"/>
      <c r="N157" s="5"/>
      <c r="O157" s="5"/>
      <c r="P157" s="5"/>
      <c r="Q157" s="5"/>
      <c r="R157" s="5"/>
      <c r="T157" s="5"/>
      <c r="U157" s="5"/>
      <c r="V157" s="5"/>
      <c r="W157" s="5"/>
    </row>
    <row r="158" spans="1:23" ht="10.5" x14ac:dyDescent="0.2">
      <c r="A158" s="14" t="s">
        <v>1334</v>
      </c>
      <c r="B158" s="25">
        <v>6.4106769999999997</v>
      </c>
      <c r="C158" s="25">
        <v>7.8873119999999997</v>
      </c>
      <c r="D158" s="25">
        <v>18.844840999999999</v>
      </c>
      <c r="E158" s="25">
        <v>13.524371</v>
      </c>
      <c r="F158" s="25">
        <v>16.479471</v>
      </c>
      <c r="G158" s="25">
        <v>16.629996999999999</v>
      </c>
      <c r="H158" s="25">
        <v>16.401205000000001</v>
      </c>
      <c r="I158" s="25">
        <v>26.363873000000002</v>
      </c>
      <c r="J158" s="25">
        <v>31.146056999999999</v>
      </c>
      <c r="K158" s="25">
        <v>35.168306999999999</v>
      </c>
      <c r="L158" s="25">
        <v>45.045062000000001</v>
      </c>
      <c r="M158" s="25">
        <v>59.769829999999999</v>
      </c>
      <c r="N158" s="25">
        <v>91.570687000000007</v>
      </c>
      <c r="O158" s="25">
        <v>107.21559999999999</v>
      </c>
      <c r="P158" s="25">
        <v>150.06100000000001</v>
      </c>
      <c r="Q158" s="25">
        <v>207.37899999999999</v>
      </c>
      <c r="R158" s="25">
        <v>180.19300000000001</v>
      </c>
      <c r="T158" s="14" t="s">
        <v>1334</v>
      </c>
      <c r="U158" s="25">
        <v>0</v>
      </c>
      <c r="V158" s="25">
        <f>Q158</f>
        <v>207.37899999999999</v>
      </c>
      <c r="W158" s="25">
        <v>180.19300000000001</v>
      </c>
    </row>
    <row r="159" spans="1:23" x14ac:dyDescent="0.2">
      <c r="A159" s="5"/>
      <c r="B159" s="5"/>
      <c r="C159" s="5"/>
      <c r="D159" s="5"/>
      <c r="E159" s="5"/>
      <c r="F159" s="5"/>
      <c r="G159" s="5"/>
      <c r="H159" s="5"/>
      <c r="I159" s="5"/>
      <c r="J159" s="5"/>
      <c r="K159" s="5"/>
      <c r="L159" s="5"/>
      <c r="M159" s="5"/>
      <c r="N159" s="5"/>
      <c r="O159" s="5"/>
      <c r="P159" s="5"/>
      <c r="Q159" s="5"/>
      <c r="R159" s="5"/>
      <c r="T159" s="5"/>
      <c r="U159" s="5"/>
      <c r="V159" s="5"/>
      <c r="W159" s="5"/>
    </row>
    <row r="160" spans="1:23" ht="10.5" x14ac:dyDescent="0.2">
      <c r="A160" s="14" t="s">
        <v>1267</v>
      </c>
      <c r="B160" s="5"/>
      <c r="C160" s="5"/>
      <c r="D160" s="5"/>
      <c r="E160" s="5"/>
      <c r="F160" s="5"/>
      <c r="G160" s="5"/>
      <c r="H160" s="5"/>
      <c r="I160" s="5"/>
      <c r="J160" s="5"/>
      <c r="K160" s="5"/>
      <c r="L160" s="5"/>
      <c r="M160" s="5"/>
      <c r="N160" s="5"/>
      <c r="O160" s="5"/>
      <c r="P160" s="5"/>
      <c r="Q160" s="5"/>
      <c r="R160" s="5"/>
      <c r="T160" s="14" t="s">
        <v>1267</v>
      </c>
      <c r="U160" s="5"/>
      <c r="V160" s="5"/>
      <c r="W160" s="5"/>
    </row>
    <row r="161" spans="1:23" x14ac:dyDescent="0.2">
      <c r="A161" s="5" t="s">
        <v>1335</v>
      </c>
      <c r="B161" s="15">
        <v>0.05</v>
      </c>
      <c r="C161" s="15">
        <v>0.05</v>
      </c>
      <c r="D161" s="15">
        <v>5.9204999999999997</v>
      </c>
      <c r="E161" s="15">
        <v>5.9204999999999997</v>
      </c>
      <c r="F161" s="15">
        <v>5.9204999999999997</v>
      </c>
      <c r="G161" s="15">
        <v>6.1036999999999999</v>
      </c>
      <c r="H161" s="15">
        <v>6.1049150000000001</v>
      </c>
      <c r="I161" s="15">
        <v>6.1050000000000004</v>
      </c>
      <c r="J161" s="15">
        <v>6.1185999999999998</v>
      </c>
      <c r="K161" s="15">
        <v>6.1244059999999996</v>
      </c>
      <c r="L161" s="15">
        <v>6.1310209999999996</v>
      </c>
      <c r="M161" s="15">
        <v>6.1310209999999996</v>
      </c>
      <c r="N161" s="15">
        <v>6.2742630000000004</v>
      </c>
      <c r="O161" s="15">
        <v>6.4922630000000003</v>
      </c>
      <c r="P161" s="15" t="s">
        <v>52</v>
      </c>
      <c r="Q161" s="15" t="s">
        <v>52</v>
      </c>
      <c r="R161" s="15">
        <v>195.934867</v>
      </c>
      <c r="T161" s="5" t="s">
        <v>1335</v>
      </c>
      <c r="U161" s="15">
        <v>190.37598299999999</v>
      </c>
      <c r="V161" s="15" t="str">
        <f t="shared" ref="V161:V167" si="21">Q161</f>
        <v>NA</v>
      </c>
      <c r="W161" s="15">
        <v>195.934867</v>
      </c>
    </row>
    <row r="162" spans="1:23" x14ac:dyDescent="0.2">
      <c r="A162" s="5" t="s">
        <v>1336</v>
      </c>
      <c r="B162" s="15">
        <v>0.05</v>
      </c>
      <c r="C162" s="15">
        <v>0.05</v>
      </c>
      <c r="D162" s="15">
        <v>5.9204999999999997</v>
      </c>
      <c r="E162" s="15">
        <v>5.9204999999999997</v>
      </c>
      <c r="F162" s="15">
        <v>5.9204999999999997</v>
      </c>
      <c r="G162" s="15">
        <v>6.1036999999999999</v>
      </c>
      <c r="H162" s="15">
        <v>6.1049150000000001</v>
      </c>
      <c r="I162" s="15">
        <v>6.1050000000000004</v>
      </c>
      <c r="J162" s="15">
        <v>6.1185999999999998</v>
      </c>
      <c r="K162" s="15">
        <v>6.1244059999999996</v>
      </c>
      <c r="L162" s="15">
        <v>6.1310209999999996</v>
      </c>
      <c r="M162" s="15">
        <v>6.1310209999999996</v>
      </c>
      <c r="N162" s="15">
        <v>6.2742630000000004</v>
      </c>
      <c r="O162" s="15">
        <v>6.4922630000000003</v>
      </c>
      <c r="P162" s="15" t="s">
        <v>52</v>
      </c>
      <c r="Q162" s="15" t="s">
        <v>52</v>
      </c>
      <c r="R162" s="15">
        <v>195.93481499999999</v>
      </c>
      <c r="T162" s="5" t="s">
        <v>1336</v>
      </c>
      <c r="U162" s="15">
        <v>190.37583799999999</v>
      </c>
      <c r="V162" s="15" t="str">
        <f t="shared" si="21"/>
        <v>NA</v>
      </c>
      <c r="W162" s="15">
        <v>195.93481499999999</v>
      </c>
    </row>
    <row r="163" spans="1:23" x14ac:dyDescent="0.2">
      <c r="A163" s="5" t="s">
        <v>1337</v>
      </c>
      <c r="B163" s="19">
        <v>15.253080000000001</v>
      </c>
      <c r="C163" s="19">
        <v>20.50226</v>
      </c>
      <c r="D163" s="19">
        <v>0.43477199999999999</v>
      </c>
      <c r="E163" s="19">
        <v>0.50738300000000003</v>
      </c>
      <c r="F163" s="19">
        <v>0.79100800000000004</v>
      </c>
      <c r="G163" s="19">
        <v>0.51588999999999996</v>
      </c>
      <c r="H163" s="19">
        <v>0.70452000000000004</v>
      </c>
      <c r="I163" s="19">
        <v>1.096328</v>
      </c>
      <c r="J163" s="19">
        <v>1.619351</v>
      </c>
      <c r="K163" s="19">
        <v>2.438625</v>
      </c>
      <c r="L163" s="19">
        <v>2.1475749999999998</v>
      </c>
      <c r="M163" s="19">
        <v>4.0830979999999997</v>
      </c>
      <c r="N163" s="19">
        <v>6.5800039999999997</v>
      </c>
      <c r="O163" s="19">
        <v>7.4525300000000003</v>
      </c>
      <c r="P163" s="19" t="s">
        <v>52</v>
      </c>
      <c r="Q163" s="19" t="s">
        <v>52</v>
      </c>
      <c r="R163" s="19">
        <v>0.35194799999999998</v>
      </c>
      <c r="T163" s="5" t="s">
        <v>1337</v>
      </c>
      <c r="U163" s="19" t="s">
        <v>52</v>
      </c>
      <c r="V163" s="19" t="str">
        <f t="shared" si="21"/>
        <v>NA</v>
      </c>
      <c r="W163" s="19">
        <v>0.35194799999999998</v>
      </c>
    </row>
    <row r="164" spans="1:23" x14ac:dyDescent="0.2">
      <c r="A164" s="5" t="s">
        <v>1338</v>
      </c>
      <c r="B164" s="15">
        <v>0.76265400000000005</v>
      </c>
      <c r="C164" s="15">
        <v>1.0251129999999999</v>
      </c>
      <c r="D164" s="15">
        <v>2.109807</v>
      </c>
      <c r="E164" s="15">
        <v>3.003965</v>
      </c>
      <c r="F164" s="15">
        <v>4.6831630000000004</v>
      </c>
      <c r="G164" s="15">
        <v>3.1488399999999999</v>
      </c>
      <c r="H164" s="15">
        <v>4.3010390000000003</v>
      </c>
      <c r="I164" s="15">
        <v>6.693085</v>
      </c>
      <c r="J164" s="15">
        <v>9.9081659999999996</v>
      </c>
      <c r="K164" s="15">
        <v>14.935131</v>
      </c>
      <c r="L164" s="15">
        <v>13.166833</v>
      </c>
      <c r="M164" s="15">
        <v>25.033563999999998</v>
      </c>
      <c r="N164" s="15">
        <v>41.284678</v>
      </c>
      <c r="O164" s="15">
        <v>47.978076000000001</v>
      </c>
      <c r="P164" s="15">
        <v>71.775999999999996</v>
      </c>
      <c r="Q164" s="15">
        <v>95.358000000000004</v>
      </c>
      <c r="R164" s="15">
        <v>68.326999999999998</v>
      </c>
      <c r="T164" s="5" t="s">
        <v>1338</v>
      </c>
      <c r="U164" s="15" t="s">
        <v>52</v>
      </c>
      <c r="V164" s="15">
        <f t="shared" si="21"/>
        <v>95.358000000000004</v>
      </c>
      <c r="W164" s="15">
        <v>68.326999999999998</v>
      </c>
    </row>
    <row r="165" spans="1:23" x14ac:dyDescent="0.2">
      <c r="A165" s="5" t="s">
        <v>1339</v>
      </c>
      <c r="B165" s="19">
        <v>15.253080000000001</v>
      </c>
      <c r="C165" s="19">
        <v>20.50226</v>
      </c>
      <c r="D165" s="19">
        <v>0.35635600000000001</v>
      </c>
      <c r="E165" s="19">
        <v>0.50738300000000003</v>
      </c>
      <c r="F165" s="19">
        <v>0.79100800000000004</v>
      </c>
      <c r="G165" s="19">
        <v>0.51588999999999996</v>
      </c>
      <c r="H165" s="19">
        <v>0.70452000000000004</v>
      </c>
      <c r="I165" s="19">
        <v>1.096328</v>
      </c>
      <c r="J165" s="19">
        <v>1.619351</v>
      </c>
      <c r="K165" s="19">
        <v>2.438625</v>
      </c>
      <c r="L165" s="19">
        <v>2.1475749999999998</v>
      </c>
      <c r="M165" s="19">
        <v>4.0830979999999997</v>
      </c>
      <c r="N165" s="19">
        <v>6.5800039999999997</v>
      </c>
      <c r="O165" s="19">
        <v>7.3900379999999997</v>
      </c>
      <c r="P165" s="19" t="s">
        <v>52</v>
      </c>
      <c r="Q165" s="19" t="s">
        <v>52</v>
      </c>
      <c r="R165" s="19">
        <v>0.34872300000000001</v>
      </c>
      <c r="T165" s="5" t="s">
        <v>1339</v>
      </c>
      <c r="U165" s="19" t="s">
        <v>52</v>
      </c>
      <c r="V165" s="19" t="str">
        <f t="shared" si="21"/>
        <v>NA</v>
      </c>
      <c r="W165" s="19">
        <v>0.34872300000000001</v>
      </c>
    </row>
    <row r="166" spans="1:23" x14ac:dyDescent="0.2">
      <c r="A166" s="5" t="s">
        <v>1340</v>
      </c>
      <c r="B166" s="15">
        <v>2.0284550000000001</v>
      </c>
      <c r="C166" s="15">
        <v>2.0120800000000001</v>
      </c>
      <c r="D166" s="15">
        <v>3.3895249999999999</v>
      </c>
      <c r="E166" s="15">
        <v>3.1419999999999998E-3</v>
      </c>
      <c r="F166" s="15">
        <v>0</v>
      </c>
      <c r="G166" s="15">
        <v>3.7735439999999998</v>
      </c>
      <c r="H166" s="15">
        <v>1.5757490000000001</v>
      </c>
      <c r="I166" s="15">
        <v>5.14846</v>
      </c>
      <c r="J166" s="15">
        <v>4.8169110000000002</v>
      </c>
      <c r="K166" s="15">
        <v>3.0357430000000001</v>
      </c>
      <c r="L166" s="15">
        <v>5.3846129999999999</v>
      </c>
      <c r="M166" s="15">
        <v>3.0738530000000002</v>
      </c>
      <c r="N166" s="15">
        <v>2.1777609999999998</v>
      </c>
      <c r="O166" s="15">
        <v>0</v>
      </c>
      <c r="P166" s="15">
        <v>0</v>
      </c>
      <c r="Q166" s="15">
        <v>0</v>
      </c>
      <c r="R166" s="15">
        <v>0</v>
      </c>
      <c r="T166" s="5" t="s">
        <v>1340</v>
      </c>
      <c r="U166" s="15" t="s">
        <v>52</v>
      </c>
      <c r="V166" s="15">
        <f t="shared" si="21"/>
        <v>0</v>
      </c>
      <c r="W166" s="15">
        <v>0</v>
      </c>
    </row>
    <row r="167" spans="1:23" x14ac:dyDescent="0.2">
      <c r="A167" s="5" t="s">
        <v>66</v>
      </c>
      <c r="B167" s="15">
        <v>2.0070290000000002</v>
      </c>
      <c r="C167" s="15">
        <v>2.00339</v>
      </c>
      <c r="D167" s="15">
        <v>3.3874309999999999</v>
      </c>
      <c r="E167" s="15">
        <v>-1.4</v>
      </c>
      <c r="F167" s="15">
        <v>-1.8</v>
      </c>
      <c r="G167" s="15">
        <v>1.7210270000000001</v>
      </c>
      <c r="H167" s="15">
        <v>1.573423</v>
      </c>
      <c r="I167" s="15">
        <v>-0.9</v>
      </c>
      <c r="J167" s="15">
        <v>-5.6</v>
      </c>
      <c r="K167" s="15">
        <v>-10.6</v>
      </c>
      <c r="L167" s="15">
        <v>-8.3000000000000007</v>
      </c>
      <c r="M167" s="15">
        <v>-5.9</v>
      </c>
      <c r="N167" s="15">
        <v>-10.1</v>
      </c>
      <c r="O167" s="15">
        <v>-8.6999999999999993</v>
      </c>
      <c r="P167" s="15">
        <v>-37.700000000000003</v>
      </c>
      <c r="Q167" s="15">
        <v>-74.599999999999994</v>
      </c>
      <c r="R167" s="15">
        <v>-54.9</v>
      </c>
      <c r="T167" s="5" t="s">
        <v>66</v>
      </c>
      <c r="U167" s="15" t="s">
        <v>52</v>
      </c>
      <c r="V167" s="15">
        <f t="shared" si="21"/>
        <v>-74.599999999999994</v>
      </c>
      <c r="W167" s="15">
        <v>-54.9</v>
      </c>
    </row>
    <row r="168" spans="1:23" x14ac:dyDescent="0.2">
      <c r="A168" s="5" t="s">
        <v>1341</v>
      </c>
      <c r="B168" s="15" t="s">
        <v>52</v>
      </c>
      <c r="C168" s="15" t="s">
        <v>52</v>
      </c>
      <c r="D168" s="15">
        <v>1.037296</v>
      </c>
      <c r="E168" s="15">
        <v>0.93635199999999996</v>
      </c>
      <c r="F168" s="15">
        <v>1.262432</v>
      </c>
      <c r="G168" s="15">
        <v>2.214464</v>
      </c>
      <c r="H168" s="15">
        <v>1.92</v>
      </c>
      <c r="I168" s="15">
        <v>1.8273440000000001</v>
      </c>
      <c r="J168" s="15">
        <v>1.92</v>
      </c>
      <c r="K168" s="15">
        <v>2.840128</v>
      </c>
      <c r="L168" s="15">
        <v>2.758864</v>
      </c>
      <c r="M168" s="15">
        <v>3.7248800000000002</v>
      </c>
      <c r="N168" s="15">
        <v>7.9044800000000004</v>
      </c>
      <c r="O168" s="15">
        <v>1.37192</v>
      </c>
      <c r="P168" s="15">
        <v>3.1840000000000002</v>
      </c>
      <c r="Q168" s="15">
        <v>4.008</v>
      </c>
      <c r="R168" s="15" t="s">
        <v>52</v>
      </c>
      <c r="T168" s="5"/>
      <c r="U168" s="15"/>
      <c r="V168" s="15"/>
      <c r="W168" s="15"/>
    </row>
    <row r="169" spans="1:23" x14ac:dyDescent="0.2">
      <c r="A169" s="5" t="s">
        <v>1342</v>
      </c>
      <c r="B169" s="15">
        <v>0.55672900000000003</v>
      </c>
      <c r="C169" s="15">
        <v>0.77671100000000004</v>
      </c>
      <c r="D169" s="15" t="s">
        <v>52</v>
      </c>
      <c r="E169" s="15" t="s">
        <v>52</v>
      </c>
      <c r="F169" s="15" t="s">
        <v>52</v>
      </c>
      <c r="G169" s="15" t="s">
        <v>52</v>
      </c>
      <c r="H169" s="15" t="s">
        <v>52</v>
      </c>
      <c r="I169" s="15" t="s">
        <v>52</v>
      </c>
      <c r="J169" s="15" t="s">
        <v>52</v>
      </c>
      <c r="K169" s="15" t="s">
        <v>52</v>
      </c>
      <c r="L169" s="15" t="s">
        <v>52</v>
      </c>
      <c r="M169" s="15" t="s">
        <v>52</v>
      </c>
      <c r="N169" s="15" t="s">
        <v>52</v>
      </c>
      <c r="O169" s="15" t="s">
        <v>52</v>
      </c>
      <c r="P169" s="15" t="s">
        <v>52</v>
      </c>
      <c r="Q169" s="15" t="s">
        <v>52</v>
      </c>
      <c r="R169" s="15" t="s">
        <v>52</v>
      </c>
      <c r="T169" s="5"/>
      <c r="U169" s="15"/>
      <c r="V169" s="15"/>
      <c r="W169" s="15"/>
    </row>
    <row r="170" spans="1:23" x14ac:dyDescent="0.2">
      <c r="A170" s="5" t="s">
        <v>1343</v>
      </c>
      <c r="B170" s="20" t="s">
        <v>52</v>
      </c>
      <c r="C170" s="20" t="s">
        <v>52</v>
      </c>
      <c r="D170" s="20" t="s">
        <v>52</v>
      </c>
      <c r="E170" s="20" t="s">
        <v>52</v>
      </c>
      <c r="F170" s="20" t="s">
        <v>52</v>
      </c>
      <c r="G170" s="20" t="s">
        <v>52</v>
      </c>
      <c r="H170" s="20" t="s">
        <v>52</v>
      </c>
      <c r="I170" s="20" t="s">
        <v>52</v>
      </c>
      <c r="J170" s="20" t="s">
        <v>52</v>
      </c>
      <c r="K170" s="20" t="s">
        <v>52</v>
      </c>
      <c r="L170" s="20" t="s">
        <v>52</v>
      </c>
      <c r="M170" s="20" t="s">
        <v>52</v>
      </c>
      <c r="N170" s="20" t="s">
        <v>52</v>
      </c>
      <c r="O170" s="20" t="s">
        <v>52</v>
      </c>
      <c r="P170" s="20" t="s">
        <v>52</v>
      </c>
      <c r="Q170" s="20" t="s">
        <v>52</v>
      </c>
      <c r="R170" s="20" t="s">
        <v>52</v>
      </c>
      <c r="T170" s="5"/>
      <c r="U170" s="15"/>
      <c r="V170" s="15"/>
      <c r="W170" s="15"/>
    </row>
    <row r="171" spans="1:23" x14ac:dyDescent="0.2">
      <c r="A171" s="5" t="s">
        <v>1344</v>
      </c>
      <c r="B171" s="15">
        <v>0.17154</v>
      </c>
      <c r="C171" s="15">
        <v>0.33513799999999999</v>
      </c>
      <c r="D171" s="15">
        <v>1.279763</v>
      </c>
      <c r="E171" s="15">
        <v>0.28871599999999997</v>
      </c>
      <c r="F171" s="15">
        <v>0.24516399999999999</v>
      </c>
      <c r="G171" s="15">
        <v>0.25069599999999997</v>
      </c>
      <c r="H171" s="15">
        <v>0.17116600000000001</v>
      </c>
      <c r="I171" s="15">
        <v>0.403391</v>
      </c>
      <c r="J171" s="15">
        <v>0.40257500000000002</v>
      </c>
      <c r="K171" s="15">
        <v>0.26390200000000003</v>
      </c>
      <c r="L171" s="15">
        <v>0.83121500000000004</v>
      </c>
      <c r="M171" s="15">
        <v>1.0403690000000001</v>
      </c>
      <c r="N171" s="15">
        <v>2.0073970000000001</v>
      </c>
      <c r="O171" s="15">
        <v>4.2788599999999999</v>
      </c>
      <c r="P171" s="15">
        <v>4.4809999999999999</v>
      </c>
      <c r="Q171" s="15">
        <v>2.6520000000000001</v>
      </c>
      <c r="R171" s="15" t="s">
        <v>52</v>
      </c>
      <c r="T171" s="5"/>
      <c r="U171" s="15"/>
      <c r="V171" s="15"/>
      <c r="W171" s="15"/>
    </row>
    <row r="172" spans="1:23" x14ac:dyDescent="0.2">
      <c r="A172" s="5" t="s">
        <v>1345</v>
      </c>
      <c r="B172" s="15" t="s">
        <v>52</v>
      </c>
      <c r="C172" s="15" t="s">
        <v>52</v>
      </c>
      <c r="D172" s="15" t="s">
        <v>52</v>
      </c>
      <c r="E172" s="15" t="s">
        <v>52</v>
      </c>
      <c r="F172" s="15" t="s">
        <v>52</v>
      </c>
      <c r="G172" s="15" t="s">
        <v>52</v>
      </c>
      <c r="H172" s="15" t="s">
        <v>52</v>
      </c>
      <c r="I172" s="15" t="s">
        <v>52</v>
      </c>
      <c r="J172" s="15" t="s">
        <v>52</v>
      </c>
      <c r="K172" s="15" t="s">
        <v>52</v>
      </c>
      <c r="L172" s="15" t="s">
        <v>52</v>
      </c>
      <c r="M172" s="15" t="s">
        <v>52</v>
      </c>
      <c r="N172" s="15">
        <v>3.1965409999999999</v>
      </c>
      <c r="O172" s="15">
        <v>3.890844</v>
      </c>
      <c r="P172" s="15">
        <v>4.1139999999999999</v>
      </c>
      <c r="Q172" s="15">
        <v>4.3769999999999998</v>
      </c>
      <c r="R172" s="15" t="s">
        <v>52</v>
      </c>
      <c r="T172" s="5"/>
      <c r="U172" s="15"/>
      <c r="V172" s="15"/>
      <c r="W172" s="15"/>
    </row>
    <row r="173" spans="1:23" x14ac:dyDescent="0.2">
      <c r="A173" s="5" t="s">
        <v>1346</v>
      </c>
      <c r="B173" s="15">
        <v>0.77440900000000001</v>
      </c>
      <c r="C173" s="15">
        <v>1.0021409999999999</v>
      </c>
      <c r="D173" s="15">
        <v>1.021703</v>
      </c>
      <c r="E173" s="15">
        <v>0.85298799999999997</v>
      </c>
      <c r="F173" s="15">
        <v>1.3523529999999999</v>
      </c>
      <c r="G173" s="15">
        <v>1.394747</v>
      </c>
      <c r="H173" s="15">
        <v>0.81395600000000001</v>
      </c>
      <c r="I173" s="15">
        <v>0.94522499999999998</v>
      </c>
      <c r="J173" s="15">
        <v>1.1550879999999999</v>
      </c>
      <c r="K173" s="15">
        <v>1.2976939999999999</v>
      </c>
      <c r="L173" s="15">
        <v>1.429818</v>
      </c>
      <c r="M173" s="15">
        <v>1.9844580000000001</v>
      </c>
      <c r="N173" s="15">
        <v>2.3720840000000001</v>
      </c>
      <c r="O173" s="15">
        <v>4.2449849999999998</v>
      </c>
      <c r="P173" s="15">
        <v>5.843</v>
      </c>
      <c r="Q173" s="15">
        <v>7.718</v>
      </c>
      <c r="R173" s="15" t="s">
        <v>52</v>
      </c>
      <c r="T173" s="5"/>
      <c r="U173" s="15"/>
      <c r="V173" s="15"/>
      <c r="W173" s="15"/>
    </row>
    <row r="174" spans="1:23" x14ac:dyDescent="0.2">
      <c r="A174" s="5" t="s">
        <v>1347</v>
      </c>
      <c r="B174" s="26" t="s">
        <v>52</v>
      </c>
      <c r="C174" s="26" t="s">
        <v>52</v>
      </c>
      <c r="D174" s="26" t="s">
        <v>52</v>
      </c>
      <c r="E174" s="26">
        <v>102</v>
      </c>
      <c r="F174" s="26">
        <v>110</v>
      </c>
      <c r="G174" s="26">
        <v>127</v>
      </c>
      <c r="H174" s="26">
        <v>125</v>
      </c>
      <c r="I174" s="26">
        <v>143</v>
      </c>
      <c r="J174" s="26">
        <v>167</v>
      </c>
      <c r="K174" s="26">
        <v>199</v>
      </c>
      <c r="L174" s="26">
        <v>244</v>
      </c>
      <c r="M174" s="26">
        <v>333</v>
      </c>
      <c r="N174" s="26">
        <v>387</v>
      </c>
      <c r="O174" s="26">
        <v>558</v>
      </c>
      <c r="P174" s="26">
        <v>673</v>
      </c>
      <c r="Q174" s="26">
        <v>794</v>
      </c>
      <c r="R174" s="26" t="s">
        <v>52</v>
      </c>
      <c r="T174" s="5"/>
      <c r="U174" s="15"/>
      <c r="V174" s="15"/>
      <c r="W174" s="15"/>
    </row>
    <row r="175" spans="1:23" x14ac:dyDescent="0.2">
      <c r="A175" s="5" t="s">
        <v>1348</v>
      </c>
      <c r="B175" s="15" t="s">
        <v>52</v>
      </c>
      <c r="C175" s="15" t="s">
        <v>52</v>
      </c>
      <c r="D175" s="15" t="s">
        <v>52</v>
      </c>
      <c r="E175" s="15" t="s">
        <v>52</v>
      </c>
      <c r="F175" s="15" t="s">
        <v>52</v>
      </c>
      <c r="G175" s="15" t="s">
        <v>52</v>
      </c>
      <c r="H175" s="15" t="s">
        <v>52</v>
      </c>
      <c r="I175" s="15" t="s">
        <v>52</v>
      </c>
      <c r="J175" s="15" t="s">
        <v>52</v>
      </c>
      <c r="K175" s="15" t="s">
        <v>52</v>
      </c>
      <c r="L175" s="15" t="s">
        <v>52</v>
      </c>
      <c r="M175" s="15" t="s">
        <v>52</v>
      </c>
      <c r="N175" s="15" t="s">
        <v>52</v>
      </c>
      <c r="O175" s="15">
        <v>1.554041</v>
      </c>
      <c r="P175" s="15">
        <v>1.6739999999999999</v>
      </c>
      <c r="Q175" s="15">
        <v>1.008</v>
      </c>
      <c r="R175" s="15">
        <v>0.85299999999999998</v>
      </c>
      <c r="T175" s="5" t="s">
        <v>1348</v>
      </c>
      <c r="U175" s="15" t="s">
        <v>52</v>
      </c>
      <c r="V175" s="15"/>
      <c r="W175" s="15">
        <v>0.85299999999999998</v>
      </c>
    </row>
    <row r="176" spans="1:23" x14ac:dyDescent="0.2">
      <c r="A176" s="5" t="s">
        <v>1277</v>
      </c>
      <c r="B176" s="22">
        <v>37319</v>
      </c>
      <c r="C176" s="22">
        <v>37683</v>
      </c>
      <c r="D176" s="22">
        <v>37683</v>
      </c>
      <c r="E176" s="22">
        <v>38412</v>
      </c>
      <c r="F176" s="22">
        <v>38875</v>
      </c>
      <c r="G176" s="22">
        <v>39270</v>
      </c>
      <c r="H176" s="22">
        <v>39601</v>
      </c>
      <c r="I176" s="22">
        <v>39961</v>
      </c>
      <c r="J176" s="22">
        <v>40290</v>
      </c>
      <c r="K176" s="22">
        <v>40666</v>
      </c>
      <c r="L176" s="22">
        <v>41031</v>
      </c>
      <c r="M176" s="22">
        <v>41402</v>
      </c>
      <c r="N176" s="22">
        <v>41752</v>
      </c>
      <c r="O176" s="22">
        <v>41969</v>
      </c>
      <c r="P176" s="22">
        <v>42296</v>
      </c>
      <c r="Q176" s="22">
        <v>42296</v>
      </c>
      <c r="R176" s="22">
        <v>42446</v>
      </c>
      <c r="T176" s="5" t="s">
        <v>1277</v>
      </c>
      <c r="U176" s="20" t="s">
        <v>52</v>
      </c>
      <c r="V176" s="20"/>
      <c r="W176" s="22">
        <v>42446</v>
      </c>
    </row>
    <row r="177" spans="1:256" x14ac:dyDescent="0.2">
      <c r="A177" s="5" t="s">
        <v>1278</v>
      </c>
      <c r="B177" s="20" t="s">
        <v>1279</v>
      </c>
      <c r="C177" s="20" t="s">
        <v>1279</v>
      </c>
      <c r="D177" s="20" t="s">
        <v>1280</v>
      </c>
      <c r="E177" s="20" t="s">
        <v>1279</v>
      </c>
      <c r="F177" s="20" t="s">
        <v>1281</v>
      </c>
      <c r="G177" s="20" t="s">
        <v>1279</v>
      </c>
      <c r="H177" s="20" t="s">
        <v>1279</v>
      </c>
      <c r="I177" s="20" t="s">
        <v>1279</v>
      </c>
      <c r="J177" s="20" t="s">
        <v>1279</v>
      </c>
      <c r="K177" s="20" t="s">
        <v>1279</v>
      </c>
      <c r="L177" s="20" t="s">
        <v>1279</v>
      </c>
      <c r="M177" s="20" t="s">
        <v>1279</v>
      </c>
      <c r="N177" s="20" t="s">
        <v>1281</v>
      </c>
      <c r="O177" s="20" t="s">
        <v>1281</v>
      </c>
      <c r="P177" s="20" t="s">
        <v>1281</v>
      </c>
      <c r="Q177" s="20" t="s">
        <v>1280</v>
      </c>
      <c r="R177" s="20" t="s">
        <v>1280</v>
      </c>
      <c r="T177" s="5" t="s">
        <v>1278</v>
      </c>
      <c r="U177" s="20" t="s">
        <v>1487</v>
      </c>
      <c r="V177" s="20"/>
      <c r="W177" s="20" t="s">
        <v>1280</v>
      </c>
    </row>
    <row r="178" spans="1:256" x14ac:dyDescent="0.2">
      <c r="A178" s="5" t="s">
        <v>1282</v>
      </c>
      <c r="B178" s="20" t="s">
        <v>1284</v>
      </c>
      <c r="C178" s="20" t="s">
        <v>1284</v>
      </c>
      <c r="D178" s="20" t="s">
        <v>1284</v>
      </c>
      <c r="E178" s="20" t="s">
        <v>1284</v>
      </c>
      <c r="F178" s="20" t="s">
        <v>1284</v>
      </c>
      <c r="G178" s="20" t="s">
        <v>1284</v>
      </c>
      <c r="H178" s="20" t="s">
        <v>1284</v>
      </c>
      <c r="I178" s="20" t="s">
        <v>1284</v>
      </c>
      <c r="J178" s="20" t="s">
        <v>1284</v>
      </c>
      <c r="K178" s="20" t="s">
        <v>1284</v>
      </c>
      <c r="L178" s="20" t="s">
        <v>1284</v>
      </c>
      <c r="M178" s="20" t="s">
        <v>1284</v>
      </c>
      <c r="N178" s="20" t="s">
        <v>1284</v>
      </c>
      <c r="O178" s="20" t="s">
        <v>1284</v>
      </c>
      <c r="P178" s="20" t="s">
        <v>1284</v>
      </c>
      <c r="Q178" s="20" t="s">
        <v>1284</v>
      </c>
      <c r="R178" s="20" t="s">
        <v>1284</v>
      </c>
      <c r="T178" s="5" t="s">
        <v>1282</v>
      </c>
      <c r="U178" s="20" t="s">
        <v>52</v>
      </c>
      <c r="V178" s="20"/>
      <c r="W178" s="20" t="s">
        <v>1284</v>
      </c>
    </row>
    <row r="179" spans="1:256" x14ac:dyDescent="0.2">
      <c r="A179" s="5"/>
      <c r="B179" s="5"/>
      <c r="C179" s="5"/>
      <c r="D179" s="5"/>
      <c r="E179" s="5"/>
      <c r="F179" s="5"/>
      <c r="G179" s="5"/>
      <c r="H179" s="5"/>
      <c r="I179" s="5"/>
      <c r="J179" s="5"/>
      <c r="K179" s="5"/>
      <c r="L179" s="5"/>
      <c r="M179" s="5"/>
      <c r="N179" s="5"/>
      <c r="O179" s="5"/>
      <c r="P179" s="5"/>
      <c r="Q179" s="5"/>
      <c r="R179" s="5"/>
      <c r="T179" s="5"/>
      <c r="U179" s="5"/>
      <c r="V179" s="5"/>
      <c r="W179" s="5"/>
    </row>
    <row r="180" spans="1:256" x14ac:dyDescent="0.2">
      <c r="A180" s="8" t="s">
        <v>1102</v>
      </c>
      <c r="B180" s="8"/>
      <c r="C180" s="8"/>
      <c r="D180" s="8"/>
      <c r="E180" s="8"/>
      <c r="F180" s="8"/>
      <c r="G180" s="8"/>
      <c r="H180" s="8"/>
      <c r="I180" s="8"/>
      <c r="J180" s="8"/>
      <c r="K180" s="8"/>
      <c r="L180" s="8"/>
      <c r="M180" s="8"/>
      <c r="N180" s="8"/>
      <c r="O180" s="8"/>
      <c r="P180" s="8"/>
      <c r="Q180" s="8"/>
      <c r="R180" s="8"/>
      <c r="S180" s="9"/>
      <c r="T180" s="8" t="s">
        <v>1102</v>
      </c>
      <c r="U180" s="8"/>
      <c r="V180" s="8"/>
      <c r="W180" s="8"/>
    </row>
    <row r="181" spans="1:256" ht="31.5" x14ac:dyDescent="0.25">
      <c r="A181" s="10" t="s">
        <v>1011</v>
      </c>
      <c r="B181" s="11" t="s">
        <v>1016</v>
      </c>
      <c r="C181" s="11" t="s">
        <v>1017</v>
      </c>
      <c r="D181" s="11" t="s">
        <v>1018</v>
      </c>
      <c r="E181" s="11" t="s">
        <v>1019</v>
      </c>
      <c r="F181" s="11" t="s">
        <v>1222</v>
      </c>
      <c r="G181" s="11" t="s">
        <v>1021</v>
      </c>
      <c r="H181" s="11" t="s">
        <v>1223</v>
      </c>
      <c r="I181" s="11" t="s">
        <v>1023</v>
      </c>
      <c r="J181" s="11" t="s">
        <v>1024</v>
      </c>
      <c r="K181" s="11" t="s">
        <v>1025</v>
      </c>
      <c r="L181" s="11" t="s">
        <v>1026</v>
      </c>
      <c r="M181" s="11" t="s">
        <v>1027</v>
      </c>
      <c r="N181" s="11" t="s">
        <v>1224</v>
      </c>
      <c r="O181" s="11" t="s">
        <v>1225</v>
      </c>
      <c r="P181" s="11" t="s">
        <v>1226</v>
      </c>
      <c r="Q181" s="11" t="s">
        <v>1031</v>
      </c>
      <c r="R181" s="11" t="s">
        <v>1484</v>
      </c>
      <c r="T181" s="10" t="s">
        <v>1011</v>
      </c>
      <c r="U181" s="11" t="s">
        <v>1227</v>
      </c>
      <c r="V181" s="11"/>
      <c r="W181" s="11" t="s">
        <v>1229</v>
      </c>
      <c r="Z181" s="9"/>
      <c r="AA181" s="9"/>
      <c r="AB181" s="9"/>
      <c r="AC181" s="9"/>
      <c r="AD181" s="9"/>
      <c r="AE181" s="9"/>
      <c r="AF181" s="9"/>
      <c r="AG181" s="9"/>
      <c r="AH181" s="9"/>
      <c r="AI181" s="9"/>
      <c r="AJ181" s="9"/>
      <c r="AK181" s="9"/>
      <c r="AL181" s="9"/>
      <c r="AM181" s="9"/>
      <c r="AN181" s="9"/>
      <c r="AO181" s="9"/>
      <c r="AP181" s="9"/>
      <c r="AQ181" s="9"/>
      <c r="AR181" s="9"/>
      <c r="AS181" s="9"/>
      <c r="AT181" s="9"/>
      <c r="AU181" s="9"/>
      <c r="AV181" s="9"/>
      <c r="AW181" s="9"/>
      <c r="AX181" s="9"/>
      <c r="AY181" s="9"/>
      <c r="AZ181" s="9"/>
      <c r="BA181" s="9"/>
      <c r="BB181" s="9"/>
      <c r="BC181" s="9"/>
      <c r="BD181" s="9"/>
      <c r="BE181" s="9"/>
      <c r="BF181" s="9"/>
      <c r="BG181" s="9"/>
      <c r="BH181" s="9"/>
      <c r="BI181" s="9"/>
      <c r="BJ181" s="9"/>
      <c r="BK181" s="9"/>
      <c r="BL181" s="9"/>
      <c r="BM181" s="9"/>
      <c r="BN181" s="9"/>
      <c r="BO181" s="9"/>
      <c r="BP181" s="9"/>
      <c r="BQ181" s="9"/>
      <c r="BR181" s="9"/>
      <c r="BS181" s="9"/>
      <c r="BT181" s="9"/>
      <c r="BU181" s="9"/>
      <c r="BV181" s="9"/>
      <c r="BW181" s="9"/>
      <c r="BX181" s="9"/>
      <c r="BY181" s="9"/>
      <c r="BZ181" s="9"/>
      <c r="CA181" s="9"/>
      <c r="CB181" s="9"/>
      <c r="CC181" s="9"/>
      <c r="CD181" s="9"/>
      <c r="CE181" s="9"/>
      <c r="CF181" s="9"/>
      <c r="CG181" s="9"/>
      <c r="CH181" s="9"/>
      <c r="CI181" s="9"/>
      <c r="CJ181" s="9"/>
      <c r="CK181" s="9"/>
      <c r="CL181" s="9"/>
      <c r="CM181" s="9"/>
      <c r="CN181" s="9"/>
      <c r="CO181" s="9"/>
      <c r="CP181" s="9"/>
      <c r="CQ181" s="9"/>
      <c r="CR181" s="9"/>
      <c r="CS181" s="9"/>
      <c r="CT181" s="9"/>
      <c r="CU181" s="9"/>
      <c r="CV181" s="9"/>
      <c r="CW181" s="9"/>
      <c r="CX181" s="9"/>
      <c r="CY181" s="9"/>
      <c r="CZ181" s="9"/>
      <c r="DA181" s="9"/>
      <c r="DB181" s="9"/>
      <c r="DC181" s="9"/>
      <c r="DD181" s="9"/>
      <c r="DE181" s="9"/>
      <c r="DF181" s="9"/>
      <c r="DG181" s="9"/>
      <c r="DH181" s="9"/>
      <c r="DI181" s="9"/>
      <c r="DJ181" s="9"/>
      <c r="DK181" s="9"/>
      <c r="DL181" s="9"/>
      <c r="DM181" s="9"/>
      <c r="DN181" s="9"/>
      <c r="DO181" s="9"/>
      <c r="DP181" s="9"/>
      <c r="DQ181" s="9"/>
      <c r="DR181" s="9"/>
      <c r="DS181" s="9"/>
      <c r="DT181" s="9"/>
      <c r="DU181" s="9"/>
      <c r="DV181" s="9"/>
      <c r="DW181" s="9"/>
      <c r="DX181" s="9"/>
      <c r="DY181" s="9"/>
      <c r="DZ181" s="9"/>
      <c r="EA181" s="9"/>
      <c r="EB181" s="9"/>
      <c r="EC181" s="9"/>
      <c r="ED181" s="9"/>
      <c r="EE181" s="9"/>
      <c r="EF181" s="9"/>
      <c r="EG181" s="9"/>
      <c r="EH181" s="9"/>
      <c r="EI181" s="9"/>
      <c r="EJ181" s="9"/>
      <c r="EK181" s="9"/>
      <c r="EL181" s="9"/>
      <c r="EM181" s="9"/>
      <c r="EN181" s="9"/>
      <c r="EO181" s="9"/>
      <c r="EP181" s="9"/>
      <c r="EQ181" s="9"/>
      <c r="ER181" s="9"/>
      <c r="ES181" s="9"/>
      <c r="ET181" s="9"/>
      <c r="EU181" s="9"/>
      <c r="EV181" s="9"/>
      <c r="EW181" s="9"/>
      <c r="EX181" s="9"/>
      <c r="EY181" s="9"/>
      <c r="EZ181" s="9"/>
      <c r="FA181" s="9"/>
      <c r="FB181" s="9"/>
      <c r="FC181" s="9"/>
      <c r="FD181" s="9"/>
      <c r="FE181" s="9"/>
      <c r="FF181" s="9"/>
      <c r="FG181" s="9"/>
      <c r="FH181" s="9"/>
      <c r="FI181" s="9"/>
      <c r="FJ181" s="9"/>
      <c r="FK181" s="9"/>
      <c r="FL181" s="9"/>
      <c r="FM181" s="9"/>
      <c r="FN181" s="9"/>
      <c r="FO181" s="9"/>
      <c r="FP181" s="9"/>
      <c r="FQ181" s="9"/>
      <c r="FR181" s="9"/>
      <c r="FS181" s="9"/>
      <c r="FT181" s="9"/>
      <c r="FU181" s="9"/>
      <c r="FV181" s="9"/>
      <c r="FW181" s="9"/>
      <c r="FX181" s="9"/>
      <c r="FY181" s="9"/>
      <c r="FZ181" s="9"/>
      <c r="GA181" s="9"/>
      <c r="GB181" s="9"/>
      <c r="GC181" s="9"/>
      <c r="GD181" s="9"/>
      <c r="GE181" s="9"/>
      <c r="GF181" s="9"/>
      <c r="GG181" s="9"/>
      <c r="GH181" s="9"/>
      <c r="GI181" s="9"/>
      <c r="GJ181" s="9"/>
      <c r="GK181" s="9"/>
      <c r="GL181" s="9"/>
      <c r="GM181" s="9"/>
      <c r="GN181" s="9"/>
      <c r="GO181" s="9"/>
      <c r="GP181" s="9"/>
      <c r="GQ181" s="9"/>
      <c r="GR181" s="9"/>
      <c r="GS181" s="9"/>
      <c r="GT181" s="9"/>
      <c r="GU181" s="9"/>
      <c r="GV181" s="9"/>
      <c r="GW181" s="9"/>
      <c r="GX181" s="9"/>
      <c r="GY181" s="9"/>
      <c r="GZ181" s="9"/>
      <c r="HA181" s="9"/>
      <c r="HB181" s="9"/>
      <c r="HC181" s="9"/>
      <c r="HD181" s="9"/>
      <c r="HE181" s="9"/>
      <c r="HF181" s="9"/>
      <c r="HG181" s="9"/>
      <c r="HH181" s="9"/>
      <c r="HI181" s="9"/>
      <c r="HJ181" s="9"/>
      <c r="HK181" s="9"/>
      <c r="HL181" s="9"/>
      <c r="HM181" s="9"/>
      <c r="HN181" s="9"/>
      <c r="HO181" s="9"/>
      <c r="HP181" s="9"/>
      <c r="HQ181" s="9"/>
      <c r="HR181" s="9"/>
      <c r="HS181" s="9"/>
      <c r="HT181" s="9"/>
      <c r="HU181" s="9"/>
      <c r="HV181" s="9"/>
      <c r="HW181" s="9"/>
      <c r="HX181" s="9"/>
      <c r="HY181" s="9"/>
      <c r="HZ181" s="9"/>
      <c r="IA181" s="9"/>
      <c r="IB181" s="9"/>
      <c r="IC181" s="9"/>
      <c r="ID181" s="9"/>
      <c r="IE181" s="9"/>
      <c r="IF181" s="9"/>
      <c r="IG181" s="9"/>
      <c r="IH181" s="9"/>
      <c r="II181" s="9"/>
      <c r="IJ181" s="9"/>
      <c r="IK181" s="9"/>
      <c r="IL181" s="9"/>
      <c r="IM181" s="9"/>
      <c r="IN181" s="9"/>
      <c r="IO181" s="9"/>
      <c r="IP181" s="9"/>
      <c r="IQ181" s="9"/>
      <c r="IR181" s="9"/>
      <c r="IS181" s="9"/>
      <c r="IT181" s="9"/>
      <c r="IU181" s="9"/>
      <c r="IV181" s="9"/>
    </row>
    <row r="182" spans="1:256" x14ac:dyDescent="0.2">
      <c r="A182" s="12" t="s">
        <v>1035</v>
      </c>
      <c r="B182" s="13" t="s">
        <v>88</v>
      </c>
      <c r="C182" s="13" t="s">
        <v>88</v>
      </c>
      <c r="D182" s="13" t="s">
        <v>88</v>
      </c>
      <c r="E182" s="13" t="s">
        <v>88</v>
      </c>
      <c r="F182" s="13" t="s">
        <v>88</v>
      </c>
      <c r="G182" s="13" t="s">
        <v>88</v>
      </c>
      <c r="H182" s="13" t="s">
        <v>88</v>
      </c>
      <c r="I182" s="13" t="s">
        <v>88</v>
      </c>
      <c r="J182" s="13" t="s">
        <v>88</v>
      </c>
      <c r="K182" s="13" t="s">
        <v>88</v>
      </c>
      <c r="L182" s="13" t="s">
        <v>88</v>
      </c>
      <c r="M182" s="13" t="s">
        <v>88</v>
      </c>
      <c r="N182" s="13" t="s">
        <v>88</v>
      </c>
      <c r="O182" s="13" t="s">
        <v>88</v>
      </c>
      <c r="P182" s="13" t="s">
        <v>88</v>
      </c>
      <c r="Q182" s="13" t="s">
        <v>88</v>
      </c>
      <c r="R182" s="13" t="s">
        <v>88</v>
      </c>
      <c r="T182" s="12" t="s">
        <v>1035</v>
      </c>
      <c r="U182" s="13" t="s">
        <v>88</v>
      </c>
      <c r="V182" s="13"/>
      <c r="W182" s="13" t="s">
        <v>88</v>
      </c>
    </row>
    <row r="183" spans="1:256" ht="10.5" x14ac:dyDescent="0.2">
      <c r="A183" s="14" t="s">
        <v>1230</v>
      </c>
      <c r="B183" s="5"/>
      <c r="C183" s="5"/>
      <c r="D183" s="5"/>
      <c r="E183" s="5"/>
      <c r="F183" s="5"/>
      <c r="G183" s="5"/>
      <c r="H183" s="5"/>
      <c r="I183" s="5"/>
      <c r="J183" s="5"/>
      <c r="K183" s="5"/>
      <c r="L183" s="5"/>
      <c r="M183" s="5"/>
      <c r="N183" s="5"/>
      <c r="O183" s="5"/>
      <c r="P183" s="5"/>
      <c r="Q183" s="5"/>
      <c r="R183" s="5"/>
      <c r="T183" s="14" t="s">
        <v>1230</v>
      </c>
      <c r="U183" s="5"/>
      <c r="V183" s="5"/>
      <c r="W183" s="5"/>
      <c r="Y183" s="9"/>
    </row>
    <row r="184" spans="1:256" ht="10.5" x14ac:dyDescent="0.2">
      <c r="A184" s="14" t="s">
        <v>161</v>
      </c>
      <c r="B184" s="17">
        <v>0.19723499999999999</v>
      </c>
      <c r="C184" s="17">
        <v>0.262459</v>
      </c>
      <c r="D184" s="17">
        <v>0.65844400000000003</v>
      </c>
      <c r="E184" s="17">
        <v>1.1775009999999999</v>
      </c>
      <c r="F184" s="17">
        <v>1.679198</v>
      </c>
      <c r="G184" s="17">
        <v>0.81915099999999996</v>
      </c>
      <c r="H184" s="17">
        <v>0.80801699999999999</v>
      </c>
      <c r="I184" s="17">
        <v>2.0670459999999999</v>
      </c>
      <c r="J184" s="17">
        <v>3.9223560000000002</v>
      </c>
      <c r="K184" s="17">
        <v>5.14642</v>
      </c>
      <c r="L184" s="17">
        <v>7.0617850000000004</v>
      </c>
      <c r="M184" s="17">
        <v>11.534307999999999</v>
      </c>
      <c r="N184" s="17">
        <v>17.196116</v>
      </c>
      <c r="O184" s="17">
        <v>20.585726999999999</v>
      </c>
      <c r="P184" s="17">
        <v>27.352</v>
      </c>
      <c r="Q184" s="17">
        <v>31.117000000000001</v>
      </c>
      <c r="R184" s="17">
        <v>29.501999999999999</v>
      </c>
      <c r="T184" s="14" t="s">
        <v>161</v>
      </c>
      <c r="U184" s="17">
        <v>13.548</v>
      </c>
      <c r="V184" s="17">
        <f>Q184-U184</f>
        <v>17.569000000000003</v>
      </c>
      <c r="W184" s="17">
        <v>11.933</v>
      </c>
    </row>
    <row r="185" spans="1:256" x14ac:dyDescent="0.2">
      <c r="A185" s="5" t="s">
        <v>1235</v>
      </c>
      <c r="B185" s="15">
        <v>8.3861000000000005E-2</v>
      </c>
      <c r="C185" s="15">
        <v>0.15209800000000001</v>
      </c>
      <c r="D185" s="15">
        <v>0.217893</v>
      </c>
      <c r="E185" s="15">
        <v>0.14410100000000001</v>
      </c>
      <c r="F185" s="15">
        <v>0.18634500000000001</v>
      </c>
      <c r="G185" s="15">
        <v>0.215922</v>
      </c>
      <c r="H185" s="15">
        <v>0.173344</v>
      </c>
      <c r="I185" s="15">
        <v>9.1423000000000004E-2</v>
      </c>
      <c r="J185" s="15">
        <v>0.10013900000000001</v>
      </c>
      <c r="K185" s="15">
        <v>0.27379599999999998</v>
      </c>
      <c r="L185" s="15">
        <v>0.27246100000000001</v>
      </c>
      <c r="M185" s="15">
        <v>0.23738699999999999</v>
      </c>
      <c r="N185" s="15">
        <v>0.47457500000000002</v>
      </c>
      <c r="O185" s="15">
        <v>1.0683819999999999</v>
      </c>
      <c r="P185" s="15">
        <v>1.5649999999999999</v>
      </c>
      <c r="Q185" s="15">
        <v>1.794</v>
      </c>
      <c r="R185" s="15">
        <v>1.8220000000000001</v>
      </c>
      <c r="T185" s="5" t="s">
        <v>1235</v>
      </c>
      <c r="U185" s="15">
        <v>0.89</v>
      </c>
      <c r="V185" s="15">
        <f t="shared" ref="V185:V187" si="22">Q185-U185</f>
        <v>0.90400000000000003</v>
      </c>
      <c r="W185" s="15">
        <v>0.92</v>
      </c>
    </row>
    <row r="186" spans="1:256" x14ac:dyDescent="0.2">
      <c r="A186" s="5" t="s">
        <v>1236</v>
      </c>
      <c r="B186" s="15">
        <v>0</v>
      </c>
      <c r="C186" s="15">
        <v>0</v>
      </c>
      <c r="D186" s="15">
        <v>5.1584999999999999E-2</v>
      </c>
      <c r="E186" s="15">
        <v>0</v>
      </c>
      <c r="F186" s="15">
        <v>0</v>
      </c>
      <c r="G186" s="15">
        <v>0</v>
      </c>
      <c r="H186" s="15">
        <v>0</v>
      </c>
      <c r="I186" s="15">
        <v>0</v>
      </c>
      <c r="J186" s="15">
        <v>0</v>
      </c>
      <c r="K186" s="15">
        <v>0</v>
      </c>
      <c r="L186" s="15">
        <v>0</v>
      </c>
      <c r="M186" s="15">
        <v>0</v>
      </c>
      <c r="N186" s="15">
        <v>0</v>
      </c>
      <c r="O186" s="15">
        <v>0</v>
      </c>
      <c r="P186" s="15">
        <v>0</v>
      </c>
      <c r="Q186" s="15">
        <v>0</v>
      </c>
      <c r="R186" s="15">
        <v>0</v>
      </c>
      <c r="T186" s="5" t="s">
        <v>1236</v>
      </c>
      <c r="U186" s="15">
        <v>0.16300000000000001</v>
      </c>
      <c r="V186" s="15">
        <f t="shared" si="22"/>
        <v>-0.16300000000000001</v>
      </c>
      <c r="W186" s="15">
        <v>0.161</v>
      </c>
    </row>
    <row r="187" spans="1:256" ht="10.5" x14ac:dyDescent="0.2">
      <c r="A187" s="14" t="s">
        <v>1349</v>
      </c>
      <c r="B187" s="16">
        <v>8.3861000000000005E-2</v>
      </c>
      <c r="C187" s="16">
        <v>0.15209800000000001</v>
      </c>
      <c r="D187" s="16">
        <v>0.269478</v>
      </c>
      <c r="E187" s="16">
        <v>0.14410100000000001</v>
      </c>
      <c r="F187" s="16">
        <v>0.18634500000000001</v>
      </c>
      <c r="G187" s="16">
        <v>0.215922</v>
      </c>
      <c r="H187" s="16">
        <v>0.173344</v>
      </c>
      <c r="I187" s="16">
        <v>9.1423000000000004E-2</v>
      </c>
      <c r="J187" s="16">
        <v>0.10013900000000001</v>
      </c>
      <c r="K187" s="16">
        <v>0.27379599999999998</v>
      </c>
      <c r="L187" s="16">
        <v>0.27246100000000001</v>
      </c>
      <c r="M187" s="16">
        <v>0.23738699999999999</v>
      </c>
      <c r="N187" s="16">
        <v>0.47457500000000002</v>
      </c>
      <c r="O187" s="16">
        <v>1.0683819999999999</v>
      </c>
      <c r="P187" s="16">
        <v>1.5649999999999999</v>
      </c>
      <c r="Q187" s="16">
        <v>1.794</v>
      </c>
      <c r="R187" s="16">
        <v>1.8220000000000001</v>
      </c>
      <c r="T187" s="14" t="s">
        <v>1349</v>
      </c>
      <c r="U187" s="16">
        <v>1.0529999999999999</v>
      </c>
      <c r="V187" s="16">
        <f t="shared" si="22"/>
        <v>0.7410000000000001</v>
      </c>
      <c r="W187" s="16">
        <v>1.081</v>
      </c>
    </row>
    <row r="188" spans="1:256" x14ac:dyDescent="0.2">
      <c r="A188" s="5"/>
      <c r="B188" s="5"/>
      <c r="C188" s="5"/>
      <c r="D188" s="5"/>
      <c r="E188" s="5"/>
      <c r="F188" s="5"/>
      <c r="G188" s="5"/>
      <c r="H188" s="5"/>
      <c r="I188" s="5"/>
      <c r="J188" s="5"/>
      <c r="K188" s="5"/>
      <c r="L188" s="5"/>
      <c r="M188" s="5"/>
      <c r="N188" s="5"/>
      <c r="O188" s="5"/>
      <c r="P188" s="5"/>
      <c r="Q188" s="5"/>
      <c r="R188" s="5"/>
      <c r="T188" s="5"/>
      <c r="U188" s="5"/>
      <c r="V188" s="5"/>
      <c r="W188" s="5"/>
    </row>
    <row r="189" spans="1:256" x14ac:dyDescent="0.2">
      <c r="A189" s="5" t="s">
        <v>1350</v>
      </c>
      <c r="B189" s="15">
        <v>0</v>
      </c>
      <c r="C189" s="15">
        <v>0</v>
      </c>
      <c r="D189" s="15">
        <v>0</v>
      </c>
      <c r="E189" s="15">
        <v>0</v>
      </c>
      <c r="F189" s="15">
        <v>0</v>
      </c>
      <c r="G189" s="15">
        <v>0</v>
      </c>
      <c r="H189" s="15">
        <v>0</v>
      </c>
      <c r="I189" s="15">
        <v>0</v>
      </c>
      <c r="J189" s="15">
        <v>0</v>
      </c>
      <c r="K189" s="15">
        <v>0</v>
      </c>
      <c r="L189" s="15">
        <v>0</v>
      </c>
      <c r="M189" s="15">
        <v>0</v>
      </c>
      <c r="N189" s="15">
        <v>0</v>
      </c>
      <c r="O189" s="15">
        <v>9.8325999999999997E-2</v>
      </c>
      <c r="P189" s="15">
        <v>0.21299999999999999</v>
      </c>
      <c r="Q189" s="15">
        <v>0.35299999999999998</v>
      </c>
      <c r="R189" s="15">
        <v>0.35299999999999998</v>
      </c>
      <c r="T189" s="5"/>
      <c r="U189" s="5"/>
      <c r="V189" s="5"/>
      <c r="W189" s="5"/>
    </row>
    <row r="190" spans="1:256" x14ac:dyDescent="0.2">
      <c r="A190" s="5" t="s">
        <v>1351</v>
      </c>
      <c r="B190" s="15">
        <v>1.436E-3</v>
      </c>
      <c r="C190" s="15">
        <v>0</v>
      </c>
      <c r="D190" s="15">
        <v>0</v>
      </c>
      <c r="E190" s="15">
        <v>5.483E-3</v>
      </c>
      <c r="F190" s="15">
        <v>3.7680000000000001E-3</v>
      </c>
      <c r="G190" s="15">
        <v>0</v>
      </c>
      <c r="H190" s="15">
        <v>0</v>
      </c>
      <c r="I190" s="15">
        <v>0</v>
      </c>
      <c r="J190" s="15">
        <v>9.0790000000000003E-3</v>
      </c>
      <c r="K190" s="15">
        <v>0</v>
      </c>
      <c r="L190" s="15">
        <v>0</v>
      </c>
      <c r="M190" s="15">
        <v>0</v>
      </c>
      <c r="N190" s="15">
        <v>2.8476999999999999E-2</v>
      </c>
      <c r="O190" s="15">
        <v>0</v>
      </c>
      <c r="P190" s="15">
        <v>0</v>
      </c>
      <c r="Q190" s="15">
        <v>2.8000000000000001E-2</v>
      </c>
      <c r="R190" s="15">
        <v>2.1999999999999999E-2</v>
      </c>
      <c r="T190" s="5" t="s">
        <v>1351</v>
      </c>
      <c r="U190" s="15">
        <v>0</v>
      </c>
      <c r="V190" s="15">
        <f t="shared" ref="V190:V197" si="23">Q190-U190</f>
        <v>2.8000000000000001E-2</v>
      </c>
      <c r="W190" s="15">
        <v>0</v>
      </c>
    </row>
    <row r="191" spans="1:256" x14ac:dyDescent="0.2">
      <c r="A191" s="5" t="s">
        <v>1353</v>
      </c>
      <c r="B191" s="15">
        <v>0</v>
      </c>
      <c r="C191" s="15">
        <v>0</v>
      </c>
      <c r="D191" s="15">
        <v>0</v>
      </c>
      <c r="E191" s="15">
        <v>0</v>
      </c>
      <c r="F191" s="15">
        <v>0</v>
      </c>
      <c r="G191" s="15">
        <v>0</v>
      </c>
      <c r="H191" s="15">
        <v>0.34357500000000002</v>
      </c>
      <c r="I191" s="15">
        <v>0.32500000000000001</v>
      </c>
      <c r="J191" s="15">
        <v>6.7757999999999999E-2</v>
      </c>
      <c r="K191" s="15">
        <v>0</v>
      </c>
      <c r="L191" s="15">
        <v>0</v>
      </c>
      <c r="M191" s="15">
        <v>0.15603700000000001</v>
      </c>
      <c r="N191" s="15">
        <v>0.915798</v>
      </c>
      <c r="O191" s="15">
        <v>0.73489099999999996</v>
      </c>
      <c r="P191" s="15">
        <v>0</v>
      </c>
      <c r="Q191" s="15">
        <v>5.0000000000000001E-3</v>
      </c>
      <c r="R191" s="15">
        <v>0.193</v>
      </c>
      <c r="T191" s="5" t="s">
        <v>1353</v>
      </c>
      <c r="U191" s="15">
        <v>1E-3</v>
      </c>
      <c r="V191" s="15">
        <f t="shared" si="23"/>
        <v>4.0000000000000001E-3</v>
      </c>
      <c r="W191" s="15">
        <v>0.189</v>
      </c>
    </row>
    <row r="192" spans="1:256" x14ac:dyDescent="0.2">
      <c r="A192" s="5" t="s">
        <v>1354</v>
      </c>
      <c r="B192" s="15">
        <v>0.33627600000000002</v>
      </c>
      <c r="C192" s="15">
        <v>0.57836799999999999</v>
      </c>
      <c r="D192" s="15">
        <v>0.52527599999999997</v>
      </c>
      <c r="E192" s="15">
        <v>0.47937000000000002</v>
      </c>
      <c r="F192" s="15">
        <v>0.314419</v>
      </c>
      <c r="G192" s="15">
        <v>0.32797799999999999</v>
      </c>
      <c r="H192" s="15">
        <v>0.50448400000000004</v>
      </c>
      <c r="I192" s="15">
        <v>1.2665919999999999</v>
      </c>
      <c r="J192" s="15">
        <v>1.815083</v>
      </c>
      <c r="K192" s="15">
        <v>2.253587</v>
      </c>
      <c r="L192" s="15">
        <v>2.9709699999999999</v>
      </c>
      <c r="M192" s="15">
        <v>4.7553840000000003</v>
      </c>
      <c r="N192" s="15">
        <v>5.0939909999999999</v>
      </c>
      <c r="O192" s="15">
        <v>1.225395</v>
      </c>
      <c r="P192" s="15">
        <v>-2.2000000000000002</v>
      </c>
      <c r="Q192" s="15">
        <v>1.1459999999999999</v>
      </c>
      <c r="R192" s="15">
        <v>0.56399999999999995</v>
      </c>
      <c r="T192" s="5" t="s">
        <v>1354</v>
      </c>
      <c r="U192" s="15">
        <v>-0.3</v>
      </c>
      <c r="V192" s="15">
        <f t="shared" si="23"/>
        <v>1.446</v>
      </c>
      <c r="W192" s="15">
        <v>-0.9</v>
      </c>
    </row>
    <row r="193" spans="1:23" x14ac:dyDescent="0.2">
      <c r="A193" s="5" t="s">
        <v>1355</v>
      </c>
      <c r="B193" s="15">
        <v>-1.3</v>
      </c>
      <c r="C193" s="15">
        <v>-1.3</v>
      </c>
      <c r="D193" s="15">
        <v>-9.9</v>
      </c>
      <c r="E193" s="15">
        <v>6.5610359999999996</v>
      </c>
      <c r="F193" s="15">
        <v>-3.5</v>
      </c>
      <c r="G193" s="15">
        <v>-2.2999999999999998</v>
      </c>
      <c r="H193" s="15">
        <v>-2.2000000000000002</v>
      </c>
      <c r="I193" s="15">
        <v>-3.6</v>
      </c>
      <c r="J193" s="15">
        <v>-1.1000000000000001</v>
      </c>
      <c r="K193" s="15">
        <v>-1</v>
      </c>
      <c r="L193" s="15">
        <v>-9.3000000000000007</v>
      </c>
      <c r="M193" s="15">
        <v>-18.899999999999999</v>
      </c>
      <c r="N193" s="15">
        <v>-22.1</v>
      </c>
      <c r="O193" s="15">
        <v>-13.5</v>
      </c>
      <c r="P193" s="15">
        <v>-12.4</v>
      </c>
      <c r="Q193" s="15">
        <v>-22.4</v>
      </c>
      <c r="R193" s="15">
        <v>-3.7</v>
      </c>
      <c r="T193" s="5" t="s">
        <v>1355</v>
      </c>
      <c r="U193" s="15">
        <v>-12.1</v>
      </c>
      <c r="V193" s="15">
        <f t="shared" si="23"/>
        <v>-10.299999999999999</v>
      </c>
      <c r="W193" s="15">
        <v>6.7060000000000004</v>
      </c>
    </row>
    <row r="194" spans="1:23" x14ac:dyDescent="0.2">
      <c r="A194" s="5" t="s">
        <v>1356</v>
      </c>
      <c r="B194" s="15">
        <v>-0.1</v>
      </c>
      <c r="C194" s="15">
        <v>-0.2</v>
      </c>
      <c r="D194" s="15">
        <v>-1.1000000000000001</v>
      </c>
      <c r="E194" s="15">
        <v>0.99104700000000001</v>
      </c>
      <c r="F194" s="15">
        <v>4.3552E-2</v>
      </c>
      <c r="G194" s="15">
        <v>0</v>
      </c>
      <c r="H194" s="15">
        <v>7.9530000000000003E-2</v>
      </c>
      <c r="I194" s="15">
        <v>-0.2</v>
      </c>
      <c r="J194" s="15">
        <v>8.1599999999999999E-4</v>
      </c>
      <c r="K194" s="15">
        <v>0.13867299999999999</v>
      </c>
      <c r="L194" s="15">
        <v>-0.6</v>
      </c>
      <c r="M194" s="15">
        <v>-0.2</v>
      </c>
      <c r="N194" s="15">
        <v>-0.9</v>
      </c>
      <c r="O194" s="15">
        <v>-2.2999999999999998</v>
      </c>
      <c r="P194" s="15">
        <v>-0.2</v>
      </c>
      <c r="Q194" s="15">
        <v>1.83</v>
      </c>
      <c r="R194" s="15">
        <v>-1.7</v>
      </c>
      <c r="T194" s="5" t="s">
        <v>1356</v>
      </c>
      <c r="U194" s="15">
        <v>2.2440000000000002</v>
      </c>
      <c r="V194" s="15">
        <f t="shared" si="23"/>
        <v>-0.41400000000000015</v>
      </c>
      <c r="W194" s="15">
        <v>-1.3</v>
      </c>
    </row>
    <row r="195" spans="1:23" x14ac:dyDescent="0.2">
      <c r="A195" s="5" t="s">
        <v>1357</v>
      </c>
      <c r="B195" s="15">
        <v>0</v>
      </c>
      <c r="C195" s="15">
        <v>1.083418</v>
      </c>
      <c r="D195" s="15">
        <v>8.8393650000000008</v>
      </c>
      <c r="E195" s="15">
        <v>-4</v>
      </c>
      <c r="F195" s="15">
        <v>1.18896</v>
      </c>
      <c r="G195" s="15">
        <v>-1.9</v>
      </c>
      <c r="H195" s="15">
        <v>0.67960900000000002</v>
      </c>
      <c r="I195" s="15">
        <v>3.8643239999999999</v>
      </c>
      <c r="J195" s="15">
        <v>1.7447680000000001</v>
      </c>
      <c r="K195" s="15">
        <v>0.80915000000000004</v>
      </c>
      <c r="L195" s="15">
        <v>8.59131</v>
      </c>
      <c r="M195" s="15">
        <v>3.8963860000000001</v>
      </c>
      <c r="N195" s="15">
        <v>13.493892000000001</v>
      </c>
      <c r="O195" s="15">
        <v>9.6823390000000007</v>
      </c>
      <c r="P195" s="15">
        <v>21.352</v>
      </c>
      <c r="Q195" s="15">
        <v>33.563000000000002</v>
      </c>
      <c r="R195" s="15">
        <v>29.248999999999999</v>
      </c>
      <c r="T195" s="5" t="s">
        <v>1357</v>
      </c>
      <c r="U195" s="15">
        <v>5.0389999999999997</v>
      </c>
      <c r="V195" s="15">
        <f t="shared" si="23"/>
        <v>28.524000000000001</v>
      </c>
      <c r="W195" s="15">
        <v>0.72499999999999998</v>
      </c>
    </row>
    <row r="196" spans="1:23" x14ac:dyDescent="0.2">
      <c r="A196" s="5" t="s">
        <v>1358</v>
      </c>
      <c r="B196" s="15">
        <v>0</v>
      </c>
      <c r="C196" s="15">
        <v>0</v>
      </c>
      <c r="D196" s="15">
        <v>0</v>
      </c>
      <c r="E196" s="15">
        <v>0</v>
      </c>
      <c r="F196" s="15">
        <v>0</v>
      </c>
      <c r="G196" s="15">
        <v>0</v>
      </c>
      <c r="H196" s="15">
        <v>0</v>
      </c>
      <c r="I196" s="15">
        <v>0</v>
      </c>
      <c r="J196" s="15">
        <v>0</v>
      </c>
      <c r="K196" s="15">
        <v>0</v>
      </c>
      <c r="L196" s="15">
        <v>0</v>
      </c>
      <c r="M196" s="15">
        <v>0</v>
      </c>
      <c r="N196" s="15">
        <v>0.41649999999999998</v>
      </c>
      <c r="O196" s="15">
        <v>0</v>
      </c>
      <c r="P196" s="15">
        <v>0</v>
      </c>
      <c r="Q196" s="15">
        <v>0</v>
      </c>
      <c r="R196" s="15">
        <v>0</v>
      </c>
      <c r="T196" s="5" t="s">
        <v>1358</v>
      </c>
      <c r="U196" s="15">
        <v>0</v>
      </c>
      <c r="V196" s="15">
        <f t="shared" si="23"/>
        <v>0</v>
      </c>
      <c r="W196" s="15">
        <v>0</v>
      </c>
    </row>
    <row r="197" spans="1:23" ht="10.5" x14ac:dyDescent="0.2">
      <c r="A197" s="14" t="s">
        <v>1213</v>
      </c>
      <c r="B197" s="16">
        <v>-0.8</v>
      </c>
      <c r="C197" s="16">
        <v>0.66260600000000003</v>
      </c>
      <c r="D197" s="16">
        <v>-0.7</v>
      </c>
      <c r="E197" s="16">
        <v>5.3384619999999998</v>
      </c>
      <c r="F197" s="16">
        <v>-0.1</v>
      </c>
      <c r="G197" s="16">
        <v>-2.9</v>
      </c>
      <c r="H197" s="16">
        <v>0.41661599999999999</v>
      </c>
      <c r="I197" s="16">
        <v>3.800249</v>
      </c>
      <c r="J197" s="16">
        <v>6.5251669999999997</v>
      </c>
      <c r="K197" s="16">
        <v>7.5729470000000001</v>
      </c>
      <c r="L197" s="16">
        <v>8.9406809999999997</v>
      </c>
      <c r="M197" s="16">
        <v>1.458502</v>
      </c>
      <c r="N197" s="16">
        <v>14.596748</v>
      </c>
      <c r="O197" s="16">
        <v>17.656744</v>
      </c>
      <c r="P197" s="16">
        <v>35.673000000000002</v>
      </c>
      <c r="Q197" s="16">
        <v>47.411000000000001</v>
      </c>
      <c r="R197" s="16">
        <v>56.353000000000002</v>
      </c>
      <c r="T197" s="14" t="s">
        <v>1213</v>
      </c>
      <c r="U197" s="16">
        <v>9.5549999999999997</v>
      </c>
      <c r="V197" s="16">
        <f t="shared" si="23"/>
        <v>37.856000000000002</v>
      </c>
      <c r="W197" s="16">
        <v>18.497</v>
      </c>
    </row>
    <row r="198" spans="1:23" x14ac:dyDescent="0.2">
      <c r="A198" s="5"/>
      <c r="B198" s="5"/>
      <c r="C198" s="5"/>
      <c r="D198" s="5"/>
      <c r="E198" s="5"/>
      <c r="F198" s="5"/>
      <c r="G198" s="5"/>
      <c r="H198" s="5"/>
      <c r="I198" s="5"/>
      <c r="J198" s="5"/>
      <c r="K198" s="5"/>
      <c r="L198" s="5"/>
      <c r="M198" s="5"/>
      <c r="N198" s="5"/>
      <c r="O198" s="5"/>
      <c r="P198" s="5"/>
      <c r="Q198" s="5"/>
      <c r="R198" s="5"/>
      <c r="T198" s="5"/>
      <c r="U198" s="5"/>
      <c r="V198" s="5"/>
      <c r="W198" s="5"/>
    </row>
    <row r="199" spans="1:23" x14ac:dyDescent="0.2">
      <c r="A199" s="5" t="s">
        <v>1359</v>
      </c>
      <c r="B199" s="15">
        <v>-0.3</v>
      </c>
      <c r="C199" s="15">
        <v>-0.2</v>
      </c>
      <c r="D199" s="15">
        <v>-0.1</v>
      </c>
      <c r="E199" s="15">
        <v>-0.1</v>
      </c>
      <c r="F199" s="15">
        <v>-0.5</v>
      </c>
      <c r="G199" s="15">
        <v>-0.3</v>
      </c>
      <c r="H199" s="15">
        <v>-0.1</v>
      </c>
      <c r="I199" s="15">
        <v>-0.1</v>
      </c>
      <c r="J199" s="15">
        <v>-0.2</v>
      </c>
      <c r="K199" s="15">
        <v>-0.2</v>
      </c>
      <c r="L199" s="15">
        <v>-0.2</v>
      </c>
      <c r="M199" s="15">
        <v>-0.6</v>
      </c>
      <c r="N199" s="15">
        <v>-4.5</v>
      </c>
      <c r="O199" s="15">
        <v>-2.7</v>
      </c>
      <c r="P199" s="15">
        <v>-1.8</v>
      </c>
      <c r="Q199" s="15">
        <v>-2.2000000000000002</v>
      </c>
      <c r="R199" s="15">
        <v>-1.7</v>
      </c>
      <c r="T199" s="5" t="s">
        <v>1359</v>
      </c>
      <c r="U199" s="15">
        <v>-1.3</v>
      </c>
      <c r="V199" s="15">
        <f t="shared" ref="V199:V207" si="24">Q199-U199</f>
        <v>-0.90000000000000013</v>
      </c>
      <c r="W199" s="15">
        <v>-0.7</v>
      </c>
    </row>
    <row r="200" spans="1:23" x14ac:dyDescent="0.2">
      <c r="A200" s="5" t="s">
        <v>1360</v>
      </c>
      <c r="B200" s="15">
        <v>6.8999999999999999E-3</v>
      </c>
      <c r="C200" s="15">
        <v>0</v>
      </c>
      <c r="D200" s="15">
        <v>0</v>
      </c>
      <c r="E200" s="15">
        <v>5.0000000000000001E-3</v>
      </c>
      <c r="F200" s="15">
        <v>0</v>
      </c>
      <c r="G200" s="15">
        <v>0.1298</v>
      </c>
      <c r="H200" s="15">
        <v>0.153313</v>
      </c>
      <c r="I200" s="15">
        <v>0</v>
      </c>
      <c r="J200" s="15">
        <v>0</v>
      </c>
      <c r="K200" s="15">
        <v>1.38E-2</v>
      </c>
      <c r="L200" s="15">
        <v>8.0447000000000005E-2</v>
      </c>
      <c r="M200" s="15">
        <v>7.4799999999999997E-3</v>
      </c>
      <c r="N200" s="15">
        <v>6.4999999999999997E-3</v>
      </c>
      <c r="O200" s="15">
        <v>0</v>
      </c>
      <c r="P200" s="15">
        <v>0</v>
      </c>
      <c r="Q200" s="15">
        <v>4.0000000000000001E-3</v>
      </c>
      <c r="R200" s="15">
        <v>0.01</v>
      </c>
      <c r="T200" s="5" t="s">
        <v>1360</v>
      </c>
      <c r="U200" s="15">
        <v>0</v>
      </c>
      <c r="V200" s="15">
        <f t="shared" si="24"/>
        <v>4.0000000000000001E-3</v>
      </c>
      <c r="W200" s="15">
        <v>6.0000000000000001E-3</v>
      </c>
    </row>
    <row r="201" spans="1:23" x14ac:dyDescent="0.2">
      <c r="A201" s="5" t="s">
        <v>171</v>
      </c>
      <c r="B201" s="15">
        <v>0</v>
      </c>
      <c r="C201" s="15">
        <v>0</v>
      </c>
      <c r="D201" s="15">
        <v>-0.1</v>
      </c>
      <c r="E201" s="15">
        <v>0</v>
      </c>
      <c r="F201" s="15">
        <v>0</v>
      </c>
      <c r="G201" s="15">
        <v>0</v>
      </c>
      <c r="H201" s="15">
        <v>0</v>
      </c>
      <c r="I201" s="15">
        <v>0</v>
      </c>
      <c r="J201" s="15">
        <v>0</v>
      </c>
      <c r="K201" s="15">
        <v>0</v>
      </c>
      <c r="L201" s="15">
        <v>0</v>
      </c>
      <c r="M201" s="15">
        <v>0</v>
      </c>
      <c r="N201" s="15">
        <v>0</v>
      </c>
      <c r="O201" s="15">
        <v>0</v>
      </c>
      <c r="P201" s="15">
        <v>0</v>
      </c>
      <c r="Q201" s="15">
        <v>0</v>
      </c>
      <c r="R201" s="15">
        <v>0</v>
      </c>
      <c r="T201" s="5" t="s">
        <v>171</v>
      </c>
      <c r="U201" s="15">
        <v>0</v>
      </c>
      <c r="V201" s="15">
        <f t="shared" si="24"/>
        <v>0</v>
      </c>
      <c r="W201" s="15">
        <v>0</v>
      </c>
    </row>
    <row r="202" spans="1:23" x14ac:dyDescent="0.2">
      <c r="A202" s="5" t="s">
        <v>1361</v>
      </c>
      <c r="B202" s="15">
        <v>0</v>
      </c>
      <c r="C202" s="15">
        <v>0</v>
      </c>
      <c r="D202" s="15">
        <v>1.001E-2</v>
      </c>
      <c r="E202" s="15">
        <v>0</v>
      </c>
      <c r="F202" s="15">
        <v>0</v>
      </c>
      <c r="G202" s="15">
        <v>0</v>
      </c>
      <c r="H202" s="15">
        <v>0</v>
      </c>
      <c r="I202" s="15">
        <v>0</v>
      </c>
      <c r="J202" s="15">
        <v>0</v>
      </c>
      <c r="K202" s="15">
        <v>0</v>
      </c>
      <c r="L202" s="15">
        <v>0</v>
      </c>
      <c r="M202" s="15">
        <v>0</v>
      </c>
      <c r="N202" s="15">
        <v>0</v>
      </c>
      <c r="O202" s="15">
        <v>0</v>
      </c>
      <c r="P202" s="15">
        <v>0</v>
      </c>
      <c r="Q202" s="15">
        <v>0</v>
      </c>
      <c r="R202" s="15">
        <v>0</v>
      </c>
      <c r="T202" s="5" t="s">
        <v>1361</v>
      </c>
      <c r="U202" s="15">
        <v>0</v>
      </c>
      <c r="V202" s="15">
        <f t="shared" si="24"/>
        <v>0</v>
      </c>
      <c r="W202" s="15">
        <v>0</v>
      </c>
    </row>
    <row r="203" spans="1:23" x14ac:dyDescent="0.2">
      <c r="A203" s="5" t="s">
        <v>1362</v>
      </c>
      <c r="B203" s="15">
        <v>0</v>
      </c>
      <c r="C203" s="15">
        <v>0</v>
      </c>
      <c r="D203" s="15">
        <v>0</v>
      </c>
      <c r="E203" s="15">
        <v>0</v>
      </c>
      <c r="F203" s="15">
        <v>0</v>
      </c>
      <c r="G203" s="15">
        <v>0</v>
      </c>
      <c r="H203" s="15">
        <v>0</v>
      </c>
      <c r="I203" s="15">
        <v>0</v>
      </c>
      <c r="J203" s="15">
        <v>0</v>
      </c>
      <c r="K203" s="15">
        <v>0</v>
      </c>
      <c r="L203" s="15">
        <v>0</v>
      </c>
      <c r="M203" s="15">
        <v>0</v>
      </c>
      <c r="N203" s="15">
        <v>0</v>
      </c>
      <c r="O203" s="15">
        <v>-0.4</v>
      </c>
      <c r="P203" s="15">
        <v>-0.3</v>
      </c>
      <c r="Q203" s="15">
        <v>-0.3</v>
      </c>
      <c r="R203" s="15">
        <v>-0.5</v>
      </c>
      <c r="T203" s="5" t="s">
        <v>1362</v>
      </c>
      <c r="U203" s="15">
        <v>-0.1</v>
      </c>
      <c r="V203" s="15">
        <f t="shared" si="24"/>
        <v>-0.19999999999999998</v>
      </c>
      <c r="W203" s="15">
        <v>-0.3</v>
      </c>
    </row>
    <row r="204" spans="1:23" x14ac:dyDescent="0.2">
      <c r="A204" s="5" t="s">
        <v>1363</v>
      </c>
      <c r="B204" s="15">
        <v>0</v>
      </c>
      <c r="C204" s="15">
        <v>0</v>
      </c>
      <c r="D204" s="15">
        <v>0</v>
      </c>
      <c r="E204" s="15">
        <v>0</v>
      </c>
      <c r="F204" s="15">
        <v>0</v>
      </c>
      <c r="G204" s="15">
        <v>0</v>
      </c>
      <c r="H204" s="15">
        <v>0</v>
      </c>
      <c r="I204" s="15">
        <v>0</v>
      </c>
      <c r="J204" s="15">
        <v>0</v>
      </c>
      <c r="K204" s="15">
        <v>0</v>
      </c>
      <c r="L204" s="15">
        <v>0</v>
      </c>
      <c r="M204" s="15">
        <v>0</v>
      </c>
      <c r="N204" s="15">
        <v>0</v>
      </c>
      <c r="O204" s="15">
        <v>0</v>
      </c>
      <c r="P204" s="15">
        <v>0</v>
      </c>
      <c r="Q204" s="15">
        <v>0</v>
      </c>
      <c r="R204" s="15">
        <v>0</v>
      </c>
      <c r="T204" s="5" t="s">
        <v>1363</v>
      </c>
      <c r="U204" s="15">
        <v>0</v>
      </c>
      <c r="V204" s="15">
        <f t="shared" si="24"/>
        <v>0</v>
      </c>
      <c r="W204" s="15">
        <v>0</v>
      </c>
    </row>
    <row r="205" spans="1:23" x14ac:dyDescent="0.2">
      <c r="A205" s="5" t="s">
        <v>1364</v>
      </c>
      <c r="B205" s="15">
        <v>0</v>
      </c>
      <c r="C205" s="15">
        <v>0</v>
      </c>
      <c r="D205" s="15">
        <v>0</v>
      </c>
      <c r="E205" s="15">
        <v>0</v>
      </c>
      <c r="F205" s="15">
        <v>0</v>
      </c>
      <c r="G205" s="15">
        <v>0</v>
      </c>
      <c r="H205" s="15">
        <v>0</v>
      </c>
      <c r="I205" s="15">
        <v>0</v>
      </c>
      <c r="J205" s="15">
        <v>0</v>
      </c>
      <c r="K205" s="15">
        <v>0</v>
      </c>
      <c r="L205" s="15">
        <v>0</v>
      </c>
      <c r="M205" s="15">
        <v>0</v>
      </c>
      <c r="N205" s="15">
        <v>0</v>
      </c>
      <c r="O205" s="15">
        <v>0</v>
      </c>
      <c r="P205" s="15">
        <v>0</v>
      </c>
      <c r="Q205" s="15">
        <v>0</v>
      </c>
      <c r="R205" s="15">
        <v>0</v>
      </c>
      <c r="T205" s="5" t="s">
        <v>1364</v>
      </c>
      <c r="U205" s="15">
        <v>0</v>
      </c>
      <c r="V205" s="15">
        <f t="shared" si="24"/>
        <v>0</v>
      </c>
      <c r="W205" s="15">
        <v>0</v>
      </c>
    </row>
    <row r="206" spans="1:23" x14ac:dyDescent="0.2">
      <c r="A206" s="5" t="s">
        <v>1365</v>
      </c>
      <c r="B206" s="15">
        <v>-0.1</v>
      </c>
      <c r="C206" s="15">
        <v>-0.4</v>
      </c>
      <c r="D206" s="15">
        <v>-0.3</v>
      </c>
      <c r="E206" s="15">
        <v>-0.4</v>
      </c>
      <c r="F206" s="15">
        <v>1.0319750000000001</v>
      </c>
      <c r="G206" s="15">
        <v>-0.6</v>
      </c>
      <c r="H206" s="15">
        <v>-0.3</v>
      </c>
      <c r="I206" s="15">
        <v>-1.2</v>
      </c>
      <c r="J206" s="15">
        <v>-1.7</v>
      </c>
      <c r="K206" s="15">
        <v>-2.2999999999999998</v>
      </c>
      <c r="L206" s="15">
        <v>-2.2999999999999998</v>
      </c>
      <c r="M206" s="15">
        <v>-3.4</v>
      </c>
      <c r="N206" s="15">
        <v>-4.3</v>
      </c>
      <c r="O206" s="15">
        <v>8.1443000000000002E-2</v>
      </c>
      <c r="P206" s="15">
        <v>0.10199999999999999</v>
      </c>
      <c r="Q206" s="15">
        <v>0.19500000000000001</v>
      </c>
      <c r="R206" s="15">
        <v>0.22</v>
      </c>
      <c r="T206" s="5" t="s">
        <v>1365</v>
      </c>
      <c r="U206" s="15">
        <v>8.1000000000000003E-2</v>
      </c>
      <c r="V206" s="15">
        <f t="shared" si="24"/>
        <v>0.114</v>
      </c>
      <c r="W206" s="15">
        <v>0.106</v>
      </c>
    </row>
    <row r="207" spans="1:23" ht="10.5" x14ac:dyDescent="0.2">
      <c r="A207" s="14" t="s">
        <v>1366</v>
      </c>
      <c r="B207" s="16">
        <v>-0.4</v>
      </c>
      <c r="C207" s="16">
        <v>-0.6</v>
      </c>
      <c r="D207" s="16">
        <v>-0.4</v>
      </c>
      <c r="E207" s="16">
        <v>-0.6</v>
      </c>
      <c r="F207" s="16">
        <v>0.52584900000000001</v>
      </c>
      <c r="G207" s="16">
        <v>-0.7</v>
      </c>
      <c r="H207" s="16">
        <v>-0.3</v>
      </c>
      <c r="I207" s="16">
        <v>-1.3</v>
      </c>
      <c r="J207" s="16">
        <v>-1.9</v>
      </c>
      <c r="K207" s="16">
        <v>-2.4</v>
      </c>
      <c r="L207" s="16">
        <v>-2.4</v>
      </c>
      <c r="M207" s="16">
        <v>-4</v>
      </c>
      <c r="N207" s="16">
        <v>-8.6999999999999993</v>
      </c>
      <c r="O207" s="16">
        <v>-3</v>
      </c>
      <c r="P207" s="16">
        <v>-2.1</v>
      </c>
      <c r="Q207" s="16">
        <v>-2.2999999999999998</v>
      </c>
      <c r="R207" s="16">
        <v>-1.9</v>
      </c>
      <c r="T207" s="14" t="s">
        <v>1366</v>
      </c>
      <c r="U207" s="16">
        <v>-1.3</v>
      </c>
      <c r="V207" s="16">
        <f t="shared" si="24"/>
        <v>-0.99999999999999978</v>
      </c>
      <c r="W207" s="16">
        <v>-0.9</v>
      </c>
    </row>
    <row r="208" spans="1:23" x14ac:dyDescent="0.2">
      <c r="A208" s="5"/>
      <c r="B208" s="5"/>
      <c r="C208" s="5"/>
      <c r="D208" s="5"/>
      <c r="E208" s="5"/>
      <c r="F208" s="5"/>
      <c r="G208" s="5"/>
      <c r="H208" s="5"/>
      <c r="I208" s="5"/>
      <c r="J208" s="5"/>
      <c r="K208" s="5"/>
      <c r="L208" s="5"/>
      <c r="M208" s="5"/>
      <c r="N208" s="5"/>
      <c r="O208" s="5"/>
      <c r="P208" s="5"/>
      <c r="Q208" s="5"/>
      <c r="R208" s="5"/>
      <c r="T208" s="5"/>
      <c r="U208" s="5"/>
      <c r="V208" s="5"/>
      <c r="W208" s="5"/>
    </row>
    <row r="209" spans="1:23" x14ac:dyDescent="0.2">
      <c r="A209" s="5" t="s">
        <v>1367</v>
      </c>
      <c r="B209" s="15">
        <v>0</v>
      </c>
      <c r="C209" s="15">
        <v>0</v>
      </c>
      <c r="D209" s="15">
        <v>0</v>
      </c>
      <c r="E209" s="15">
        <v>0</v>
      </c>
      <c r="F209" s="15">
        <v>0</v>
      </c>
      <c r="G209" s="15">
        <v>0</v>
      </c>
      <c r="H209" s="15">
        <v>0</v>
      </c>
      <c r="I209" s="15">
        <v>0</v>
      </c>
      <c r="J209" s="15">
        <v>0</v>
      </c>
      <c r="K209" s="15">
        <v>0</v>
      </c>
      <c r="L209" s="15">
        <v>0</v>
      </c>
      <c r="M209" s="15">
        <v>0</v>
      </c>
      <c r="N209" s="15">
        <v>0</v>
      </c>
      <c r="O209" s="15">
        <v>0</v>
      </c>
      <c r="P209" s="15">
        <v>0</v>
      </c>
      <c r="Q209" s="15">
        <v>0</v>
      </c>
      <c r="R209" s="15">
        <v>0</v>
      </c>
      <c r="T209" s="5" t="s">
        <v>1367</v>
      </c>
      <c r="U209" s="15">
        <v>0</v>
      </c>
      <c r="V209" s="15">
        <f t="shared" ref="V209:V214" si="25">Q209-U209</f>
        <v>0</v>
      </c>
      <c r="W209" s="15">
        <v>0</v>
      </c>
    </row>
    <row r="210" spans="1:23" x14ac:dyDescent="0.2">
      <c r="A210" s="5" t="s">
        <v>1368</v>
      </c>
      <c r="B210" s="15">
        <v>0</v>
      </c>
      <c r="C210" s="15">
        <v>0</v>
      </c>
      <c r="D210" s="15">
        <v>0</v>
      </c>
      <c r="E210" s="15">
        <v>0</v>
      </c>
      <c r="F210" s="15">
        <v>0</v>
      </c>
      <c r="G210" s="15">
        <v>0</v>
      </c>
      <c r="H210" s="15">
        <v>0</v>
      </c>
      <c r="I210" s="15">
        <v>0</v>
      </c>
      <c r="J210" s="15">
        <v>0</v>
      </c>
      <c r="K210" s="15">
        <v>0</v>
      </c>
      <c r="L210" s="15">
        <v>0</v>
      </c>
      <c r="M210" s="15">
        <v>0</v>
      </c>
      <c r="N210" s="15">
        <v>0</v>
      </c>
      <c r="O210" s="15">
        <v>0</v>
      </c>
      <c r="P210" s="15">
        <v>0</v>
      </c>
      <c r="Q210" s="15">
        <v>0</v>
      </c>
      <c r="R210" s="15">
        <v>0</v>
      </c>
      <c r="T210" s="5" t="s">
        <v>1368</v>
      </c>
      <c r="U210" s="15">
        <v>0</v>
      </c>
      <c r="V210" s="15">
        <f t="shared" si="25"/>
        <v>0</v>
      </c>
      <c r="W210" s="15">
        <v>0</v>
      </c>
    </row>
    <row r="211" spans="1:23" ht="10.5" x14ac:dyDescent="0.2">
      <c r="A211" s="14" t="s">
        <v>1369</v>
      </c>
      <c r="B211" s="16">
        <v>0</v>
      </c>
      <c r="C211" s="16">
        <v>0</v>
      </c>
      <c r="D211" s="16">
        <v>0</v>
      </c>
      <c r="E211" s="16">
        <v>0</v>
      </c>
      <c r="F211" s="16">
        <v>0</v>
      </c>
      <c r="G211" s="16">
        <v>0</v>
      </c>
      <c r="H211" s="16">
        <v>0</v>
      </c>
      <c r="I211" s="16">
        <v>0</v>
      </c>
      <c r="J211" s="16">
        <v>0</v>
      </c>
      <c r="K211" s="16">
        <v>0</v>
      </c>
      <c r="L211" s="16">
        <v>0</v>
      </c>
      <c r="M211" s="16">
        <v>0</v>
      </c>
      <c r="N211" s="16">
        <v>0</v>
      </c>
      <c r="O211" s="16">
        <v>0</v>
      </c>
      <c r="P211" s="16">
        <v>0</v>
      </c>
      <c r="Q211" s="16">
        <v>0</v>
      </c>
      <c r="R211" s="16">
        <v>0</v>
      </c>
      <c r="T211" s="14" t="s">
        <v>1369</v>
      </c>
      <c r="U211" s="16">
        <v>0</v>
      </c>
      <c r="V211" s="16">
        <f t="shared" si="25"/>
        <v>0</v>
      </c>
      <c r="W211" s="16">
        <v>0</v>
      </c>
    </row>
    <row r="212" spans="1:23" x14ac:dyDescent="0.2">
      <c r="A212" s="5" t="s">
        <v>1370</v>
      </c>
      <c r="B212" s="15">
        <v>0</v>
      </c>
      <c r="C212" s="15">
        <v>0</v>
      </c>
      <c r="D212" s="15">
        <v>0</v>
      </c>
      <c r="E212" s="15">
        <v>0</v>
      </c>
      <c r="F212" s="15">
        <v>0</v>
      </c>
      <c r="G212" s="15">
        <v>0</v>
      </c>
      <c r="H212" s="15">
        <v>0</v>
      </c>
      <c r="I212" s="15">
        <v>0</v>
      </c>
      <c r="J212" s="15">
        <v>0</v>
      </c>
      <c r="K212" s="15">
        <v>0</v>
      </c>
      <c r="L212" s="15">
        <v>0</v>
      </c>
      <c r="M212" s="15">
        <v>0</v>
      </c>
      <c r="N212" s="15">
        <v>0</v>
      </c>
      <c r="O212" s="15">
        <v>0</v>
      </c>
      <c r="P212" s="15">
        <v>0</v>
      </c>
      <c r="Q212" s="15">
        <v>0</v>
      </c>
      <c r="R212" s="15">
        <v>0</v>
      </c>
      <c r="T212" s="5" t="s">
        <v>1370</v>
      </c>
      <c r="U212" s="15">
        <v>0</v>
      </c>
      <c r="V212" s="15">
        <f t="shared" si="25"/>
        <v>0</v>
      </c>
      <c r="W212" s="15">
        <v>0</v>
      </c>
    </row>
    <row r="213" spans="1:23" x14ac:dyDescent="0.2">
      <c r="A213" s="5" t="s">
        <v>1371</v>
      </c>
      <c r="B213" s="15">
        <v>0</v>
      </c>
      <c r="C213" s="15">
        <v>0</v>
      </c>
      <c r="D213" s="15">
        <v>0</v>
      </c>
      <c r="E213" s="15">
        <v>0</v>
      </c>
      <c r="F213" s="15">
        <v>0</v>
      </c>
      <c r="G213" s="15">
        <v>0</v>
      </c>
      <c r="H213" s="15">
        <v>0</v>
      </c>
      <c r="I213" s="15">
        <v>0</v>
      </c>
      <c r="J213" s="15">
        <v>0</v>
      </c>
      <c r="K213" s="15">
        <v>0</v>
      </c>
      <c r="L213" s="15">
        <v>0</v>
      </c>
      <c r="M213" s="15">
        <v>0</v>
      </c>
      <c r="N213" s="15">
        <v>0</v>
      </c>
      <c r="O213" s="15">
        <v>0</v>
      </c>
      <c r="P213" s="15">
        <v>0</v>
      </c>
      <c r="Q213" s="15">
        <v>0</v>
      </c>
      <c r="R213" s="15">
        <v>0</v>
      </c>
      <c r="T213" s="5" t="s">
        <v>1371</v>
      </c>
      <c r="U213" s="15">
        <v>0</v>
      </c>
      <c r="V213" s="15">
        <f t="shared" si="25"/>
        <v>0</v>
      </c>
      <c r="W213" s="15">
        <v>0</v>
      </c>
    </row>
    <row r="214" spans="1:23" ht="10.5" x14ac:dyDescent="0.2">
      <c r="A214" s="14" t="s">
        <v>1372</v>
      </c>
      <c r="B214" s="16">
        <v>0</v>
      </c>
      <c r="C214" s="16">
        <v>0</v>
      </c>
      <c r="D214" s="16">
        <v>0</v>
      </c>
      <c r="E214" s="16">
        <v>0</v>
      </c>
      <c r="F214" s="16">
        <v>0</v>
      </c>
      <c r="G214" s="16">
        <v>0</v>
      </c>
      <c r="H214" s="16">
        <v>0</v>
      </c>
      <c r="I214" s="16">
        <v>0</v>
      </c>
      <c r="J214" s="16">
        <v>0</v>
      </c>
      <c r="K214" s="16">
        <v>0</v>
      </c>
      <c r="L214" s="16">
        <v>0</v>
      </c>
      <c r="M214" s="16">
        <v>0</v>
      </c>
      <c r="N214" s="16">
        <v>0</v>
      </c>
      <c r="O214" s="16">
        <v>0</v>
      </c>
      <c r="P214" s="16">
        <v>0</v>
      </c>
      <c r="Q214" s="16">
        <v>0</v>
      </c>
      <c r="R214" s="16">
        <v>0</v>
      </c>
      <c r="T214" s="14" t="s">
        <v>1372</v>
      </c>
      <c r="U214" s="16">
        <v>0</v>
      </c>
      <c r="V214" s="16">
        <f t="shared" si="25"/>
        <v>0</v>
      </c>
      <c r="W214" s="16">
        <v>0</v>
      </c>
    </row>
    <row r="215" spans="1:23" x14ac:dyDescent="0.2">
      <c r="A215" s="5"/>
      <c r="B215" s="5"/>
      <c r="C215" s="5"/>
      <c r="D215" s="5"/>
      <c r="E215" s="5"/>
      <c r="F215" s="5"/>
      <c r="G215" s="5"/>
      <c r="H215" s="5"/>
      <c r="I215" s="5"/>
      <c r="J215" s="5"/>
      <c r="K215" s="5"/>
      <c r="L215" s="5"/>
      <c r="M215" s="5"/>
      <c r="N215" s="5"/>
      <c r="O215" s="5"/>
      <c r="P215" s="5"/>
      <c r="Q215" s="5"/>
      <c r="R215" s="5"/>
      <c r="T215" s="5"/>
      <c r="U215" s="5"/>
      <c r="V215" s="5"/>
      <c r="W215" s="5"/>
    </row>
    <row r="216" spans="1:23" x14ac:dyDescent="0.2">
      <c r="A216" s="5" t="s">
        <v>1373</v>
      </c>
      <c r="B216" s="15">
        <v>0</v>
      </c>
      <c r="C216" s="15">
        <v>0</v>
      </c>
      <c r="D216" s="15">
        <v>0</v>
      </c>
      <c r="E216" s="15">
        <v>0</v>
      </c>
      <c r="F216" s="15">
        <v>0</v>
      </c>
      <c r="G216" s="15">
        <v>5.8631000000000003E-2</v>
      </c>
      <c r="H216" s="15">
        <v>6.0700000000000001E-4</v>
      </c>
      <c r="I216" s="15">
        <v>0</v>
      </c>
      <c r="J216" s="15">
        <v>1.36E-4</v>
      </c>
      <c r="K216" s="15">
        <v>0</v>
      </c>
      <c r="L216" s="15">
        <v>0.17061899999999999</v>
      </c>
      <c r="M216" s="15">
        <v>0</v>
      </c>
      <c r="N216" s="15">
        <v>0.17371</v>
      </c>
      <c r="O216" s="15">
        <v>0</v>
      </c>
      <c r="P216" s="15">
        <v>0.187</v>
      </c>
      <c r="Q216" s="15">
        <v>1.653</v>
      </c>
      <c r="R216" s="15">
        <v>3.1379999999999999</v>
      </c>
      <c r="T216" s="5" t="s">
        <v>1373</v>
      </c>
      <c r="U216" s="15">
        <v>1.2889999999999999</v>
      </c>
      <c r="V216" s="15">
        <f t="shared" ref="V216:V220" si="26">Q216-U216</f>
        <v>0.3640000000000001</v>
      </c>
      <c r="W216" s="15">
        <v>2.7490000000000001</v>
      </c>
    </row>
    <row r="217" spans="1:23" x14ac:dyDescent="0.2">
      <c r="A217" s="5" t="s">
        <v>1374</v>
      </c>
      <c r="B217" s="15">
        <v>0</v>
      </c>
      <c r="C217" s="15">
        <v>0</v>
      </c>
      <c r="D217" s="15">
        <v>0</v>
      </c>
      <c r="E217" s="15">
        <v>0</v>
      </c>
      <c r="F217" s="15">
        <v>0</v>
      </c>
      <c r="G217" s="15">
        <v>0</v>
      </c>
      <c r="H217" s="15">
        <v>0</v>
      </c>
      <c r="I217" s="15">
        <v>0</v>
      </c>
      <c r="J217" s="15">
        <v>0</v>
      </c>
      <c r="K217" s="15">
        <v>0</v>
      </c>
      <c r="L217" s="15">
        <v>0</v>
      </c>
      <c r="M217" s="15">
        <v>0</v>
      </c>
      <c r="N217" s="15">
        <v>0</v>
      </c>
      <c r="O217" s="15">
        <v>0</v>
      </c>
      <c r="P217" s="15">
        <v>0</v>
      </c>
      <c r="Q217" s="15">
        <v>-2.5</v>
      </c>
      <c r="R217" s="15">
        <v>0</v>
      </c>
      <c r="T217" s="5" t="s">
        <v>1374</v>
      </c>
      <c r="U217" s="15">
        <v>-2.6</v>
      </c>
      <c r="V217" s="15">
        <f t="shared" si="26"/>
        <v>0.10000000000000009</v>
      </c>
      <c r="W217" s="15">
        <v>0</v>
      </c>
    </row>
    <row r="218" spans="1:23" x14ac:dyDescent="0.2">
      <c r="A218" s="5"/>
      <c r="B218" s="5"/>
      <c r="C218" s="5"/>
      <c r="D218" s="5"/>
      <c r="E218" s="5"/>
      <c r="F218" s="5"/>
      <c r="G218" s="5"/>
      <c r="H218" s="5"/>
      <c r="I218" s="5"/>
      <c r="J218" s="5"/>
      <c r="K218" s="5"/>
      <c r="L218" s="5"/>
      <c r="M218" s="5"/>
      <c r="N218" s="5"/>
      <c r="O218" s="5"/>
      <c r="P218" s="5"/>
      <c r="Q218" s="5"/>
      <c r="R218" s="5"/>
      <c r="T218" s="5"/>
      <c r="U218" s="5"/>
      <c r="V218" s="5">
        <f t="shared" si="26"/>
        <v>0</v>
      </c>
      <c r="W218" s="5"/>
    </row>
    <row r="219" spans="1:23" x14ac:dyDescent="0.2">
      <c r="A219" s="5" t="s">
        <v>1375</v>
      </c>
      <c r="B219" s="15">
        <v>0</v>
      </c>
      <c r="C219" s="15">
        <v>0</v>
      </c>
      <c r="D219" s="15">
        <v>-0.2</v>
      </c>
      <c r="E219" s="15">
        <v>0</v>
      </c>
      <c r="F219" s="15">
        <v>0</v>
      </c>
      <c r="G219" s="15">
        <v>0</v>
      </c>
      <c r="H219" s="15">
        <v>0</v>
      </c>
      <c r="I219" s="15">
        <v>0</v>
      </c>
      <c r="J219" s="15">
        <v>0</v>
      </c>
      <c r="K219" s="15">
        <v>-0.1</v>
      </c>
      <c r="L219" s="15">
        <v>-9</v>
      </c>
      <c r="M219" s="15">
        <v>0</v>
      </c>
      <c r="N219" s="15">
        <v>-2.1</v>
      </c>
      <c r="O219" s="15">
        <v>-0.8</v>
      </c>
      <c r="P219" s="15">
        <v>-4.8</v>
      </c>
      <c r="Q219" s="15">
        <v>-7.3</v>
      </c>
      <c r="R219" s="15">
        <v>-40.1</v>
      </c>
      <c r="T219" s="5" t="s">
        <v>1375</v>
      </c>
      <c r="U219" s="15">
        <v>-7.3</v>
      </c>
      <c r="V219" s="15">
        <f t="shared" si="26"/>
        <v>0</v>
      </c>
      <c r="W219" s="15">
        <v>-40.1</v>
      </c>
    </row>
    <row r="220" spans="1:23" ht="10.5" x14ac:dyDescent="0.2">
      <c r="A220" s="14" t="s">
        <v>1376</v>
      </c>
      <c r="B220" s="16">
        <v>0</v>
      </c>
      <c r="C220" s="16">
        <v>0</v>
      </c>
      <c r="D220" s="16">
        <v>-0.2</v>
      </c>
      <c r="E220" s="16">
        <v>0</v>
      </c>
      <c r="F220" s="16">
        <v>0</v>
      </c>
      <c r="G220" s="16">
        <v>0</v>
      </c>
      <c r="H220" s="16">
        <v>0</v>
      </c>
      <c r="I220" s="16">
        <v>0</v>
      </c>
      <c r="J220" s="16">
        <v>0</v>
      </c>
      <c r="K220" s="16">
        <v>-0.1</v>
      </c>
      <c r="L220" s="16">
        <v>-9</v>
      </c>
      <c r="M220" s="16">
        <v>0</v>
      </c>
      <c r="N220" s="16">
        <v>-2.1</v>
      </c>
      <c r="O220" s="16">
        <v>-0.8</v>
      </c>
      <c r="P220" s="16">
        <v>-4.8</v>
      </c>
      <c r="Q220" s="16">
        <v>-7.3</v>
      </c>
      <c r="R220" s="16">
        <v>-40.1</v>
      </c>
      <c r="T220" s="14" t="s">
        <v>1376</v>
      </c>
      <c r="U220" s="16">
        <v>-7.3</v>
      </c>
      <c r="V220" s="16">
        <f t="shared" si="26"/>
        <v>0</v>
      </c>
      <c r="W220" s="16">
        <v>-40.1</v>
      </c>
    </row>
    <row r="221" spans="1:23" x14ac:dyDescent="0.2">
      <c r="A221" s="5"/>
      <c r="B221" s="5"/>
      <c r="C221" s="5"/>
      <c r="D221" s="5"/>
      <c r="E221" s="5"/>
      <c r="F221" s="5"/>
      <c r="G221" s="5"/>
      <c r="H221" s="5"/>
      <c r="I221" s="5"/>
      <c r="J221" s="5"/>
      <c r="K221" s="5"/>
      <c r="L221" s="5"/>
      <c r="M221" s="5"/>
      <c r="N221" s="5"/>
      <c r="O221" s="5"/>
      <c r="P221" s="5"/>
      <c r="Q221" s="5"/>
      <c r="R221" s="5"/>
      <c r="T221" s="5"/>
      <c r="U221" s="5"/>
      <c r="V221" s="5"/>
      <c r="W221" s="5"/>
    </row>
    <row r="222" spans="1:23" x14ac:dyDescent="0.2">
      <c r="A222" s="5" t="s">
        <v>1377</v>
      </c>
      <c r="B222" s="15">
        <v>0</v>
      </c>
      <c r="C222" s="15">
        <v>0</v>
      </c>
      <c r="D222" s="15">
        <v>0</v>
      </c>
      <c r="E222" s="15">
        <v>0</v>
      </c>
      <c r="F222" s="15">
        <v>0</v>
      </c>
      <c r="G222" s="15">
        <v>0</v>
      </c>
      <c r="H222" s="15">
        <v>0</v>
      </c>
      <c r="I222" s="15">
        <v>0</v>
      </c>
      <c r="J222" s="15">
        <v>0</v>
      </c>
      <c r="K222" s="15">
        <v>0</v>
      </c>
      <c r="L222" s="15">
        <v>0</v>
      </c>
      <c r="M222" s="15">
        <v>0</v>
      </c>
      <c r="N222" s="15">
        <v>0</v>
      </c>
      <c r="O222" s="15">
        <v>-16.5</v>
      </c>
      <c r="P222" s="15">
        <v>0</v>
      </c>
      <c r="Q222" s="15">
        <v>0</v>
      </c>
      <c r="R222" s="15">
        <v>0</v>
      </c>
      <c r="T222" s="5" t="s">
        <v>1377</v>
      </c>
      <c r="U222" s="15">
        <v>0</v>
      </c>
      <c r="V222" s="15">
        <f t="shared" ref="V222:V224" si="27">Q222-U222</f>
        <v>0</v>
      </c>
      <c r="W222" s="15">
        <v>0</v>
      </c>
    </row>
    <row r="223" spans="1:23" x14ac:dyDescent="0.2">
      <c r="A223" s="5" t="s">
        <v>1378</v>
      </c>
      <c r="B223" s="15">
        <v>0</v>
      </c>
      <c r="C223" s="15">
        <v>0</v>
      </c>
      <c r="D223" s="15">
        <v>0</v>
      </c>
      <c r="E223" s="15">
        <v>0</v>
      </c>
      <c r="F223" s="15">
        <v>0</v>
      </c>
      <c r="G223" s="15">
        <v>0</v>
      </c>
      <c r="H223" s="15">
        <v>0</v>
      </c>
      <c r="I223" s="15">
        <v>0</v>
      </c>
      <c r="J223" s="15">
        <v>0</v>
      </c>
      <c r="K223" s="15">
        <v>0</v>
      </c>
      <c r="L223" s="15">
        <v>0</v>
      </c>
      <c r="M223" s="15">
        <v>0.17638599999999999</v>
      </c>
      <c r="N223" s="15">
        <v>0.20542299999999999</v>
      </c>
      <c r="O223" s="15">
        <v>1.197894</v>
      </c>
      <c r="P223" s="15">
        <v>0</v>
      </c>
      <c r="Q223" s="15">
        <v>0</v>
      </c>
      <c r="R223" s="15">
        <v>0</v>
      </c>
      <c r="T223" s="5" t="s">
        <v>1378</v>
      </c>
      <c r="U223" s="15">
        <v>0</v>
      </c>
      <c r="V223" s="15">
        <f t="shared" si="27"/>
        <v>0</v>
      </c>
      <c r="W223" s="15">
        <v>0</v>
      </c>
    </row>
    <row r="224" spans="1:23" ht="10.5" x14ac:dyDescent="0.2">
      <c r="A224" s="14" t="s">
        <v>1379</v>
      </c>
      <c r="B224" s="16">
        <v>0</v>
      </c>
      <c r="C224" s="16">
        <v>0</v>
      </c>
      <c r="D224" s="16">
        <v>-0.2</v>
      </c>
      <c r="E224" s="16">
        <v>0</v>
      </c>
      <c r="F224" s="16">
        <v>0</v>
      </c>
      <c r="G224" s="16">
        <v>5.8631000000000003E-2</v>
      </c>
      <c r="H224" s="16">
        <v>6.0700000000000001E-4</v>
      </c>
      <c r="I224" s="16">
        <v>0</v>
      </c>
      <c r="J224" s="16">
        <v>1.36E-4</v>
      </c>
      <c r="K224" s="16">
        <v>-0.1</v>
      </c>
      <c r="L224" s="16">
        <v>-8.8000000000000007</v>
      </c>
      <c r="M224" s="16">
        <v>0.17638599999999999</v>
      </c>
      <c r="N224" s="16">
        <v>-1.7</v>
      </c>
      <c r="O224" s="16">
        <v>-16.100000000000001</v>
      </c>
      <c r="P224" s="16">
        <v>-4.5999999999999996</v>
      </c>
      <c r="Q224" s="16">
        <v>-8.1999999999999993</v>
      </c>
      <c r="R224" s="16">
        <v>-36.9</v>
      </c>
      <c r="T224" s="14" t="s">
        <v>1379</v>
      </c>
      <c r="U224" s="16">
        <v>-8.6</v>
      </c>
      <c r="V224" s="16">
        <f t="shared" si="27"/>
        <v>0.40000000000000036</v>
      </c>
      <c r="W224" s="16">
        <v>-37.299999999999997</v>
      </c>
    </row>
    <row r="225" spans="1:256" x14ac:dyDescent="0.2">
      <c r="A225" s="5"/>
      <c r="B225" s="5"/>
      <c r="C225" s="5"/>
      <c r="D225" s="5"/>
      <c r="E225" s="5"/>
      <c r="F225" s="5"/>
      <c r="G225" s="5"/>
      <c r="H225" s="5"/>
      <c r="I225" s="5"/>
      <c r="J225" s="5"/>
      <c r="K225" s="5"/>
      <c r="L225" s="5"/>
      <c r="M225" s="5"/>
      <c r="N225" s="5"/>
      <c r="O225" s="5"/>
      <c r="P225" s="5"/>
      <c r="Q225" s="5"/>
      <c r="R225" s="5"/>
      <c r="T225" s="5"/>
      <c r="U225" s="5"/>
      <c r="V225" s="5"/>
      <c r="W225" s="5"/>
    </row>
    <row r="226" spans="1:256" ht="10.5" x14ac:dyDescent="0.2">
      <c r="A226" s="14" t="s">
        <v>1380</v>
      </c>
      <c r="B226" s="18">
        <v>-1.2</v>
      </c>
      <c r="C226" s="18">
        <v>1.2869999999999999E-2</v>
      </c>
      <c r="D226" s="18">
        <v>-1.4</v>
      </c>
      <c r="E226" s="18">
        <v>4.7538749999999999</v>
      </c>
      <c r="F226" s="18">
        <v>0.41247400000000001</v>
      </c>
      <c r="G226" s="18">
        <v>-3.5</v>
      </c>
      <c r="H226" s="18">
        <v>0.14760400000000001</v>
      </c>
      <c r="I226" s="18">
        <v>2.4963950000000001</v>
      </c>
      <c r="J226" s="18">
        <v>4.6343629999999996</v>
      </c>
      <c r="K226" s="18">
        <v>5.0404920000000004</v>
      </c>
      <c r="L226" s="18">
        <v>-2.2999999999999998</v>
      </c>
      <c r="M226" s="18">
        <v>-2.2999999999999998</v>
      </c>
      <c r="N226" s="18">
        <v>4.1619910000000004</v>
      </c>
      <c r="O226" s="18">
        <v>-1.4</v>
      </c>
      <c r="P226" s="18">
        <v>29.044</v>
      </c>
      <c r="Q226" s="18">
        <v>36.921999999999997</v>
      </c>
      <c r="R226" s="18">
        <v>17.474</v>
      </c>
      <c r="T226" s="14" t="s">
        <v>1380</v>
      </c>
      <c r="U226" s="18">
        <v>-0.3</v>
      </c>
      <c r="V226" s="18">
        <f>Q226-U226</f>
        <v>37.221999999999994</v>
      </c>
      <c r="W226" s="18">
        <v>-19.8</v>
      </c>
    </row>
    <row r="227" spans="1:256" x14ac:dyDescent="0.2">
      <c r="A227" s="5"/>
      <c r="B227" s="5"/>
      <c r="C227" s="5"/>
      <c r="D227" s="5"/>
      <c r="E227" s="5"/>
      <c r="F227" s="5"/>
      <c r="G227" s="5"/>
      <c r="H227" s="5"/>
      <c r="I227" s="5"/>
      <c r="J227" s="5"/>
      <c r="K227" s="5"/>
      <c r="L227" s="5"/>
      <c r="M227" s="5"/>
      <c r="N227" s="5"/>
      <c r="O227" s="5"/>
      <c r="P227" s="5"/>
      <c r="Q227" s="5"/>
      <c r="R227" s="5"/>
      <c r="T227" s="5"/>
      <c r="U227" s="5"/>
      <c r="V227" s="5"/>
      <c r="W227" s="5"/>
    </row>
    <row r="228" spans="1:256" ht="10.5" x14ac:dyDescent="0.2">
      <c r="A228" s="14" t="s">
        <v>1267</v>
      </c>
      <c r="B228" s="5"/>
      <c r="C228" s="5"/>
      <c r="D228" s="5"/>
      <c r="E228" s="5"/>
      <c r="F228" s="5"/>
      <c r="G228" s="5"/>
      <c r="H228" s="5"/>
      <c r="I228" s="5"/>
      <c r="J228" s="5"/>
      <c r="K228" s="5"/>
      <c r="L228" s="5"/>
      <c r="M228" s="5"/>
      <c r="N228" s="5"/>
      <c r="O228" s="5"/>
      <c r="P228" s="5"/>
      <c r="Q228" s="5"/>
      <c r="R228" s="5"/>
      <c r="T228" s="14" t="s">
        <v>1267</v>
      </c>
      <c r="U228" s="5"/>
      <c r="V228" s="5"/>
      <c r="W228" s="5"/>
    </row>
    <row r="229" spans="1:256" x14ac:dyDescent="0.2">
      <c r="A229" s="5" t="s">
        <v>1381</v>
      </c>
      <c r="B229" s="15">
        <v>6.8097000000000005E-2</v>
      </c>
      <c r="C229" s="15">
        <v>0.12378599999999999</v>
      </c>
      <c r="D229" s="15">
        <v>3.1577000000000001E-2</v>
      </c>
      <c r="E229" s="15">
        <v>9.75E-3</v>
      </c>
      <c r="F229" s="15">
        <v>3.094E-3</v>
      </c>
      <c r="G229" s="15">
        <v>1.5900999999999998E-2</v>
      </c>
      <c r="H229" s="15">
        <v>3.0599000000000001E-2</v>
      </c>
      <c r="I229" s="15">
        <v>8.5959999999999995E-3</v>
      </c>
      <c r="J229" s="15">
        <v>1.2539999999999999E-3</v>
      </c>
      <c r="K229" s="15">
        <v>9.4300000000000004E-4</v>
      </c>
      <c r="L229" s="15">
        <v>5.5821999999999997E-2</v>
      </c>
      <c r="M229" s="15">
        <v>5.0900000000000001E-4</v>
      </c>
      <c r="N229" s="15" t="s">
        <v>52</v>
      </c>
      <c r="O229" s="15" t="s">
        <v>52</v>
      </c>
      <c r="P229" s="15" t="s">
        <v>52</v>
      </c>
      <c r="Q229" s="15" t="s">
        <v>52</v>
      </c>
      <c r="R229" s="15" t="s">
        <v>52</v>
      </c>
      <c r="T229" s="5" t="s">
        <v>1381</v>
      </c>
      <c r="U229" s="15" t="s">
        <v>52</v>
      </c>
      <c r="V229" s="15" t="e">
        <f t="shared" ref="V229:V237" si="28">Q229-U229</f>
        <v>#VALUE!</v>
      </c>
      <c r="W229" s="15" t="s">
        <v>52</v>
      </c>
    </row>
    <row r="230" spans="1:256" x14ac:dyDescent="0.2">
      <c r="A230" s="5" t="s">
        <v>1382</v>
      </c>
      <c r="B230" s="15">
        <v>3.8838999999999999E-2</v>
      </c>
      <c r="C230" s="15">
        <v>0.307448</v>
      </c>
      <c r="D230" s="15">
        <v>0.23452600000000001</v>
      </c>
      <c r="E230" s="15">
        <v>0.45753300000000002</v>
      </c>
      <c r="F230" s="15">
        <v>0.55442199999999997</v>
      </c>
      <c r="G230" s="15">
        <v>0.64238399999999996</v>
      </c>
      <c r="H230" s="15">
        <v>0.36492000000000002</v>
      </c>
      <c r="I230" s="15">
        <v>1.2982739999999999</v>
      </c>
      <c r="J230" s="15">
        <v>1.9607619999999999</v>
      </c>
      <c r="K230" s="15">
        <v>2.4755760000000002</v>
      </c>
      <c r="L230" s="15">
        <v>2.2563430000000002</v>
      </c>
      <c r="M230" s="15">
        <v>3.4732370000000001</v>
      </c>
      <c r="N230" s="15">
        <v>4.3898060000000001</v>
      </c>
      <c r="O230" s="15">
        <v>5.2</v>
      </c>
      <c r="P230" s="15">
        <v>10.345000000000001</v>
      </c>
      <c r="Q230" s="15">
        <v>7.319</v>
      </c>
      <c r="R230" s="15">
        <v>7.6109999999999998</v>
      </c>
      <c r="T230" s="5" t="s">
        <v>1382</v>
      </c>
      <c r="U230" s="15">
        <v>3.964</v>
      </c>
      <c r="V230" s="15">
        <f t="shared" si="28"/>
        <v>3.355</v>
      </c>
      <c r="W230" s="15">
        <v>4.2560000000000002</v>
      </c>
    </row>
    <row r="231" spans="1:256" x14ac:dyDescent="0.2">
      <c r="A231" s="5" t="s">
        <v>1383</v>
      </c>
      <c r="B231" s="15">
        <v>-1.3</v>
      </c>
      <c r="C231" s="15">
        <v>0</v>
      </c>
      <c r="D231" s="15">
        <v>-1</v>
      </c>
      <c r="E231" s="15">
        <v>6.2324349999999997</v>
      </c>
      <c r="F231" s="15">
        <v>-1.3</v>
      </c>
      <c r="G231" s="15">
        <v>-1.4</v>
      </c>
      <c r="H231" s="15">
        <v>1.9535E-2</v>
      </c>
      <c r="I231" s="15">
        <v>2.505369</v>
      </c>
      <c r="J231" s="15">
        <v>5.0459589999999999</v>
      </c>
      <c r="K231" s="15">
        <v>4.6287200000000004</v>
      </c>
      <c r="L231" s="15">
        <v>5.659421</v>
      </c>
      <c r="M231" s="15">
        <v>-3.9</v>
      </c>
      <c r="N231" s="15">
        <v>2.3139780000000001</v>
      </c>
      <c r="O231" s="15">
        <v>10.540974</v>
      </c>
      <c r="P231" s="15">
        <v>27.186001999999998</v>
      </c>
      <c r="Q231" s="15">
        <v>38.259233999999999</v>
      </c>
      <c r="R231" s="15" t="s">
        <v>52</v>
      </c>
      <c r="T231" s="5" t="s">
        <v>1383</v>
      </c>
      <c r="U231" s="15" t="s">
        <v>52</v>
      </c>
      <c r="V231" s="15" t="e">
        <f t="shared" si="28"/>
        <v>#VALUE!</v>
      </c>
      <c r="W231" s="15">
        <v>18.708936999999999</v>
      </c>
    </row>
    <row r="232" spans="1:256" x14ac:dyDescent="0.2">
      <c r="A232" s="5" t="s">
        <v>1384</v>
      </c>
      <c r="B232" s="15">
        <v>-1.2</v>
      </c>
      <c r="C232" s="15">
        <v>5.6262E-2</v>
      </c>
      <c r="D232" s="15">
        <v>-0.9</v>
      </c>
      <c r="E232" s="15">
        <v>6.2385279999999996</v>
      </c>
      <c r="F232" s="15">
        <v>-1.3</v>
      </c>
      <c r="G232" s="15">
        <v>-1.4</v>
      </c>
      <c r="H232" s="15">
        <v>3.8658999999999999E-2</v>
      </c>
      <c r="I232" s="15">
        <v>2.510742</v>
      </c>
      <c r="J232" s="15">
        <v>5.0467420000000001</v>
      </c>
      <c r="K232" s="15">
        <v>4.6293090000000001</v>
      </c>
      <c r="L232" s="15">
        <v>5.6943099999999998</v>
      </c>
      <c r="M232" s="15">
        <v>-3.9</v>
      </c>
      <c r="N232" s="15">
        <v>2.3139780000000001</v>
      </c>
      <c r="O232" s="15">
        <v>10.540974</v>
      </c>
      <c r="P232" s="15">
        <v>27.186001999999998</v>
      </c>
      <c r="Q232" s="15">
        <v>38.259233999999999</v>
      </c>
      <c r="R232" s="15" t="s">
        <v>52</v>
      </c>
      <c r="T232" s="5" t="s">
        <v>1384</v>
      </c>
      <c r="U232" s="15" t="s">
        <v>52</v>
      </c>
      <c r="V232" s="15" t="e">
        <f t="shared" si="28"/>
        <v>#VALUE!</v>
      </c>
      <c r="W232" s="15">
        <v>18.708936999999999</v>
      </c>
    </row>
    <row r="233" spans="1:256" x14ac:dyDescent="0.2">
      <c r="A233" s="5" t="s">
        <v>1385</v>
      </c>
      <c r="B233" s="15">
        <v>1.3973439999999999</v>
      </c>
      <c r="C233" s="15">
        <v>0.40316800000000003</v>
      </c>
      <c r="D233" s="15">
        <v>1.8663449999999999</v>
      </c>
      <c r="E233" s="15">
        <v>-5.2</v>
      </c>
      <c r="F233" s="15">
        <v>2.2031320000000001</v>
      </c>
      <c r="G233" s="15">
        <v>2.0668250000000001</v>
      </c>
      <c r="H233" s="15">
        <v>1.194221</v>
      </c>
      <c r="I233" s="15">
        <v>-0.2</v>
      </c>
      <c r="J233" s="15">
        <v>-1.5</v>
      </c>
      <c r="K233" s="15">
        <v>0.10695399999999999</v>
      </c>
      <c r="L233" s="15">
        <v>0.616954</v>
      </c>
      <c r="M233" s="15">
        <v>13.936064</v>
      </c>
      <c r="N233" s="15">
        <v>8.5076929999999997</v>
      </c>
      <c r="O233" s="15">
        <v>5.3685470000000004</v>
      </c>
      <c r="P233" s="15">
        <v>-5.4</v>
      </c>
      <c r="Q233" s="15">
        <v>-13.9</v>
      </c>
      <c r="R233" s="15" t="s">
        <v>52</v>
      </c>
      <c r="T233" s="5"/>
      <c r="U233" s="15"/>
      <c r="V233" s="15">
        <f t="shared" si="28"/>
        <v>-13.9</v>
      </c>
      <c r="W233" s="15"/>
    </row>
    <row r="234" spans="1:256" x14ac:dyDescent="0.2">
      <c r="A234" s="5" t="s">
        <v>1386</v>
      </c>
      <c r="B234" s="15">
        <v>0</v>
      </c>
      <c r="C234" s="15">
        <v>0</v>
      </c>
      <c r="D234" s="15">
        <v>0</v>
      </c>
      <c r="E234" s="15">
        <v>0</v>
      </c>
      <c r="F234" s="15">
        <v>0</v>
      </c>
      <c r="G234" s="15" t="s">
        <v>52</v>
      </c>
      <c r="H234" s="15" t="s">
        <v>52</v>
      </c>
      <c r="I234" s="15" t="s">
        <v>52</v>
      </c>
      <c r="J234" s="15" t="s">
        <v>52</v>
      </c>
      <c r="K234" s="15" t="s">
        <v>52</v>
      </c>
      <c r="L234" s="15" t="s">
        <v>52</v>
      </c>
      <c r="M234" s="15" t="s">
        <v>52</v>
      </c>
      <c r="N234" s="15" t="s">
        <v>52</v>
      </c>
      <c r="O234" s="15" t="s">
        <v>52</v>
      </c>
      <c r="P234" s="15" t="s">
        <v>52</v>
      </c>
      <c r="Q234" s="15" t="s">
        <v>52</v>
      </c>
      <c r="R234" s="15" t="s">
        <v>52</v>
      </c>
      <c r="T234" s="5" t="s">
        <v>1386</v>
      </c>
      <c r="U234" s="15" t="s">
        <v>52</v>
      </c>
      <c r="V234" s="15" t="e">
        <f t="shared" si="28"/>
        <v>#VALUE!</v>
      </c>
      <c r="W234" s="15" t="s">
        <v>52</v>
      </c>
    </row>
    <row r="235" spans="1:256" x14ac:dyDescent="0.2">
      <c r="A235" s="5" t="s">
        <v>1277</v>
      </c>
      <c r="B235" s="22">
        <v>37319</v>
      </c>
      <c r="C235" s="22">
        <v>37683</v>
      </c>
      <c r="D235" s="22">
        <v>37683</v>
      </c>
      <c r="E235" s="22">
        <v>38412</v>
      </c>
      <c r="F235" s="22">
        <v>38875</v>
      </c>
      <c r="G235" s="22">
        <v>39270</v>
      </c>
      <c r="H235" s="22">
        <v>39601</v>
      </c>
      <c r="I235" s="22">
        <v>39961</v>
      </c>
      <c r="J235" s="22">
        <v>40290</v>
      </c>
      <c r="K235" s="22">
        <v>40666</v>
      </c>
      <c r="L235" s="22">
        <v>41031</v>
      </c>
      <c r="M235" s="22">
        <v>41402</v>
      </c>
      <c r="N235" s="22">
        <v>41752</v>
      </c>
      <c r="O235" s="22">
        <v>41969</v>
      </c>
      <c r="P235" s="22">
        <v>42296</v>
      </c>
      <c r="Q235" s="22">
        <v>42296</v>
      </c>
      <c r="R235" s="22">
        <v>42446</v>
      </c>
      <c r="T235" s="5" t="s">
        <v>1277</v>
      </c>
      <c r="U235" s="22">
        <v>42446</v>
      </c>
      <c r="V235" s="22">
        <f t="shared" si="28"/>
        <v>-150</v>
      </c>
      <c r="W235" s="22">
        <v>42446</v>
      </c>
    </row>
    <row r="236" spans="1:256" x14ac:dyDescent="0.2">
      <c r="A236" s="5" t="s">
        <v>1278</v>
      </c>
      <c r="B236" s="20" t="s">
        <v>1279</v>
      </c>
      <c r="C236" s="20" t="s">
        <v>1279</v>
      </c>
      <c r="D236" s="20" t="s">
        <v>1280</v>
      </c>
      <c r="E236" s="20" t="s">
        <v>1279</v>
      </c>
      <c r="F236" s="20" t="s">
        <v>1281</v>
      </c>
      <c r="G236" s="20" t="s">
        <v>1279</v>
      </c>
      <c r="H236" s="20" t="s">
        <v>1281</v>
      </c>
      <c r="I236" s="20" t="s">
        <v>1279</v>
      </c>
      <c r="J236" s="20" t="s">
        <v>1279</v>
      </c>
      <c r="K236" s="20" t="s">
        <v>1279</v>
      </c>
      <c r="L236" s="20" t="s">
        <v>1279</v>
      </c>
      <c r="M236" s="20" t="s">
        <v>1279</v>
      </c>
      <c r="N236" s="20" t="s">
        <v>1281</v>
      </c>
      <c r="O236" s="20" t="s">
        <v>1281</v>
      </c>
      <c r="P236" s="20" t="s">
        <v>1281</v>
      </c>
      <c r="Q236" s="20" t="s">
        <v>1280</v>
      </c>
      <c r="R236" s="20" t="s">
        <v>1280</v>
      </c>
      <c r="T236" s="5" t="s">
        <v>1278</v>
      </c>
      <c r="U236" s="20" t="s">
        <v>1280</v>
      </c>
      <c r="V236" s="20" t="e">
        <f t="shared" si="28"/>
        <v>#VALUE!</v>
      </c>
      <c r="W236" s="20" t="s">
        <v>1280</v>
      </c>
    </row>
    <row r="237" spans="1:256" x14ac:dyDescent="0.2">
      <c r="A237" s="5" t="s">
        <v>1282</v>
      </c>
      <c r="B237" s="20" t="s">
        <v>1284</v>
      </c>
      <c r="C237" s="20" t="s">
        <v>1284</v>
      </c>
      <c r="D237" s="20" t="s">
        <v>1284</v>
      </c>
      <c r="E237" s="20" t="s">
        <v>1284</v>
      </c>
      <c r="F237" s="20" t="s">
        <v>1284</v>
      </c>
      <c r="G237" s="20" t="s">
        <v>1284</v>
      </c>
      <c r="H237" s="20" t="s">
        <v>1284</v>
      </c>
      <c r="I237" s="20" t="s">
        <v>1284</v>
      </c>
      <c r="J237" s="20" t="s">
        <v>1284</v>
      </c>
      <c r="K237" s="20" t="s">
        <v>1284</v>
      </c>
      <c r="L237" s="20" t="s">
        <v>1284</v>
      </c>
      <c r="M237" s="20" t="s">
        <v>1284</v>
      </c>
      <c r="N237" s="20" t="s">
        <v>1284</v>
      </c>
      <c r="O237" s="20" t="s">
        <v>1284</v>
      </c>
      <c r="P237" s="20" t="s">
        <v>1284</v>
      </c>
      <c r="Q237" s="20" t="s">
        <v>1284</v>
      </c>
      <c r="R237" s="20" t="s">
        <v>1448</v>
      </c>
      <c r="T237" s="5" t="s">
        <v>1282</v>
      </c>
      <c r="U237" s="20" t="s">
        <v>1284</v>
      </c>
      <c r="V237" s="20" t="e">
        <f t="shared" si="28"/>
        <v>#VALUE!</v>
      </c>
      <c r="W237" s="20" t="s">
        <v>1284</v>
      </c>
    </row>
    <row r="238" spans="1:256" x14ac:dyDescent="0.2">
      <c r="A238" s="5"/>
      <c r="B238" s="5"/>
      <c r="C238" s="5"/>
      <c r="D238" s="5"/>
      <c r="E238" s="5"/>
      <c r="F238" s="5"/>
      <c r="G238" s="5"/>
      <c r="H238" s="5"/>
      <c r="I238" s="5"/>
      <c r="J238" s="5"/>
      <c r="K238" s="5"/>
      <c r="L238" s="5"/>
      <c r="M238" s="5"/>
      <c r="N238" s="5"/>
      <c r="O238" s="5"/>
      <c r="P238" s="5"/>
      <c r="Q238" s="5"/>
      <c r="R238" s="5"/>
      <c r="T238" s="5"/>
      <c r="U238" s="5"/>
      <c r="V238" s="5"/>
      <c r="W238" s="5"/>
    </row>
    <row r="239" spans="1:256" ht="14.25" customHeight="1" x14ac:dyDescent="0.2">
      <c r="A239" s="8" t="s">
        <v>1152</v>
      </c>
      <c r="B239" s="8"/>
      <c r="C239" s="8"/>
      <c r="D239" s="8"/>
      <c r="E239" s="8"/>
      <c r="F239" s="8"/>
      <c r="G239" s="8"/>
      <c r="H239" s="8"/>
      <c r="I239" s="8"/>
      <c r="J239" s="8"/>
      <c r="K239" s="8"/>
      <c r="L239" s="8"/>
      <c r="M239" s="8"/>
      <c r="N239" s="8"/>
      <c r="O239" s="8"/>
      <c r="P239" s="8"/>
      <c r="Q239" s="8"/>
      <c r="R239" s="8"/>
      <c r="S239" s="9"/>
      <c r="T239" s="28" t="s">
        <v>1151</v>
      </c>
      <c r="U239" s="29"/>
      <c r="V239" s="29"/>
      <c r="W239" s="29"/>
    </row>
    <row r="240" spans="1:256" ht="31.5" x14ac:dyDescent="0.25">
      <c r="A240" s="10" t="s">
        <v>1011</v>
      </c>
      <c r="B240" s="11" t="s">
        <v>1016</v>
      </c>
      <c r="C240" s="11" t="s">
        <v>1017</v>
      </c>
      <c r="D240" s="11" t="s">
        <v>1018</v>
      </c>
      <c r="E240" s="11" t="s">
        <v>1019</v>
      </c>
      <c r="F240" s="11" t="s">
        <v>1020</v>
      </c>
      <c r="G240" s="11" t="s">
        <v>1021</v>
      </c>
      <c r="H240" s="11" t="s">
        <v>1022</v>
      </c>
      <c r="I240" s="11" t="s">
        <v>1023</v>
      </c>
      <c r="J240" s="11" t="s">
        <v>1024</v>
      </c>
      <c r="K240" s="11" t="s">
        <v>1025</v>
      </c>
      <c r="L240" s="11" t="s">
        <v>1026</v>
      </c>
      <c r="M240" s="11" t="s">
        <v>1027</v>
      </c>
      <c r="N240" s="11" t="s">
        <v>1028</v>
      </c>
      <c r="O240" s="11" t="s">
        <v>1029</v>
      </c>
      <c r="P240" s="11" t="s">
        <v>1030</v>
      </c>
      <c r="Q240" s="11" t="s">
        <v>1031</v>
      </c>
      <c r="R240" s="11" t="s">
        <v>1484</v>
      </c>
      <c r="Z240" s="9"/>
      <c r="AA240" s="9"/>
      <c r="AB240" s="9"/>
      <c r="AC240" s="9"/>
      <c r="AD240" s="9"/>
      <c r="AE240" s="9"/>
      <c r="AF240" s="9"/>
      <c r="AG240" s="9"/>
      <c r="AH240" s="9"/>
      <c r="AI240" s="9"/>
      <c r="AJ240" s="9"/>
      <c r="AK240" s="9"/>
      <c r="AL240" s="9"/>
      <c r="AM240" s="9"/>
      <c r="AN240" s="9"/>
      <c r="AO240" s="9"/>
      <c r="AP240" s="9"/>
      <c r="AQ240" s="9"/>
      <c r="AR240" s="9"/>
      <c r="AS240" s="9"/>
      <c r="AT240" s="9"/>
      <c r="AU240" s="9"/>
      <c r="AV240" s="9"/>
      <c r="AW240" s="9"/>
      <c r="AX240" s="9"/>
      <c r="AY240" s="9"/>
      <c r="AZ240" s="9"/>
      <c r="BA240" s="9"/>
      <c r="BB240" s="9"/>
      <c r="BC240" s="9"/>
      <c r="BD240" s="9"/>
      <c r="BE240" s="9"/>
      <c r="BF240" s="9"/>
      <c r="BG240" s="9"/>
      <c r="BH240" s="9"/>
      <c r="BI240" s="9"/>
      <c r="BJ240" s="9"/>
      <c r="BK240" s="9"/>
      <c r="BL240" s="9"/>
      <c r="BM240" s="9"/>
      <c r="BN240" s="9"/>
      <c r="BO240" s="9"/>
      <c r="BP240" s="9"/>
      <c r="BQ240" s="9"/>
      <c r="BR240" s="9"/>
      <c r="BS240" s="9"/>
      <c r="BT240" s="9"/>
      <c r="BU240" s="9"/>
      <c r="BV240" s="9"/>
      <c r="BW240" s="9"/>
      <c r="BX240" s="9"/>
      <c r="BY240" s="9"/>
      <c r="BZ240" s="9"/>
      <c r="CA240" s="9"/>
      <c r="CB240" s="9"/>
      <c r="CC240" s="9"/>
      <c r="CD240" s="9"/>
      <c r="CE240" s="9"/>
      <c r="CF240" s="9"/>
      <c r="CG240" s="9"/>
      <c r="CH240" s="9"/>
      <c r="CI240" s="9"/>
      <c r="CJ240" s="9"/>
      <c r="CK240" s="9"/>
      <c r="CL240" s="9"/>
      <c r="CM240" s="9"/>
      <c r="CN240" s="9"/>
      <c r="CO240" s="9"/>
      <c r="CP240" s="9"/>
      <c r="CQ240" s="9"/>
      <c r="CR240" s="9"/>
      <c r="CS240" s="9"/>
      <c r="CT240" s="9"/>
      <c r="CU240" s="9"/>
      <c r="CV240" s="9"/>
      <c r="CW240" s="9"/>
      <c r="CX240" s="9"/>
      <c r="CY240" s="9"/>
      <c r="CZ240" s="9"/>
      <c r="DA240" s="9"/>
      <c r="DB240" s="9"/>
      <c r="DC240" s="9"/>
      <c r="DD240" s="9"/>
      <c r="DE240" s="9"/>
      <c r="DF240" s="9"/>
      <c r="DG240" s="9"/>
      <c r="DH240" s="9"/>
      <c r="DI240" s="9"/>
      <c r="DJ240" s="9"/>
      <c r="DK240" s="9"/>
      <c r="DL240" s="9"/>
      <c r="DM240" s="9"/>
      <c r="DN240" s="9"/>
      <c r="DO240" s="9"/>
      <c r="DP240" s="9"/>
      <c r="DQ240" s="9"/>
      <c r="DR240" s="9"/>
      <c r="DS240" s="9"/>
      <c r="DT240" s="9"/>
      <c r="DU240" s="9"/>
      <c r="DV240" s="9"/>
      <c r="DW240" s="9"/>
      <c r="DX240" s="9"/>
      <c r="DY240" s="9"/>
      <c r="DZ240" s="9"/>
      <c r="EA240" s="9"/>
      <c r="EB240" s="9"/>
      <c r="EC240" s="9"/>
      <c r="ED240" s="9"/>
      <c r="EE240" s="9"/>
      <c r="EF240" s="9"/>
      <c r="EG240" s="9"/>
      <c r="EH240" s="9"/>
      <c r="EI240" s="9"/>
      <c r="EJ240" s="9"/>
      <c r="EK240" s="9"/>
      <c r="EL240" s="9"/>
      <c r="EM240" s="9"/>
      <c r="EN240" s="9"/>
      <c r="EO240" s="9"/>
      <c r="EP240" s="9"/>
      <c r="EQ240" s="9"/>
      <c r="ER240" s="9"/>
      <c r="ES240" s="9"/>
      <c r="ET240" s="9"/>
      <c r="EU240" s="9"/>
      <c r="EV240" s="9"/>
      <c r="EW240" s="9"/>
      <c r="EX240" s="9"/>
      <c r="EY240" s="9"/>
      <c r="EZ240" s="9"/>
      <c r="FA240" s="9"/>
      <c r="FB240" s="9"/>
      <c r="FC240" s="9"/>
      <c r="FD240" s="9"/>
      <c r="FE240" s="9"/>
      <c r="FF240" s="9"/>
      <c r="FG240" s="9"/>
      <c r="FH240" s="9"/>
      <c r="FI240" s="9"/>
      <c r="FJ240" s="9"/>
      <c r="FK240" s="9"/>
      <c r="FL240" s="9"/>
      <c r="FM240" s="9"/>
      <c r="FN240" s="9"/>
      <c r="FO240" s="9"/>
      <c r="FP240" s="9"/>
      <c r="FQ240" s="9"/>
      <c r="FR240" s="9"/>
      <c r="FS240" s="9"/>
      <c r="FT240" s="9"/>
      <c r="FU240" s="9"/>
      <c r="FV240" s="9"/>
      <c r="FW240" s="9"/>
      <c r="FX240" s="9"/>
      <c r="FY240" s="9"/>
      <c r="FZ240" s="9"/>
      <c r="GA240" s="9"/>
      <c r="GB240" s="9"/>
      <c r="GC240" s="9"/>
      <c r="GD240" s="9"/>
      <c r="GE240" s="9"/>
      <c r="GF240" s="9"/>
      <c r="GG240" s="9"/>
      <c r="GH240" s="9"/>
      <c r="GI240" s="9"/>
      <c r="GJ240" s="9"/>
      <c r="GK240" s="9"/>
      <c r="GL240" s="9"/>
      <c r="GM240" s="9"/>
      <c r="GN240" s="9"/>
      <c r="GO240" s="9"/>
      <c r="GP240" s="9"/>
      <c r="GQ240" s="9"/>
      <c r="GR240" s="9"/>
      <c r="GS240" s="9"/>
      <c r="GT240" s="9"/>
      <c r="GU240" s="9"/>
      <c r="GV240" s="9"/>
      <c r="GW240" s="9"/>
      <c r="GX240" s="9"/>
      <c r="GY240" s="9"/>
      <c r="GZ240" s="9"/>
      <c r="HA240" s="9"/>
      <c r="HB240" s="9"/>
      <c r="HC240" s="9"/>
      <c r="HD240" s="9"/>
      <c r="HE240" s="9"/>
      <c r="HF240" s="9"/>
      <c r="HG240" s="9"/>
      <c r="HH240" s="9"/>
      <c r="HI240" s="9"/>
      <c r="HJ240" s="9"/>
      <c r="HK240" s="9"/>
      <c r="HL240" s="9"/>
      <c r="HM240" s="9"/>
      <c r="HN240" s="9"/>
      <c r="HO240" s="9"/>
      <c r="HP240" s="9"/>
      <c r="HQ240" s="9"/>
      <c r="HR240" s="9"/>
      <c r="HS240" s="9"/>
      <c r="HT240" s="9"/>
      <c r="HU240" s="9"/>
      <c r="HV240" s="9"/>
      <c r="HW240" s="9"/>
      <c r="HX240" s="9"/>
      <c r="HY240" s="9"/>
      <c r="HZ240" s="9"/>
      <c r="IA240" s="9"/>
      <c r="IB240" s="9"/>
      <c r="IC240" s="9"/>
      <c r="ID240" s="9"/>
      <c r="IE240" s="9"/>
      <c r="IF240" s="9"/>
      <c r="IG240" s="9"/>
      <c r="IH240" s="9"/>
      <c r="II240" s="9"/>
      <c r="IJ240" s="9"/>
      <c r="IK240" s="9"/>
      <c r="IL240" s="9"/>
      <c r="IM240" s="9"/>
      <c r="IN240" s="9"/>
      <c r="IO240" s="9"/>
      <c r="IP240" s="9"/>
      <c r="IQ240" s="9"/>
      <c r="IR240" s="9"/>
      <c r="IS240" s="9"/>
      <c r="IT240" s="9"/>
      <c r="IU240" s="9"/>
      <c r="IV240" s="9"/>
    </row>
    <row r="241" spans="1:25" ht="10.5" x14ac:dyDescent="0.2">
      <c r="A241" s="14" t="s">
        <v>1154</v>
      </c>
      <c r="B241" s="5"/>
      <c r="C241" s="5"/>
      <c r="D241" s="5"/>
      <c r="E241" s="5"/>
      <c r="F241" s="5"/>
      <c r="G241" s="5"/>
      <c r="H241" s="5"/>
      <c r="I241" s="5"/>
      <c r="J241" s="5"/>
      <c r="K241" s="5"/>
      <c r="L241" s="5"/>
      <c r="M241" s="5"/>
      <c r="N241" s="5"/>
      <c r="O241" s="5"/>
      <c r="P241" s="5"/>
      <c r="Q241" s="5"/>
      <c r="R241" s="5"/>
    </row>
    <row r="242" spans="1:25" x14ac:dyDescent="0.2">
      <c r="A242" s="5" t="s">
        <v>1155</v>
      </c>
      <c r="B242" s="21">
        <v>5.9458999999999998E-2</v>
      </c>
      <c r="C242" s="21">
        <v>7.0493E-2</v>
      </c>
      <c r="D242" s="21">
        <v>5.5350000000000003E-2</v>
      </c>
      <c r="E242" s="21">
        <v>6.3982999999999998E-2</v>
      </c>
      <c r="F242" s="21">
        <v>8.3056000000000005E-2</v>
      </c>
      <c r="G242" s="21">
        <v>4.3307999999999999E-2</v>
      </c>
      <c r="H242" s="21">
        <v>4.9667999999999997E-2</v>
      </c>
      <c r="I242" s="21">
        <v>9.7439999999999999E-2</v>
      </c>
      <c r="J242" s="21">
        <v>0.124705</v>
      </c>
      <c r="K242" s="21">
        <v>0.139487</v>
      </c>
      <c r="L242" s="21">
        <v>0.15634400000000001</v>
      </c>
      <c r="M242" s="21">
        <v>0.194267</v>
      </c>
      <c r="N242" s="21">
        <v>0.18410499999999999</v>
      </c>
      <c r="O242" s="21">
        <v>0.172095</v>
      </c>
      <c r="P242" s="21">
        <v>0.17261499999999999</v>
      </c>
      <c r="Q242" s="21">
        <v>0.13842099999999999</v>
      </c>
      <c r="R242" s="20" t="s">
        <v>52</v>
      </c>
      <c r="Y242" s="9"/>
    </row>
    <row r="243" spans="1:25" x14ac:dyDescent="0.2">
      <c r="A243" s="5" t="s">
        <v>1156</v>
      </c>
      <c r="B243" s="21">
        <v>0.13028100000000001</v>
      </c>
      <c r="C243" s="21">
        <v>0.140735</v>
      </c>
      <c r="D243" s="21">
        <v>0.15133199999999999</v>
      </c>
      <c r="E243" s="21">
        <v>0.23087199999999999</v>
      </c>
      <c r="F243" s="21">
        <v>0.324048</v>
      </c>
      <c r="G243" s="21">
        <v>0.123554</v>
      </c>
      <c r="H243" s="21">
        <v>0.12818199999999999</v>
      </c>
      <c r="I243" s="21">
        <v>0.235182</v>
      </c>
      <c r="J243" s="21">
        <v>0.269955</v>
      </c>
      <c r="K243" s="21">
        <v>0.28290900000000002</v>
      </c>
      <c r="L243" s="21">
        <v>0.34337699999999999</v>
      </c>
      <c r="M243" s="21">
        <v>0.43640400000000001</v>
      </c>
      <c r="N243" s="21">
        <v>0.38930599999999999</v>
      </c>
      <c r="O243" s="21">
        <v>0.37247200000000003</v>
      </c>
      <c r="P243" s="21">
        <v>0.36798900000000001</v>
      </c>
      <c r="Q243" s="21">
        <v>0.29430699999999999</v>
      </c>
      <c r="R243" s="20" t="s">
        <v>52</v>
      </c>
    </row>
    <row r="244" spans="1:25" x14ac:dyDescent="0.2">
      <c r="A244" s="5" t="s">
        <v>1157</v>
      </c>
      <c r="B244" s="21">
        <v>0.31624099999999999</v>
      </c>
      <c r="C244" s="21">
        <v>0.28703299999999998</v>
      </c>
      <c r="D244" s="21">
        <v>0.30094100000000001</v>
      </c>
      <c r="E244" s="21">
        <v>0.42219099999999998</v>
      </c>
      <c r="F244" s="21">
        <v>0.43688500000000002</v>
      </c>
      <c r="G244" s="21">
        <v>0.20918</v>
      </c>
      <c r="H244" s="21">
        <v>0.21692</v>
      </c>
      <c r="I244" s="21">
        <v>0.376027</v>
      </c>
      <c r="J244" s="21">
        <v>0.47253699999999998</v>
      </c>
      <c r="K244" s="21">
        <v>0.41431000000000001</v>
      </c>
      <c r="L244" s="21">
        <v>0.502583</v>
      </c>
      <c r="M244" s="21">
        <v>0.60388399999999998</v>
      </c>
      <c r="N244" s="21">
        <v>0.51859299999999997</v>
      </c>
      <c r="O244" s="21">
        <v>0.45915099999999998</v>
      </c>
      <c r="P244" s="21">
        <v>0.453287</v>
      </c>
      <c r="Q244" s="21">
        <v>0.37018699999999999</v>
      </c>
      <c r="R244" s="20" t="s">
        <v>52</v>
      </c>
    </row>
    <row r="245" spans="1:25" x14ac:dyDescent="0.2">
      <c r="A245" s="5" t="s">
        <v>1158</v>
      </c>
      <c r="B245" s="21">
        <v>0.29702400000000001</v>
      </c>
      <c r="C245" s="21">
        <v>0.25502399999999997</v>
      </c>
      <c r="D245" s="21">
        <v>0.36588500000000002</v>
      </c>
      <c r="E245" s="21">
        <v>0.42219099999999998</v>
      </c>
      <c r="F245" s="21">
        <v>0.43688500000000002</v>
      </c>
      <c r="G245" s="21">
        <v>0.20918</v>
      </c>
      <c r="H245" s="21">
        <v>0.21692</v>
      </c>
      <c r="I245" s="21">
        <v>0.376027</v>
      </c>
      <c r="J245" s="21">
        <v>0.47253699999999998</v>
      </c>
      <c r="K245" s="21">
        <v>0.41431000000000001</v>
      </c>
      <c r="L245" s="21">
        <v>0.502583</v>
      </c>
      <c r="M245" s="21">
        <v>0.60388399999999998</v>
      </c>
      <c r="N245" s="21">
        <v>0.51859299999999997</v>
      </c>
      <c r="O245" s="21">
        <v>0.45915099999999998</v>
      </c>
      <c r="P245" s="21">
        <v>0.453287</v>
      </c>
      <c r="Q245" s="21">
        <v>0.37018699999999999</v>
      </c>
      <c r="R245" s="20" t="s">
        <v>52</v>
      </c>
    </row>
    <row r="246" spans="1:25" x14ac:dyDescent="0.2">
      <c r="A246" s="5"/>
      <c r="B246" s="5"/>
      <c r="C246" s="5"/>
      <c r="D246" s="5"/>
      <c r="E246" s="5"/>
      <c r="F246" s="5"/>
      <c r="G246" s="5"/>
      <c r="H246" s="5"/>
      <c r="I246" s="5"/>
      <c r="J246" s="5"/>
      <c r="K246" s="5"/>
      <c r="L246" s="5"/>
      <c r="M246" s="5"/>
      <c r="N246" s="5"/>
      <c r="O246" s="5"/>
      <c r="P246" s="5"/>
      <c r="Q246" s="5"/>
      <c r="R246" s="5"/>
    </row>
    <row r="247" spans="1:25" ht="10.5" x14ac:dyDescent="0.2">
      <c r="A247" s="14" t="s">
        <v>723</v>
      </c>
      <c r="B247" s="5"/>
      <c r="C247" s="5"/>
      <c r="D247" s="5"/>
      <c r="E247" s="5"/>
      <c r="F247" s="5"/>
      <c r="G247" s="5"/>
      <c r="H247" s="5"/>
      <c r="I247" s="5"/>
      <c r="J247" s="5"/>
      <c r="K247" s="5"/>
      <c r="L247" s="5"/>
      <c r="M247" s="5"/>
      <c r="N247" s="5"/>
      <c r="O247" s="5"/>
      <c r="P247" s="5"/>
      <c r="Q247" s="5"/>
      <c r="R247" s="5"/>
    </row>
    <row r="248" spans="1:25" x14ac:dyDescent="0.2">
      <c r="A248" s="5" t="s">
        <v>1159</v>
      </c>
      <c r="B248" s="21">
        <v>0.17299700000000001</v>
      </c>
      <c r="C248" s="21">
        <v>0.14236499999999999</v>
      </c>
      <c r="D248" s="21">
        <v>0.185256</v>
      </c>
      <c r="E248" s="21">
        <v>0.18614800000000001</v>
      </c>
      <c r="F248" s="21">
        <v>0.170269</v>
      </c>
      <c r="G248" s="21">
        <v>0.14994199999999999</v>
      </c>
      <c r="H248" s="21">
        <v>0.16139999999999999</v>
      </c>
      <c r="I248" s="21">
        <v>0.170457</v>
      </c>
      <c r="J248" s="21">
        <v>0.19198599999999999</v>
      </c>
      <c r="K248" s="21">
        <v>0.19522</v>
      </c>
      <c r="L248" s="21">
        <v>0.19566700000000001</v>
      </c>
      <c r="M248" s="21">
        <v>0.19753899999999999</v>
      </c>
      <c r="N248" s="21">
        <v>0.185112</v>
      </c>
      <c r="O248" s="21">
        <v>0.17816699999999999</v>
      </c>
      <c r="P248" s="21">
        <v>0.17535899999999999</v>
      </c>
      <c r="Q248" s="21">
        <v>0.17241600000000001</v>
      </c>
      <c r="R248" s="21">
        <v>0.17441699999999999</v>
      </c>
    </row>
    <row r="249" spans="1:25" x14ac:dyDescent="0.2">
      <c r="A249" s="5" t="s">
        <v>1160</v>
      </c>
      <c r="B249" s="21">
        <v>0.14394999999999999</v>
      </c>
      <c r="C249" s="21">
        <v>0.117064</v>
      </c>
      <c r="D249" s="21">
        <v>0.15459600000000001</v>
      </c>
      <c r="E249" s="21">
        <v>0.144177</v>
      </c>
      <c r="F249" s="21">
        <v>0.13128000000000001</v>
      </c>
      <c r="G249" s="21">
        <v>0.129854</v>
      </c>
      <c r="H249" s="21">
        <v>0.14189099999999999</v>
      </c>
      <c r="I249" s="21">
        <v>0.13306100000000001</v>
      </c>
      <c r="J249" s="21">
        <v>0.136237</v>
      </c>
      <c r="K249" s="21">
        <v>0.129799</v>
      </c>
      <c r="L249" s="21">
        <v>0.126832</v>
      </c>
      <c r="M249" s="21">
        <v>0.123234</v>
      </c>
      <c r="N249" s="21">
        <v>0.111803</v>
      </c>
      <c r="O249" s="21">
        <v>0.108765</v>
      </c>
      <c r="P249" s="21">
        <v>0.104978</v>
      </c>
      <c r="Q249" s="21">
        <v>0.105421</v>
      </c>
      <c r="R249" s="21">
        <v>0.109233</v>
      </c>
    </row>
    <row r="250" spans="1:25" x14ac:dyDescent="0.2">
      <c r="A250" s="5" t="s">
        <v>1161</v>
      </c>
      <c r="B250" s="21">
        <v>3.3612000000000003E-2</v>
      </c>
      <c r="C250" s="21">
        <v>3.0074E-2</v>
      </c>
      <c r="D250" s="21">
        <v>3.7638999999999999E-2</v>
      </c>
      <c r="E250" s="21">
        <v>4.5620000000000001E-2</v>
      </c>
      <c r="F250" s="21">
        <v>4.2632999999999997E-2</v>
      </c>
      <c r="G250" s="21">
        <v>2.3869000000000001E-2</v>
      </c>
      <c r="H250" s="21">
        <v>2.2085E-2</v>
      </c>
      <c r="I250" s="21">
        <v>3.8421999999999998E-2</v>
      </c>
      <c r="J250" s="21">
        <v>5.6721000000000001E-2</v>
      </c>
      <c r="K250" s="21">
        <v>6.7840999999999999E-2</v>
      </c>
      <c r="L250" s="21">
        <v>7.0704000000000003E-2</v>
      </c>
      <c r="M250" s="21">
        <v>7.5386999999999996E-2</v>
      </c>
      <c r="N250" s="21">
        <v>7.4870000000000006E-2</v>
      </c>
      <c r="O250" s="21">
        <v>7.1853E-2</v>
      </c>
      <c r="P250" s="21">
        <v>7.3481000000000005E-2</v>
      </c>
      <c r="Q250" s="21">
        <v>6.9413000000000002E-2</v>
      </c>
      <c r="R250" s="21">
        <v>6.7538000000000001E-2</v>
      </c>
    </row>
    <row r="251" spans="1:25" x14ac:dyDescent="0.2">
      <c r="A251" s="5" t="s">
        <v>1162</v>
      </c>
      <c r="B251" s="21">
        <v>2.9047E-2</v>
      </c>
      <c r="C251" s="21">
        <v>2.5301000000000001E-2</v>
      </c>
      <c r="D251" s="21">
        <v>3.1995000000000003E-2</v>
      </c>
      <c r="E251" s="21">
        <v>4.197E-2</v>
      </c>
      <c r="F251" s="21">
        <v>3.8989000000000003E-2</v>
      </c>
      <c r="G251" s="21">
        <v>2.0088000000000002E-2</v>
      </c>
      <c r="H251" s="21">
        <v>1.9508000000000001E-2</v>
      </c>
      <c r="I251" s="21">
        <v>3.7395999999999999E-2</v>
      </c>
      <c r="J251" s="21">
        <v>5.5747999999999999E-2</v>
      </c>
      <c r="K251" s="21">
        <v>6.5420000000000006E-2</v>
      </c>
      <c r="L251" s="21">
        <v>6.8834000000000006E-2</v>
      </c>
      <c r="M251" s="21">
        <v>7.4303999999999995E-2</v>
      </c>
      <c r="N251" s="21">
        <v>7.3308999999999999E-2</v>
      </c>
      <c r="O251" s="21">
        <v>6.9153999999999993E-2</v>
      </c>
      <c r="P251" s="21">
        <v>7.0379999999999998E-2</v>
      </c>
      <c r="Q251" s="21">
        <v>6.6403000000000004E-2</v>
      </c>
      <c r="R251" s="21">
        <v>6.4616999999999994E-2</v>
      </c>
    </row>
    <row r="252" spans="1:25" x14ac:dyDescent="0.2">
      <c r="A252" s="5" t="s">
        <v>1163</v>
      </c>
      <c r="B252" s="21">
        <v>2.9047E-2</v>
      </c>
      <c r="C252" s="21">
        <v>2.5301000000000001E-2</v>
      </c>
      <c r="D252" s="21">
        <v>3.0658999999999999E-2</v>
      </c>
      <c r="E252" s="21">
        <v>4.197E-2</v>
      </c>
      <c r="F252" s="21">
        <v>3.8989000000000003E-2</v>
      </c>
      <c r="G252" s="21">
        <v>2.0088000000000002E-2</v>
      </c>
      <c r="H252" s="21">
        <v>1.9508000000000001E-2</v>
      </c>
      <c r="I252" s="21">
        <v>3.7395999999999999E-2</v>
      </c>
      <c r="J252" s="21">
        <v>5.5747999999999999E-2</v>
      </c>
      <c r="K252" s="21">
        <v>6.5420000000000006E-2</v>
      </c>
      <c r="L252" s="21">
        <v>6.8834000000000006E-2</v>
      </c>
      <c r="M252" s="21">
        <v>7.4303999999999995E-2</v>
      </c>
      <c r="N252" s="21">
        <v>7.3308999999999999E-2</v>
      </c>
      <c r="O252" s="21">
        <v>6.9153999999999993E-2</v>
      </c>
      <c r="P252" s="21">
        <v>7.0379999999999998E-2</v>
      </c>
      <c r="Q252" s="21">
        <v>6.6403000000000004E-2</v>
      </c>
      <c r="R252" s="21">
        <v>6.4616999999999994E-2</v>
      </c>
    </row>
    <row r="253" spans="1:25" x14ac:dyDescent="0.2">
      <c r="A253" s="5" t="s">
        <v>1164</v>
      </c>
      <c r="B253" s="21">
        <v>1.9615E-2</v>
      </c>
      <c r="C253" s="21">
        <v>1.4055E-2</v>
      </c>
      <c r="D253" s="21">
        <v>1.7054E-2</v>
      </c>
      <c r="E253" s="21">
        <v>2.9826999999999999E-2</v>
      </c>
      <c r="F253" s="21">
        <v>3.2839E-2</v>
      </c>
      <c r="G253" s="21">
        <v>1.4344000000000001E-2</v>
      </c>
      <c r="H253" s="21">
        <v>1.201E-2</v>
      </c>
      <c r="I253" s="21">
        <v>2.3188E-2</v>
      </c>
      <c r="J253" s="21">
        <v>3.8112E-2</v>
      </c>
      <c r="K253" s="21">
        <v>4.5497000000000003E-2</v>
      </c>
      <c r="L253" s="21">
        <v>4.845E-2</v>
      </c>
      <c r="M253" s="21">
        <v>5.2613E-2</v>
      </c>
      <c r="N253" s="21">
        <v>5.6555000000000001E-2</v>
      </c>
      <c r="O253" s="21">
        <v>5.2016E-2</v>
      </c>
      <c r="P253" s="21">
        <v>5.4184000000000003E-2</v>
      </c>
      <c r="Q253" s="21">
        <v>5.2201999999999998E-2</v>
      </c>
      <c r="R253" s="21">
        <v>4.7288999999999998E-2</v>
      </c>
    </row>
    <row r="254" spans="1:25" x14ac:dyDescent="0.2">
      <c r="A254" s="5" t="s">
        <v>1165</v>
      </c>
      <c r="B254" s="21">
        <v>1.0737999999999999E-2</v>
      </c>
      <c r="C254" s="21">
        <v>8.2349999999999993E-3</v>
      </c>
      <c r="D254" s="21">
        <v>1.7054E-2</v>
      </c>
      <c r="E254" s="21">
        <v>2.9826999999999999E-2</v>
      </c>
      <c r="F254" s="21">
        <v>3.2839E-2</v>
      </c>
      <c r="G254" s="21">
        <v>1.4344000000000001E-2</v>
      </c>
      <c r="H254" s="21">
        <v>1.201E-2</v>
      </c>
      <c r="I254" s="21">
        <v>2.3188E-2</v>
      </c>
      <c r="J254" s="21">
        <v>3.8112E-2</v>
      </c>
      <c r="K254" s="21">
        <v>4.5497000000000003E-2</v>
      </c>
      <c r="L254" s="21">
        <v>4.845E-2</v>
      </c>
      <c r="M254" s="21">
        <v>5.2613E-2</v>
      </c>
      <c r="N254" s="21">
        <v>5.6555000000000001E-2</v>
      </c>
      <c r="O254" s="21">
        <v>5.2016E-2</v>
      </c>
      <c r="P254" s="21">
        <v>5.4184000000000003E-2</v>
      </c>
      <c r="Q254" s="21">
        <v>5.2201999999999998E-2</v>
      </c>
      <c r="R254" s="21">
        <v>4.7288999999999998E-2</v>
      </c>
    </row>
    <row r="255" spans="1:25" x14ac:dyDescent="0.2">
      <c r="A255" s="5" t="s">
        <v>1166</v>
      </c>
      <c r="B255" s="21">
        <v>1.0737999999999999E-2</v>
      </c>
      <c r="C255" s="21">
        <v>7.1529999999999996E-3</v>
      </c>
      <c r="D255" s="21">
        <v>1.7054E-2</v>
      </c>
      <c r="E255" s="21">
        <v>2.9826999999999999E-2</v>
      </c>
      <c r="F255" s="21">
        <v>3.2839E-2</v>
      </c>
      <c r="G255" s="21">
        <v>1.4344000000000001E-2</v>
      </c>
      <c r="H255" s="21">
        <v>1.201E-2</v>
      </c>
      <c r="I255" s="21">
        <v>2.3188E-2</v>
      </c>
      <c r="J255" s="21">
        <v>3.8112E-2</v>
      </c>
      <c r="K255" s="21">
        <v>4.5497000000000003E-2</v>
      </c>
      <c r="L255" s="21">
        <v>4.845E-2</v>
      </c>
      <c r="M255" s="21">
        <v>5.2613E-2</v>
      </c>
      <c r="N255" s="21">
        <v>5.6555000000000001E-2</v>
      </c>
      <c r="O255" s="21">
        <v>5.2016E-2</v>
      </c>
      <c r="P255" s="21">
        <v>5.4184000000000003E-2</v>
      </c>
      <c r="Q255" s="21">
        <v>5.2201999999999998E-2</v>
      </c>
      <c r="R255" s="21">
        <v>4.7288999999999998E-2</v>
      </c>
    </row>
    <row r="256" spans="1:25" x14ac:dyDescent="0.2">
      <c r="A256" s="5" t="s">
        <v>1167</v>
      </c>
      <c r="B256" s="21">
        <v>6.96E-3</v>
      </c>
      <c r="C256" s="21">
        <v>6.483E-3</v>
      </c>
      <c r="D256" s="21">
        <v>1.8651000000000001E-2</v>
      </c>
      <c r="E256" s="21">
        <v>2.6655999999999999E-2</v>
      </c>
      <c r="F256" s="21">
        <v>4.3757999999999998E-2</v>
      </c>
      <c r="G256" s="21">
        <v>1.328E-2</v>
      </c>
      <c r="H256" s="21">
        <v>1.2623000000000001E-2</v>
      </c>
      <c r="I256" s="21">
        <v>2.4362000000000002E-2</v>
      </c>
      <c r="J256" s="21">
        <v>3.6662E-2</v>
      </c>
      <c r="K256" s="21">
        <v>4.2065999999999999E-2</v>
      </c>
      <c r="L256" s="21">
        <v>4.2979000000000003E-2</v>
      </c>
      <c r="M256" s="21">
        <v>4.6605000000000001E-2</v>
      </c>
      <c r="N256" s="21">
        <v>4.6095999999999998E-2</v>
      </c>
      <c r="O256" s="21">
        <v>4.3348999999999999E-2</v>
      </c>
      <c r="P256" s="21">
        <v>4.4114E-2</v>
      </c>
      <c r="Q256" s="21">
        <v>4.1706E-2</v>
      </c>
      <c r="R256" s="21">
        <v>4.0606000000000003E-2</v>
      </c>
    </row>
    <row r="257" spans="1:18" x14ac:dyDescent="0.2">
      <c r="A257" s="5" t="s">
        <v>1168</v>
      </c>
      <c r="B257" s="21">
        <v>-6.9692000000000004E-2</v>
      </c>
      <c r="C257" s="21">
        <v>-6.6200000000000005E-4</v>
      </c>
      <c r="D257" s="21">
        <v>-2.4781000000000001E-2</v>
      </c>
      <c r="E257" s="21">
        <v>0.15787399999999999</v>
      </c>
      <c r="F257" s="21">
        <v>-2.5010000000000001E-2</v>
      </c>
      <c r="G257" s="21">
        <v>-2.4583000000000001E-2</v>
      </c>
      <c r="H257" s="21">
        <v>2.9E-4</v>
      </c>
      <c r="I257" s="21">
        <v>2.8105000000000002E-2</v>
      </c>
      <c r="J257" s="21">
        <v>4.9029000000000003E-2</v>
      </c>
      <c r="K257" s="21">
        <v>4.0919999999999998E-2</v>
      </c>
      <c r="L257" s="21">
        <v>3.8829000000000002E-2</v>
      </c>
      <c r="M257" s="21">
        <v>-1.7961999999999999E-2</v>
      </c>
      <c r="N257" s="21">
        <v>7.6099999999999996E-3</v>
      </c>
      <c r="O257" s="21">
        <v>2.6634999999999999E-2</v>
      </c>
      <c r="P257" s="21">
        <v>5.3855E-2</v>
      </c>
      <c r="Q257" s="21">
        <v>6.4184000000000005E-2</v>
      </c>
      <c r="R257" s="20" t="s">
        <v>52</v>
      </c>
    </row>
    <row r="258" spans="1:18" x14ac:dyDescent="0.2">
      <c r="A258" s="5" t="s">
        <v>1169</v>
      </c>
      <c r="B258" s="21">
        <v>-6.7375000000000004E-2</v>
      </c>
      <c r="C258" s="21">
        <v>1.7650000000000001E-3</v>
      </c>
      <c r="D258" s="21">
        <v>-2.427E-2</v>
      </c>
      <c r="E258" s="21">
        <v>0.158029</v>
      </c>
      <c r="F258" s="21">
        <v>-2.4972000000000001E-2</v>
      </c>
      <c r="G258" s="21">
        <v>-2.4409E-2</v>
      </c>
      <c r="H258" s="21">
        <v>5.7399999999999997E-4</v>
      </c>
      <c r="I258" s="21">
        <v>2.8164999999999999E-2</v>
      </c>
      <c r="J258" s="21">
        <v>4.9036999999999997E-2</v>
      </c>
      <c r="K258" s="21">
        <v>4.0925000000000003E-2</v>
      </c>
      <c r="L258" s="21">
        <v>3.9067999999999999E-2</v>
      </c>
      <c r="M258" s="21">
        <v>-1.7961000000000001E-2</v>
      </c>
      <c r="N258" s="21">
        <v>7.6099999999999996E-3</v>
      </c>
      <c r="O258" s="21">
        <v>2.6634999999999999E-2</v>
      </c>
      <c r="P258" s="21">
        <v>5.3855E-2</v>
      </c>
      <c r="Q258" s="21">
        <v>6.4184000000000005E-2</v>
      </c>
      <c r="R258" s="20" t="s">
        <v>52</v>
      </c>
    </row>
    <row r="259" spans="1:18" x14ac:dyDescent="0.2">
      <c r="A259" s="5"/>
      <c r="B259" s="5"/>
      <c r="C259" s="5"/>
      <c r="D259" s="5"/>
      <c r="E259" s="5"/>
      <c r="F259" s="5"/>
      <c r="G259" s="5"/>
      <c r="H259" s="5"/>
      <c r="I259" s="5"/>
      <c r="J259" s="5"/>
      <c r="K259" s="5"/>
      <c r="L259" s="5"/>
      <c r="M259" s="5"/>
      <c r="N259" s="5"/>
      <c r="O259" s="5"/>
      <c r="P259" s="5"/>
      <c r="Q259" s="5"/>
      <c r="R259" s="5"/>
    </row>
    <row r="260" spans="1:18" ht="10.5" x14ac:dyDescent="0.2">
      <c r="A260" s="14" t="s">
        <v>1170</v>
      </c>
      <c r="B260" s="5"/>
      <c r="C260" s="5"/>
      <c r="D260" s="5"/>
      <c r="E260" s="5"/>
      <c r="F260" s="5"/>
      <c r="G260" s="5"/>
      <c r="H260" s="5"/>
      <c r="I260" s="5"/>
      <c r="J260" s="5"/>
      <c r="K260" s="5"/>
      <c r="L260" s="5"/>
      <c r="M260" s="5"/>
      <c r="N260" s="5"/>
      <c r="O260" s="5"/>
      <c r="P260" s="5"/>
      <c r="Q260" s="5"/>
      <c r="R260" s="5"/>
    </row>
    <row r="261" spans="1:18" x14ac:dyDescent="0.2">
      <c r="A261" s="5" t="s">
        <v>1171</v>
      </c>
      <c r="B261" s="27">
        <v>3.2751999999999999</v>
      </c>
      <c r="C261" s="27">
        <v>4.4578249999999997</v>
      </c>
      <c r="D261" s="27">
        <v>2.888547</v>
      </c>
      <c r="E261" s="27">
        <v>2.4391720000000001</v>
      </c>
      <c r="F261" s="27">
        <v>3.4084120000000002</v>
      </c>
      <c r="G261" s="27">
        <v>3.4494630000000002</v>
      </c>
      <c r="H261" s="27">
        <v>4.0735950000000001</v>
      </c>
      <c r="I261" s="27">
        <v>4.1689379999999998</v>
      </c>
      <c r="J261" s="27">
        <v>3.5790649999999999</v>
      </c>
      <c r="K261" s="27">
        <v>3.4114550000000001</v>
      </c>
      <c r="L261" s="27">
        <v>3.6340919999999999</v>
      </c>
      <c r="M261" s="27">
        <v>4.1831480000000001</v>
      </c>
      <c r="N261" s="27">
        <v>4.0181630000000004</v>
      </c>
      <c r="O261" s="27">
        <v>3.981722</v>
      </c>
      <c r="P261" s="27">
        <v>3.9241570000000001</v>
      </c>
      <c r="Q261" s="27">
        <v>3.3352949999999999</v>
      </c>
      <c r="R261" s="20" t="s">
        <v>52</v>
      </c>
    </row>
    <row r="262" spans="1:18" x14ac:dyDescent="0.2">
      <c r="A262" s="5" t="s">
        <v>1172</v>
      </c>
      <c r="B262" s="27">
        <v>51.547685000000001</v>
      </c>
      <c r="C262" s="27">
        <v>66.844610000000003</v>
      </c>
      <c r="D262" s="27">
        <v>86.663010999999997</v>
      </c>
      <c r="E262" s="27">
        <v>105.590288</v>
      </c>
      <c r="F262" s="27">
        <v>96.600622000000001</v>
      </c>
      <c r="G262" s="27">
        <v>87.833511999999999</v>
      </c>
      <c r="H262" s="27">
        <v>133.63687400000001</v>
      </c>
      <c r="I262" s="27">
        <v>211.45006000000001</v>
      </c>
      <c r="J262" s="27">
        <v>201.98916800000001</v>
      </c>
      <c r="K262" s="27">
        <v>221.657039</v>
      </c>
      <c r="L262" s="27" t="s">
        <v>1173</v>
      </c>
      <c r="M262" s="27" t="s">
        <v>1173</v>
      </c>
      <c r="N262" s="27">
        <v>112.550535</v>
      </c>
      <c r="O262" s="27">
        <v>71.646761999999995</v>
      </c>
      <c r="P262" s="27">
        <v>77.914707000000007</v>
      </c>
      <c r="Q262" s="27">
        <v>87.633636999999993</v>
      </c>
      <c r="R262" s="20" t="s">
        <v>52</v>
      </c>
    </row>
    <row r="263" spans="1:18" x14ac:dyDescent="0.2">
      <c r="A263" s="5" t="s">
        <v>1174</v>
      </c>
      <c r="B263" s="27">
        <v>3.8046000000000002</v>
      </c>
      <c r="C263" s="27">
        <v>5.2536690000000004</v>
      </c>
      <c r="D263" s="27">
        <v>3.3669539999999998</v>
      </c>
      <c r="E263" s="27">
        <v>3.0316890000000001</v>
      </c>
      <c r="F263" s="27">
        <v>4.5035509999999999</v>
      </c>
      <c r="G263" s="27">
        <v>4.4662509999999997</v>
      </c>
      <c r="H263" s="27">
        <v>4.8816639999999998</v>
      </c>
      <c r="I263" s="27">
        <v>5.3499889999999999</v>
      </c>
      <c r="J263" s="27">
        <v>5.4966900000000001</v>
      </c>
      <c r="K263" s="27">
        <v>5.8098099999999997</v>
      </c>
      <c r="L263" s="27">
        <v>5.9503779999999997</v>
      </c>
      <c r="M263" s="27">
        <v>5.8420579999999998</v>
      </c>
      <c r="N263" s="27">
        <v>5.4985150000000003</v>
      </c>
      <c r="O263" s="27">
        <v>5.5227589999999998</v>
      </c>
      <c r="P263" s="27">
        <v>5.9161760000000001</v>
      </c>
      <c r="Q263" s="27">
        <v>5.8467979999999997</v>
      </c>
      <c r="R263" s="20" t="s">
        <v>52</v>
      </c>
    </row>
    <row r="264" spans="1:18" x14ac:dyDescent="0.2">
      <c r="A264" s="5" t="s">
        <v>1175</v>
      </c>
      <c r="B264" s="27">
        <v>139.01180500000001</v>
      </c>
      <c r="C264" s="27">
        <v>107.88678400000001</v>
      </c>
      <c r="D264" s="27">
        <v>38.957296999999997</v>
      </c>
      <c r="E264" s="27">
        <v>40.967699000000003</v>
      </c>
      <c r="F264" s="27">
        <v>158.93597399999999</v>
      </c>
      <c r="G264" s="27">
        <v>195.79116999999999</v>
      </c>
      <c r="H264" s="27">
        <v>267.477013</v>
      </c>
      <c r="I264" s="27">
        <v>257.407239</v>
      </c>
      <c r="J264" s="27">
        <v>206.354804</v>
      </c>
      <c r="K264" s="27">
        <v>273.17422900000003</v>
      </c>
      <c r="L264" s="27">
        <v>214.10087799999999</v>
      </c>
      <c r="M264" s="27">
        <v>187.99254199999999</v>
      </c>
      <c r="N264" s="27">
        <v>162.591925</v>
      </c>
      <c r="O264" s="27">
        <v>103.47813600000001</v>
      </c>
      <c r="P264" s="27">
        <v>95.041701000000003</v>
      </c>
      <c r="Q264" s="27">
        <v>138.317398</v>
      </c>
      <c r="R264" s="20" t="s">
        <v>52</v>
      </c>
    </row>
    <row r="265" spans="1:18" x14ac:dyDescent="0.2">
      <c r="A265" s="5"/>
      <c r="B265" s="5"/>
      <c r="C265" s="5"/>
      <c r="D265" s="5"/>
      <c r="E265" s="5"/>
      <c r="F265" s="5"/>
      <c r="G265" s="5"/>
      <c r="H265" s="5"/>
      <c r="I265" s="5"/>
      <c r="J265" s="5"/>
      <c r="K265" s="5"/>
      <c r="L265" s="5"/>
      <c r="M265" s="5"/>
      <c r="N265" s="5"/>
      <c r="O265" s="5"/>
      <c r="P265" s="5"/>
      <c r="Q265" s="5"/>
      <c r="R265" s="5"/>
    </row>
    <row r="266" spans="1:18" ht="10.5" x14ac:dyDescent="0.2">
      <c r="A266" s="14" t="s">
        <v>1176</v>
      </c>
      <c r="B266" s="5"/>
      <c r="C266" s="5"/>
      <c r="D266" s="5"/>
      <c r="E266" s="5"/>
      <c r="F266" s="5"/>
      <c r="G266" s="5"/>
      <c r="H266" s="5"/>
      <c r="I266" s="5"/>
      <c r="J266" s="5"/>
      <c r="K266" s="5"/>
      <c r="L266" s="5"/>
      <c r="M266" s="5"/>
      <c r="N266" s="5"/>
      <c r="O266" s="5"/>
      <c r="P266" s="5"/>
      <c r="Q266" s="5"/>
      <c r="R266" s="5"/>
    </row>
    <row r="267" spans="1:18" x14ac:dyDescent="0.2">
      <c r="A267" s="5" t="s">
        <v>1177</v>
      </c>
      <c r="B267" s="27">
        <v>1.174952</v>
      </c>
      <c r="C267" s="27">
        <v>1.2140340000000001</v>
      </c>
      <c r="D267" s="27">
        <v>1.109213</v>
      </c>
      <c r="E267" s="27">
        <v>1.126088</v>
      </c>
      <c r="F267" s="27">
        <v>1.334708</v>
      </c>
      <c r="G267" s="27">
        <v>1.185667</v>
      </c>
      <c r="H267" s="27">
        <v>1.317299</v>
      </c>
      <c r="I267" s="27">
        <v>1.314114</v>
      </c>
      <c r="J267" s="27">
        <v>1.4378169999999999</v>
      </c>
      <c r="K267" s="27">
        <v>1.7142809999999999</v>
      </c>
      <c r="L267" s="27">
        <v>1.40011</v>
      </c>
      <c r="M267" s="27">
        <v>1.7007080000000001</v>
      </c>
      <c r="N267" s="27">
        <v>1.7420249999999999</v>
      </c>
      <c r="O267" s="27">
        <v>1.6959599999999999</v>
      </c>
      <c r="P267" s="27">
        <v>1.8311770000000001</v>
      </c>
      <c r="Q267" s="27">
        <v>1.7859499999999999</v>
      </c>
      <c r="R267" s="27">
        <v>1.5487709999999999</v>
      </c>
    </row>
    <row r="268" spans="1:18" x14ac:dyDescent="0.2">
      <c r="A268" s="5" t="s">
        <v>1178</v>
      </c>
      <c r="B268" s="27">
        <v>1.095089</v>
      </c>
      <c r="C268" s="27">
        <v>1.1244369999999999</v>
      </c>
      <c r="D268" s="27">
        <v>1.0106470000000001</v>
      </c>
      <c r="E268" s="27">
        <v>1.070306</v>
      </c>
      <c r="F268" s="27">
        <v>1.2771790000000001</v>
      </c>
      <c r="G268" s="27">
        <v>1.1358680000000001</v>
      </c>
      <c r="H268" s="27">
        <v>1.272051</v>
      </c>
      <c r="I268" s="27">
        <v>1.261897</v>
      </c>
      <c r="J268" s="27">
        <v>1.389303</v>
      </c>
      <c r="K268" s="27">
        <v>1.6609039999999999</v>
      </c>
      <c r="L268" s="27">
        <v>1.3464320000000001</v>
      </c>
      <c r="M268" s="27">
        <v>1.5870329999999999</v>
      </c>
      <c r="N268" s="27">
        <v>1.5615300000000001</v>
      </c>
      <c r="O268" s="27">
        <v>1.50007</v>
      </c>
      <c r="P268" s="27">
        <v>1.7130209999999999</v>
      </c>
      <c r="Q268" s="27">
        <v>1.71227</v>
      </c>
      <c r="R268" s="27">
        <v>1.4854179999999999</v>
      </c>
    </row>
    <row r="269" spans="1:18" x14ac:dyDescent="0.2">
      <c r="A269" s="5" t="s">
        <v>1179</v>
      </c>
      <c r="B269" s="27" t="s">
        <v>1173</v>
      </c>
      <c r="C269" s="27">
        <v>0.109108</v>
      </c>
      <c r="D269" s="27" t="s">
        <v>1173</v>
      </c>
      <c r="E269" s="27">
        <v>0.50820699999999996</v>
      </c>
      <c r="F269" s="27" t="s">
        <v>1173</v>
      </c>
      <c r="G269" s="27" t="s">
        <v>1173</v>
      </c>
      <c r="H269" s="27">
        <v>3.4430000000000002E-2</v>
      </c>
      <c r="I269" s="27">
        <v>0.193213</v>
      </c>
      <c r="J269" s="27">
        <v>0.30752000000000002</v>
      </c>
      <c r="K269" s="27">
        <v>0.374668</v>
      </c>
      <c r="L269" s="27">
        <v>0.28062300000000001</v>
      </c>
      <c r="M269" s="27">
        <v>4.1995999999999999E-2</v>
      </c>
      <c r="N269" s="27">
        <v>0.29269800000000001</v>
      </c>
      <c r="O269" s="27">
        <v>0.300122</v>
      </c>
      <c r="P269" s="27">
        <v>0.45874500000000001</v>
      </c>
      <c r="Q269" s="27">
        <v>0.42497000000000001</v>
      </c>
      <c r="R269" s="27">
        <v>0.50661599999999996</v>
      </c>
    </row>
    <row r="270" spans="1:18" x14ac:dyDescent="0.2">
      <c r="A270" s="5" t="s">
        <v>1180</v>
      </c>
      <c r="B270" s="15">
        <v>96.199073999999996</v>
      </c>
      <c r="C270" s="15">
        <v>69.475194999999999</v>
      </c>
      <c r="D270" s="15">
        <v>108.40646</v>
      </c>
      <c r="E270" s="15">
        <v>120.394885</v>
      </c>
      <c r="F270" s="15">
        <v>81.268835999999993</v>
      </c>
      <c r="G270" s="15">
        <v>81.723865000000004</v>
      </c>
      <c r="H270" s="15">
        <v>74.76952</v>
      </c>
      <c r="I270" s="15">
        <v>68.224339999999998</v>
      </c>
      <c r="J270" s="15">
        <v>66.585282000000007</v>
      </c>
      <c r="K270" s="15">
        <v>62.824530000000003</v>
      </c>
      <c r="L270" s="15">
        <v>61.340440000000001</v>
      </c>
      <c r="M270" s="15">
        <v>62.477780000000003</v>
      </c>
      <c r="N270" s="15">
        <v>66.563321999999999</v>
      </c>
      <c r="O270" s="15">
        <v>66.089820000000003</v>
      </c>
      <c r="P270" s="15">
        <v>61.695219999999999</v>
      </c>
      <c r="Q270" s="15">
        <v>62.427045</v>
      </c>
      <c r="R270" s="15" t="s">
        <v>52</v>
      </c>
    </row>
    <row r="271" spans="1:18" x14ac:dyDescent="0.2">
      <c r="A271" s="5" t="s">
        <v>1181</v>
      </c>
      <c r="B271" s="15">
        <v>2.632638</v>
      </c>
      <c r="C271" s="15">
        <v>3.3828200000000002</v>
      </c>
      <c r="D271" s="15">
        <v>9.3691849999999999</v>
      </c>
      <c r="E271" s="15">
        <v>8.9092850000000006</v>
      </c>
      <c r="F271" s="15">
        <v>2.3025060000000002</v>
      </c>
      <c r="G271" s="15">
        <v>1.864055</v>
      </c>
      <c r="H271" s="15">
        <v>1.3643700000000001</v>
      </c>
      <c r="I271" s="15">
        <v>1.4176599999999999</v>
      </c>
      <c r="J271" s="15">
        <v>1.773636</v>
      </c>
      <c r="K271" s="15">
        <v>1.3359000000000001</v>
      </c>
      <c r="L271" s="15">
        <v>1.70455</v>
      </c>
      <c r="M271" s="15">
        <v>1.941435</v>
      </c>
      <c r="N271" s="15">
        <v>2.2509000000000001</v>
      </c>
      <c r="O271" s="15">
        <v>3.5269949999999999</v>
      </c>
      <c r="P271" s="15">
        <v>3.8401649999999998</v>
      </c>
      <c r="Q271" s="15">
        <v>2.638585</v>
      </c>
      <c r="R271" s="15" t="s">
        <v>52</v>
      </c>
    </row>
    <row r="272" spans="1:18" x14ac:dyDescent="0.2">
      <c r="A272" s="5" t="s">
        <v>1182</v>
      </c>
      <c r="B272" s="15">
        <v>44.625647999999998</v>
      </c>
      <c r="C272" s="15">
        <v>31.85866</v>
      </c>
      <c r="D272" s="15">
        <v>62.515374999999999</v>
      </c>
      <c r="E272" s="15">
        <v>86.155330000000006</v>
      </c>
      <c r="F272" s="15">
        <v>65.244258000000002</v>
      </c>
      <c r="G272" s="15">
        <v>56.02093</v>
      </c>
      <c r="H272" s="15">
        <v>40.164234999999998</v>
      </c>
      <c r="I272" s="15">
        <v>35.809055000000001</v>
      </c>
      <c r="J272" s="15">
        <v>38.357897999999999</v>
      </c>
      <c r="K272" s="15">
        <v>36.271144999999997</v>
      </c>
      <c r="L272" s="15">
        <v>36.791634999999999</v>
      </c>
      <c r="M272" s="15">
        <v>31.177569999999999</v>
      </c>
      <c r="N272" s="15">
        <v>27.452928</v>
      </c>
      <c r="O272" s="15">
        <v>31.504245000000001</v>
      </c>
      <c r="P272" s="15">
        <v>36.239755000000002</v>
      </c>
      <c r="Q272" s="15">
        <v>44.297494999999998</v>
      </c>
      <c r="R272" s="15" t="s">
        <v>52</v>
      </c>
    </row>
    <row r="273" spans="1:18" x14ac:dyDescent="0.2">
      <c r="A273" s="5" t="s">
        <v>1183</v>
      </c>
      <c r="B273" s="15">
        <v>54.206063999999998</v>
      </c>
      <c r="C273" s="15">
        <v>40.999355000000001</v>
      </c>
      <c r="D273" s="15">
        <v>55.260269999999998</v>
      </c>
      <c r="E273" s="15">
        <v>43.14884</v>
      </c>
      <c r="F273" s="15">
        <v>18.327083999999999</v>
      </c>
      <c r="G273" s="15">
        <v>27.566990000000001</v>
      </c>
      <c r="H273" s="15">
        <v>35.969655000000003</v>
      </c>
      <c r="I273" s="15">
        <v>33.832945000000002</v>
      </c>
      <c r="J273" s="15">
        <v>30.00102</v>
      </c>
      <c r="K273" s="15">
        <v>27.889285000000001</v>
      </c>
      <c r="L273" s="15">
        <v>26.253354999999999</v>
      </c>
      <c r="M273" s="15">
        <v>33.241644999999998</v>
      </c>
      <c r="N273" s="15">
        <v>41.361294000000001</v>
      </c>
      <c r="O273" s="15">
        <v>38.112569999999998</v>
      </c>
      <c r="P273" s="15">
        <v>29.295629999999999</v>
      </c>
      <c r="Q273" s="15">
        <v>20.768135000000001</v>
      </c>
      <c r="R273" s="15" t="s">
        <v>52</v>
      </c>
    </row>
    <row r="274" spans="1:18" x14ac:dyDescent="0.2">
      <c r="A274" s="5"/>
      <c r="B274" s="5"/>
      <c r="C274" s="5"/>
      <c r="D274" s="5"/>
      <c r="E274" s="5"/>
      <c r="F274" s="5"/>
      <c r="G274" s="5"/>
      <c r="H274" s="5"/>
      <c r="I274" s="5"/>
      <c r="J274" s="5"/>
      <c r="K274" s="5"/>
      <c r="L274" s="5"/>
      <c r="M274" s="5"/>
      <c r="N274" s="5"/>
      <c r="O274" s="5"/>
      <c r="P274" s="5"/>
      <c r="Q274" s="5"/>
      <c r="R274" s="5"/>
    </row>
    <row r="275" spans="1:18" ht="10.5" x14ac:dyDescent="0.2">
      <c r="A275" s="14" t="s">
        <v>1184</v>
      </c>
      <c r="B275" s="5"/>
      <c r="C275" s="5"/>
      <c r="D275" s="5"/>
      <c r="E275" s="5"/>
      <c r="F275" s="5"/>
      <c r="G275" s="5"/>
      <c r="H275" s="5"/>
      <c r="I275" s="5"/>
      <c r="J275" s="5"/>
      <c r="K275" s="5"/>
      <c r="L275" s="5"/>
      <c r="M275" s="5"/>
      <c r="N275" s="5"/>
      <c r="O275" s="5"/>
      <c r="P275" s="5"/>
      <c r="Q275" s="5"/>
      <c r="R275" s="5"/>
    </row>
    <row r="276" spans="1:18" x14ac:dyDescent="0.2">
      <c r="A276" s="5" t="s">
        <v>1185</v>
      </c>
      <c r="B276" s="21">
        <v>1.537426</v>
      </c>
      <c r="C276" s="21">
        <v>1.11669</v>
      </c>
      <c r="D276" s="21">
        <v>1.3167949999999999</v>
      </c>
      <c r="E276" s="21">
        <v>1.0449999999999999E-3</v>
      </c>
      <c r="F276" s="20" t="s">
        <v>52</v>
      </c>
      <c r="G276" s="21">
        <v>1.198391</v>
      </c>
      <c r="H276" s="21">
        <v>0.36636400000000002</v>
      </c>
      <c r="I276" s="21">
        <v>0.76922000000000001</v>
      </c>
      <c r="J276" s="21">
        <v>0.486155</v>
      </c>
      <c r="K276" s="21">
        <v>0.203261</v>
      </c>
      <c r="L276" s="21">
        <v>0.40895199999999998</v>
      </c>
      <c r="M276" s="21">
        <v>0.122789</v>
      </c>
      <c r="N276" s="21">
        <v>5.2748999999999997E-2</v>
      </c>
      <c r="O276" s="20" t="s">
        <v>52</v>
      </c>
      <c r="P276" s="20" t="s">
        <v>52</v>
      </c>
      <c r="Q276" s="20" t="s">
        <v>52</v>
      </c>
      <c r="R276" s="20" t="s">
        <v>52</v>
      </c>
    </row>
    <row r="277" spans="1:18" x14ac:dyDescent="0.2">
      <c r="A277" s="5" t="s">
        <v>1186</v>
      </c>
      <c r="B277" s="21">
        <v>0.60589899999999997</v>
      </c>
      <c r="C277" s="21">
        <v>0.52756400000000003</v>
      </c>
      <c r="D277" s="21">
        <v>0.56836900000000001</v>
      </c>
      <c r="E277" s="21">
        <v>1.044E-3</v>
      </c>
      <c r="F277" s="20" t="s">
        <v>52</v>
      </c>
      <c r="G277" s="21">
        <v>0.545122</v>
      </c>
      <c r="H277" s="21">
        <v>0.26812999999999998</v>
      </c>
      <c r="I277" s="21">
        <v>0.43477900000000003</v>
      </c>
      <c r="J277" s="21">
        <v>0.32712200000000002</v>
      </c>
      <c r="K277" s="21">
        <v>0.16892499999999999</v>
      </c>
      <c r="L277" s="21">
        <v>0.29025299999999998</v>
      </c>
      <c r="M277" s="21">
        <v>0.10936</v>
      </c>
      <c r="N277" s="21">
        <v>5.0105999999999998E-2</v>
      </c>
      <c r="O277" s="20" t="s">
        <v>52</v>
      </c>
      <c r="P277" s="20" t="s">
        <v>52</v>
      </c>
      <c r="Q277" s="20" t="s">
        <v>52</v>
      </c>
      <c r="R277" s="20" t="s">
        <v>52</v>
      </c>
    </row>
    <row r="278" spans="1:18" x14ac:dyDescent="0.2">
      <c r="A278" s="5" t="s">
        <v>1187</v>
      </c>
      <c r="B278" s="21">
        <v>6.6400000000000001E-3</v>
      </c>
      <c r="C278" s="21">
        <v>6.9760000000000004E-3</v>
      </c>
      <c r="D278" s="21">
        <v>1.2199999999999999E-3</v>
      </c>
      <c r="E278" s="20" t="s">
        <v>52</v>
      </c>
      <c r="F278" s="20" t="s">
        <v>52</v>
      </c>
      <c r="G278" s="20" t="s">
        <v>52</v>
      </c>
      <c r="H278" s="20" t="s">
        <v>52</v>
      </c>
      <c r="I278" s="20" t="s">
        <v>52</v>
      </c>
      <c r="J278" s="20" t="s">
        <v>52</v>
      </c>
      <c r="K278" s="20" t="s">
        <v>52</v>
      </c>
      <c r="L278" s="20" t="s">
        <v>52</v>
      </c>
      <c r="M278" s="20" t="s">
        <v>52</v>
      </c>
      <c r="N278" s="20" t="s">
        <v>52</v>
      </c>
      <c r="O278" s="20" t="s">
        <v>52</v>
      </c>
      <c r="P278" s="20" t="s">
        <v>52</v>
      </c>
      <c r="Q278" s="20" t="s">
        <v>52</v>
      </c>
      <c r="R278" s="20" t="s">
        <v>52</v>
      </c>
    </row>
    <row r="279" spans="1:18" x14ac:dyDescent="0.2">
      <c r="A279" s="5" t="s">
        <v>1188</v>
      </c>
      <c r="B279" s="21">
        <v>2.617E-3</v>
      </c>
      <c r="C279" s="21">
        <v>3.2950000000000002E-3</v>
      </c>
      <c r="D279" s="21">
        <v>5.2599999999999999E-4</v>
      </c>
      <c r="E279" s="20" t="s">
        <v>52</v>
      </c>
      <c r="F279" s="20" t="s">
        <v>52</v>
      </c>
      <c r="G279" s="20" t="s">
        <v>52</v>
      </c>
      <c r="H279" s="20" t="s">
        <v>52</v>
      </c>
      <c r="I279" s="20" t="s">
        <v>52</v>
      </c>
      <c r="J279" s="20" t="s">
        <v>52</v>
      </c>
      <c r="K279" s="20" t="s">
        <v>52</v>
      </c>
      <c r="L279" s="20" t="s">
        <v>52</v>
      </c>
      <c r="M279" s="20" t="s">
        <v>52</v>
      </c>
      <c r="N279" s="20" t="s">
        <v>52</v>
      </c>
      <c r="O279" s="20" t="s">
        <v>52</v>
      </c>
      <c r="P279" s="20" t="s">
        <v>52</v>
      </c>
      <c r="Q279" s="20" t="s">
        <v>52</v>
      </c>
      <c r="R279" s="20" t="s">
        <v>52</v>
      </c>
    </row>
    <row r="280" spans="1:18" x14ac:dyDescent="0.2">
      <c r="A280" s="5" t="s">
        <v>1189</v>
      </c>
      <c r="B280" s="21">
        <v>0.79418900000000003</v>
      </c>
      <c r="C280" s="21">
        <v>0.77155399999999996</v>
      </c>
      <c r="D280" s="21">
        <v>0.86340700000000004</v>
      </c>
      <c r="E280" s="21">
        <v>0.77788500000000005</v>
      </c>
      <c r="F280" s="21">
        <v>0.71581799999999995</v>
      </c>
      <c r="G280" s="21">
        <v>0.81065299999999996</v>
      </c>
      <c r="H280" s="21">
        <v>0.73775999999999997</v>
      </c>
      <c r="I280" s="21">
        <v>0.74612599999999996</v>
      </c>
      <c r="J280" s="21">
        <v>0.68188000000000004</v>
      </c>
      <c r="K280" s="21">
        <v>0.57532399999999995</v>
      </c>
      <c r="L280" s="21">
        <v>0.70769599999999999</v>
      </c>
      <c r="M280" s="21">
        <v>0.58116699999999999</v>
      </c>
      <c r="N280" s="21">
        <v>0.549149</v>
      </c>
      <c r="O280" s="21">
        <v>0.54872399999999999</v>
      </c>
      <c r="P280" s="21">
        <v>0.51820200000000005</v>
      </c>
      <c r="Q280" s="21">
        <v>0.53796600000000006</v>
      </c>
      <c r="R280" s="21">
        <v>0.61730399999999996</v>
      </c>
    </row>
    <row r="281" spans="1:18" x14ac:dyDescent="0.2">
      <c r="A281" s="5"/>
      <c r="B281" s="5"/>
      <c r="C281" s="5"/>
      <c r="D281" s="5"/>
      <c r="E281" s="5"/>
      <c r="F281" s="5"/>
      <c r="G281" s="5"/>
      <c r="H281" s="5"/>
      <c r="I281" s="5"/>
      <c r="J281" s="5"/>
      <c r="K281" s="5"/>
      <c r="L281" s="5"/>
      <c r="M281" s="5"/>
      <c r="N281" s="5"/>
      <c r="O281" s="5"/>
      <c r="P281" s="5"/>
      <c r="Q281" s="5"/>
      <c r="R281" s="5"/>
    </row>
    <row r="282" spans="1:18" x14ac:dyDescent="0.2">
      <c r="A282" s="5" t="s">
        <v>1190</v>
      </c>
      <c r="B282" s="27">
        <v>7.8345739999999999</v>
      </c>
      <c r="C282" s="27">
        <v>6.513903</v>
      </c>
      <c r="D282" s="27">
        <v>37.486778000000001</v>
      </c>
      <c r="E282" s="27">
        <v>169.93548699999999</v>
      </c>
      <c r="F282" s="27" t="s">
        <v>1173</v>
      </c>
      <c r="G282" s="27">
        <v>72.141940000000005</v>
      </c>
      <c r="H282" s="27">
        <v>42.893591000000001</v>
      </c>
      <c r="I282" s="27" t="s">
        <v>1173</v>
      </c>
      <c r="J282" s="27" t="s">
        <v>1173</v>
      </c>
      <c r="K282" s="27" t="s">
        <v>1173</v>
      </c>
      <c r="L282" s="27">
        <v>179.72761600000001</v>
      </c>
      <c r="M282" s="27" t="s">
        <v>1173</v>
      </c>
      <c r="N282" s="20" t="s">
        <v>52</v>
      </c>
      <c r="O282" s="20" t="s">
        <v>52</v>
      </c>
      <c r="P282" s="20" t="s">
        <v>52</v>
      </c>
      <c r="Q282" s="20" t="s">
        <v>52</v>
      </c>
      <c r="R282" s="20" t="s">
        <v>52</v>
      </c>
    </row>
    <row r="283" spans="1:18" x14ac:dyDescent="0.2">
      <c r="A283" s="5" t="s">
        <v>1191</v>
      </c>
      <c r="B283" s="27">
        <v>9.0660670000000003</v>
      </c>
      <c r="C283" s="27">
        <v>7.7426199999999996</v>
      </c>
      <c r="D283" s="27">
        <v>46.020774000000003</v>
      </c>
      <c r="E283" s="27">
        <v>184.71507600000001</v>
      </c>
      <c r="F283" s="27" t="s">
        <v>1173</v>
      </c>
      <c r="G283" s="27">
        <v>85.721086</v>
      </c>
      <c r="H283" s="27">
        <v>48.558613000000001</v>
      </c>
      <c r="I283" s="27" t="s">
        <v>1173</v>
      </c>
      <c r="J283" s="27" t="s">
        <v>1173</v>
      </c>
      <c r="K283" s="27" t="s">
        <v>1173</v>
      </c>
      <c r="L283" s="27">
        <v>184.60850500000001</v>
      </c>
      <c r="M283" s="27" t="s">
        <v>1173</v>
      </c>
      <c r="N283" s="20" t="s">
        <v>52</v>
      </c>
      <c r="O283" s="20" t="s">
        <v>52</v>
      </c>
      <c r="P283" s="20" t="s">
        <v>52</v>
      </c>
      <c r="Q283" s="20" t="s">
        <v>52</v>
      </c>
      <c r="R283" s="20" t="s">
        <v>52</v>
      </c>
    </row>
    <row r="284" spans="1:18" x14ac:dyDescent="0.2">
      <c r="A284" s="5" t="s">
        <v>1192</v>
      </c>
      <c r="B284" s="27">
        <v>5.2853130000000004</v>
      </c>
      <c r="C284" s="27">
        <v>6.1542009999999996</v>
      </c>
      <c r="D284" s="27">
        <v>43.486905</v>
      </c>
      <c r="E284" s="27">
        <v>169.38441</v>
      </c>
      <c r="F284" s="27" t="s">
        <v>1173</v>
      </c>
      <c r="G284" s="27">
        <v>69.371799999999993</v>
      </c>
      <c r="H284" s="27">
        <v>45.148305000000001</v>
      </c>
      <c r="I284" s="27" t="s">
        <v>1173</v>
      </c>
      <c r="J284" s="27" t="s">
        <v>1173</v>
      </c>
      <c r="K284" s="27" t="s">
        <v>1173</v>
      </c>
      <c r="L284" s="27">
        <v>180.45836700000001</v>
      </c>
      <c r="M284" s="27" t="s">
        <v>1173</v>
      </c>
      <c r="N284" s="20" t="s">
        <v>52</v>
      </c>
      <c r="O284" s="20" t="s">
        <v>52</v>
      </c>
      <c r="P284" s="20" t="s">
        <v>52</v>
      </c>
      <c r="Q284" s="20" t="s">
        <v>52</v>
      </c>
      <c r="R284" s="20" t="s">
        <v>52</v>
      </c>
    </row>
    <row r="285" spans="1:18" x14ac:dyDescent="0.2">
      <c r="A285" s="5" t="s">
        <v>1193</v>
      </c>
      <c r="B285" s="27">
        <v>3.285628</v>
      </c>
      <c r="C285" s="27">
        <v>2.0993539999999999</v>
      </c>
      <c r="D285" s="27">
        <v>2.3324590000000001</v>
      </c>
      <c r="E285" s="27">
        <v>1.7440000000000001E-3</v>
      </c>
      <c r="F285" s="20" t="s">
        <v>52</v>
      </c>
      <c r="G285" s="27">
        <v>2.7684540000000002</v>
      </c>
      <c r="H285" s="27">
        <v>1.0605059999999999</v>
      </c>
      <c r="I285" s="27">
        <v>1.5031730000000001</v>
      </c>
      <c r="J285" s="27">
        <v>0.82515499999999997</v>
      </c>
      <c r="K285" s="27">
        <v>0.39559800000000001</v>
      </c>
      <c r="L285" s="27">
        <v>0.52251300000000001</v>
      </c>
      <c r="M285" s="27">
        <v>0.18598799999999999</v>
      </c>
      <c r="N285" s="27">
        <v>9.5663999999999999E-2</v>
      </c>
      <c r="O285" s="20" t="s">
        <v>52</v>
      </c>
      <c r="P285" s="20" t="s">
        <v>52</v>
      </c>
      <c r="Q285" s="20" t="s">
        <v>52</v>
      </c>
      <c r="R285" s="20" t="s">
        <v>52</v>
      </c>
    </row>
    <row r="286" spans="1:18" x14ac:dyDescent="0.2">
      <c r="A286" s="5" t="s">
        <v>1194</v>
      </c>
      <c r="B286" s="27">
        <v>3.2509229999999998</v>
      </c>
      <c r="C286" s="27">
        <v>2.090287</v>
      </c>
      <c r="D286" s="27">
        <v>2.3310179999999998</v>
      </c>
      <c r="E286" s="20" t="s">
        <v>1173</v>
      </c>
      <c r="F286" s="20" t="s">
        <v>1173</v>
      </c>
      <c r="G286" s="27">
        <v>1.2626280000000001</v>
      </c>
      <c r="H286" s="27">
        <v>1.0589409999999999</v>
      </c>
      <c r="I286" s="20" t="s">
        <v>1173</v>
      </c>
      <c r="J286" s="20" t="s">
        <v>1173</v>
      </c>
      <c r="K286" s="20" t="s">
        <v>1173</v>
      </c>
      <c r="L286" s="20" t="s">
        <v>1173</v>
      </c>
      <c r="M286" s="20" t="s">
        <v>1173</v>
      </c>
      <c r="N286" s="20" t="s">
        <v>1173</v>
      </c>
      <c r="O286" s="20" t="s">
        <v>1173</v>
      </c>
      <c r="P286" s="20" t="s">
        <v>1173</v>
      </c>
      <c r="Q286" s="20" t="s">
        <v>1173</v>
      </c>
      <c r="R286" s="20" t="s">
        <v>1173</v>
      </c>
    </row>
    <row r="287" spans="1:18" x14ac:dyDescent="0.2">
      <c r="A287" s="5" t="s">
        <v>1195</v>
      </c>
      <c r="B287" s="27">
        <v>5.6359430000000001</v>
      </c>
      <c r="C287" s="27">
        <v>2.6412040000000001</v>
      </c>
      <c r="D287" s="27">
        <v>2.4683649999999999</v>
      </c>
      <c r="E287" s="27">
        <v>1.902E-3</v>
      </c>
      <c r="F287" s="20" t="s">
        <v>52</v>
      </c>
      <c r="G287" s="27">
        <v>3.420912</v>
      </c>
      <c r="H287" s="27">
        <v>1.1406130000000001</v>
      </c>
      <c r="I287" s="27">
        <v>1.57047</v>
      </c>
      <c r="J287" s="27">
        <v>0.85895999999999995</v>
      </c>
      <c r="K287" s="27">
        <v>0.40415800000000002</v>
      </c>
      <c r="L287" s="27">
        <v>0.53452900000000003</v>
      </c>
      <c r="M287" s="27">
        <v>0.19270499999999999</v>
      </c>
      <c r="N287" s="27">
        <v>0.11923300000000001</v>
      </c>
      <c r="O287" s="20" t="s">
        <v>52</v>
      </c>
      <c r="P287" s="20" t="s">
        <v>52</v>
      </c>
      <c r="Q287" s="20" t="s">
        <v>52</v>
      </c>
      <c r="R287" s="20" t="s">
        <v>52</v>
      </c>
    </row>
    <row r="288" spans="1:18" x14ac:dyDescent="0.2">
      <c r="A288" s="5" t="s">
        <v>1196</v>
      </c>
      <c r="B288" s="27">
        <v>5.5764120000000004</v>
      </c>
      <c r="C288" s="27">
        <v>2.6297969999999999</v>
      </c>
      <c r="D288" s="27">
        <v>2.4668399999999999</v>
      </c>
      <c r="E288" s="20" t="s">
        <v>1173</v>
      </c>
      <c r="F288" s="20" t="s">
        <v>1173</v>
      </c>
      <c r="G288" s="27">
        <v>1.5602</v>
      </c>
      <c r="H288" s="27">
        <v>1.1389290000000001</v>
      </c>
      <c r="I288" s="20" t="s">
        <v>1173</v>
      </c>
      <c r="J288" s="20" t="s">
        <v>1173</v>
      </c>
      <c r="K288" s="20" t="s">
        <v>1173</v>
      </c>
      <c r="L288" s="20" t="s">
        <v>1173</v>
      </c>
      <c r="M288" s="20" t="s">
        <v>1173</v>
      </c>
      <c r="N288" s="20" t="s">
        <v>1173</v>
      </c>
      <c r="O288" s="20" t="s">
        <v>1173</v>
      </c>
      <c r="P288" s="20" t="s">
        <v>1173</v>
      </c>
      <c r="Q288" s="20" t="s">
        <v>1173</v>
      </c>
      <c r="R288" s="20" t="s">
        <v>1173</v>
      </c>
    </row>
    <row r="289" spans="1:18" x14ac:dyDescent="0.2">
      <c r="A289" s="5"/>
      <c r="B289" s="5"/>
      <c r="C289" s="5"/>
      <c r="D289" s="5"/>
      <c r="E289" s="5"/>
      <c r="F289" s="5"/>
      <c r="G289" s="5"/>
      <c r="H289" s="5"/>
      <c r="I289" s="5"/>
      <c r="J289" s="5"/>
      <c r="K289" s="5"/>
      <c r="L289" s="5"/>
      <c r="M289" s="5"/>
      <c r="N289" s="5"/>
      <c r="O289" s="5"/>
      <c r="P289" s="5"/>
      <c r="Q289" s="5"/>
      <c r="R289" s="5"/>
    </row>
    <row r="290" spans="1:18" x14ac:dyDescent="0.2">
      <c r="A290" s="5" t="s">
        <v>1197</v>
      </c>
      <c r="B290" s="19">
        <v>3.4671789999999998</v>
      </c>
      <c r="C290" s="19">
        <v>4.7531090000000003</v>
      </c>
      <c r="D290" s="19">
        <v>2.469525</v>
      </c>
      <c r="E290" s="19">
        <v>3.6257969999999999</v>
      </c>
      <c r="F290" s="19">
        <v>4.1819930000000003</v>
      </c>
      <c r="G290" s="19">
        <v>4.2999309999999999</v>
      </c>
      <c r="H290" s="19">
        <v>5.2099159999999998</v>
      </c>
      <c r="I290" s="19">
        <v>4.5569449999999998</v>
      </c>
      <c r="J290" s="19">
        <v>4.8534170000000003</v>
      </c>
      <c r="K290" s="19">
        <v>5.12005</v>
      </c>
      <c r="L290" s="19">
        <v>4.8095509999999999</v>
      </c>
      <c r="M290" s="19">
        <v>5.7059259999999998</v>
      </c>
      <c r="N290" s="19">
        <v>5.275652</v>
      </c>
      <c r="O290" s="19">
        <v>5.6216929999999996</v>
      </c>
      <c r="P290" s="19">
        <v>5.3227099999999998</v>
      </c>
      <c r="Q290" s="19">
        <v>4.6581440000000001</v>
      </c>
      <c r="R290" s="19">
        <v>8.4513409999999993</v>
      </c>
    </row>
    <row r="291" spans="1:18" x14ac:dyDescent="0.2">
      <c r="A291" s="5"/>
      <c r="B291" s="5"/>
      <c r="C291" s="5"/>
      <c r="D291" s="5"/>
      <c r="E291" s="5"/>
      <c r="F291" s="5"/>
      <c r="G291" s="5"/>
      <c r="H291" s="5"/>
      <c r="I291" s="5"/>
      <c r="J291" s="5"/>
      <c r="K291" s="5"/>
      <c r="L291" s="5"/>
      <c r="M291" s="5"/>
      <c r="N291" s="5"/>
      <c r="O291" s="5"/>
      <c r="P291" s="5"/>
      <c r="Q291" s="5"/>
      <c r="R291" s="5"/>
    </row>
    <row r="292" spans="1:18" ht="10.5" x14ac:dyDescent="0.2">
      <c r="A292" s="14" t="s">
        <v>1198</v>
      </c>
      <c r="B292" s="5"/>
      <c r="C292" s="5"/>
      <c r="D292" s="5"/>
      <c r="E292" s="5"/>
      <c r="F292" s="5"/>
      <c r="G292" s="5"/>
      <c r="H292" s="5"/>
      <c r="I292" s="5"/>
      <c r="J292" s="5"/>
      <c r="K292" s="5"/>
      <c r="L292" s="5"/>
      <c r="M292" s="5"/>
      <c r="N292" s="5"/>
      <c r="O292" s="5"/>
      <c r="P292" s="5"/>
      <c r="Q292" s="5"/>
      <c r="R292" s="5"/>
    </row>
    <row r="293" spans="1:18" x14ac:dyDescent="0.2">
      <c r="A293" s="5" t="s">
        <v>1199</v>
      </c>
      <c r="B293" s="21">
        <v>0.125586</v>
      </c>
      <c r="C293" s="21">
        <v>0.73510500000000001</v>
      </c>
      <c r="D293" s="21">
        <v>0.211477</v>
      </c>
      <c r="E293" s="21">
        <v>2.2494E-2</v>
      </c>
      <c r="F293" s="21">
        <v>0.29525200000000001</v>
      </c>
      <c r="G293" s="21">
        <v>0.116798</v>
      </c>
      <c r="H293" s="21">
        <v>0.178144</v>
      </c>
      <c r="I293" s="21">
        <v>0.32498899999999997</v>
      </c>
      <c r="J293" s="21">
        <v>0.15451000000000001</v>
      </c>
      <c r="K293" s="21">
        <v>9.9093000000000001E-2</v>
      </c>
      <c r="L293" s="21">
        <v>0.28853200000000001</v>
      </c>
      <c r="M293" s="21">
        <v>0.50412299999999999</v>
      </c>
      <c r="N293" s="21">
        <v>0.386936</v>
      </c>
      <c r="O293" s="21">
        <v>0.30159000000000002</v>
      </c>
      <c r="P293" s="21">
        <v>0.27552599999999999</v>
      </c>
      <c r="Q293" s="21">
        <v>0.180839</v>
      </c>
      <c r="R293" s="20" t="s">
        <v>52</v>
      </c>
    </row>
    <row r="294" spans="1:18" x14ac:dyDescent="0.2">
      <c r="A294" s="5" t="s">
        <v>1200</v>
      </c>
      <c r="B294" s="21">
        <v>0.13095499999999999</v>
      </c>
      <c r="C294" s="21">
        <v>0.427873</v>
      </c>
      <c r="D294" s="21">
        <v>0.57646200000000003</v>
      </c>
      <c r="E294" s="21">
        <v>2.7415999999999999E-2</v>
      </c>
      <c r="F294" s="21">
        <v>0.18476999999999999</v>
      </c>
      <c r="G294" s="21">
        <v>-1.653E-2</v>
      </c>
      <c r="H294" s="21">
        <v>0.26817400000000002</v>
      </c>
      <c r="I294" s="21">
        <v>0.39934399999999998</v>
      </c>
      <c r="J294" s="21">
        <v>0.30031999999999998</v>
      </c>
      <c r="K294" s="21">
        <v>0.11760900000000001</v>
      </c>
      <c r="L294" s="21">
        <v>0.29148000000000002</v>
      </c>
      <c r="M294" s="21">
        <v>0.51851599999999998</v>
      </c>
      <c r="N294" s="21">
        <v>0.29968499999999998</v>
      </c>
      <c r="O294" s="21">
        <v>0.25275900000000001</v>
      </c>
      <c r="P294" s="21">
        <v>0.25542399999999998</v>
      </c>
      <c r="Q294" s="21">
        <v>0.161023</v>
      </c>
      <c r="R294" s="20" t="s">
        <v>52</v>
      </c>
    </row>
    <row r="295" spans="1:18" x14ac:dyDescent="0.2">
      <c r="A295" s="5" t="s">
        <v>1201</v>
      </c>
      <c r="B295" s="21">
        <v>-0.26634799999999997</v>
      </c>
      <c r="C295" s="21">
        <v>0.55243100000000001</v>
      </c>
      <c r="D295" s="21">
        <v>0.51622999999999997</v>
      </c>
      <c r="E295" s="21">
        <v>0.239316</v>
      </c>
      <c r="F295" s="21">
        <v>0.21043600000000001</v>
      </c>
      <c r="G295" s="21">
        <v>-0.37473699999999999</v>
      </c>
      <c r="H295" s="21">
        <v>9.0087E-2</v>
      </c>
      <c r="I295" s="21">
        <v>1.305126</v>
      </c>
      <c r="J295" s="21">
        <v>0.70437099999999997</v>
      </c>
      <c r="K295" s="21">
        <v>0.314552</v>
      </c>
      <c r="L295" s="21">
        <v>0.34290799999999999</v>
      </c>
      <c r="M295" s="21">
        <v>0.60375800000000002</v>
      </c>
      <c r="N295" s="21">
        <v>0.377417</v>
      </c>
      <c r="O295" s="21">
        <v>0.24915000000000001</v>
      </c>
      <c r="P295" s="21">
        <v>0.30441400000000002</v>
      </c>
      <c r="Q295" s="21">
        <v>0.115466</v>
      </c>
      <c r="R295" s="20" t="s">
        <v>52</v>
      </c>
    </row>
    <row r="296" spans="1:18" x14ac:dyDescent="0.2">
      <c r="A296" s="5" t="s">
        <v>1202</v>
      </c>
      <c r="B296" s="21">
        <v>-0.31299500000000002</v>
      </c>
      <c r="C296" s="21">
        <v>0.51136499999999996</v>
      </c>
      <c r="D296" s="21">
        <v>0.53200899999999995</v>
      </c>
      <c r="E296" s="21">
        <v>0.34126400000000001</v>
      </c>
      <c r="F296" s="21">
        <v>0.20324200000000001</v>
      </c>
      <c r="G296" s="21">
        <v>-0.42459999999999998</v>
      </c>
      <c r="H296" s="21">
        <v>0.14416100000000001</v>
      </c>
      <c r="I296" s="21">
        <v>1.5399119999999999</v>
      </c>
      <c r="J296" s="21">
        <v>0.72107399999999999</v>
      </c>
      <c r="K296" s="21">
        <v>0.289775</v>
      </c>
      <c r="L296" s="21">
        <v>0.35577599999999998</v>
      </c>
      <c r="M296" s="21">
        <v>0.62365000000000004</v>
      </c>
      <c r="N296" s="21">
        <v>0.36835600000000002</v>
      </c>
      <c r="O296" s="21">
        <v>0.22781399999999999</v>
      </c>
      <c r="P296" s="21">
        <v>0.29815199999999997</v>
      </c>
      <c r="Q296" s="21">
        <v>0.114107</v>
      </c>
      <c r="R296" s="20" t="s">
        <v>52</v>
      </c>
    </row>
    <row r="297" spans="1:18" x14ac:dyDescent="0.2">
      <c r="A297" s="5" t="s">
        <v>1203</v>
      </c>
      <c r="B297" s="21">
        <v>-0.31299500000000002</v>
      </c>
      <c r="C297" s="21">
        <v>0.51136499999999996</v>
      </c>
      <c r="D297" s="21">
        <v>0.46803400000000001</v>
      </c>
      <c r="E297" s="21">
        <v>0.39971499999999999</v>
      </c>
      <c r="F297" s="21">
        <v>0.20324200000000001</v>
      </c>
      <c r="G297" s="21">
        <v>-0.42459999999999998</v>
      </c>
      <c r="H297" s="21">
        <v>0.14416100000000001</v>
      </c>
      <c r="I297" s="21">
        <v>1.5399119999999999</v>
      </c>
      <c r="J297" s="21">
        <v>0.72107399999999999</v>
      </c>
      <c r="K297" s="21">
        <v>0.289775</v>
      </c>
      <c r="L297" s="21">
        <v>0.35577599999999998</v>
      </c>
      <c r="M297" s="21">
        <v>0.62365000000000004</v>
      </c>
      <c r="N297" s="21">
        <v>0.36835600000000002</v>
      </c>
      <c r="O297" s="21">
        <v>0.22781399999999999</v>
      </c>
      <c r="P297" s="21">
        <v>0.29815199999999997</v>
      </c>
      <c r="Q297" s="21">
        <v>0.114107</v>
      </c>
      <c r="R297" s="20" t="s">
        <v>52</v>
      </c>
    </row>
    <row r="298" spans="1:18" x14ac:dyDescent="0.2">
      <c r="A298" s="5" t="s">
        <v>1204</v>
      </c>
      <c r="B298" s="21">
        <v>-0.27028400000000002</v>
      </c>
      <c r="C298" s="21">
        <v>0.24333399999999999</v>
      </c>
      <c r="D298" s="21">
        <v>0.46992099999999998</v>
      </c>
      <c r="E298" s="21">
        <v>0.78830800000000001</v>
      </c>
      <c r="F298" s="21">
        <v>0.42606899999999998</v>
      </c>
      <c r="G298" s="21">
        <v>-0.51217800000000002</v>
      </c>
      <c r="H298" s="21">
        <v>-1.3592999999999999E-2</v>
      </c>
      <c r="I298" s="21">
        <v>1.558171</v>
      </c>
      <c r="J298" s="21">
        <v>0.89756499999999995</v>
      </c>
      <c r="K298" s="21">
        <v>0.31207299999999999</v>
      </c>
      <c r="L298" s="21">
        <v>0.372174</v>
      </c>
      <c r="M298" s="21">
        <v>0.63334100000000004</v>
      </c>
      <c r="N298" s="21">
        <v>0.49086600000000002</v>
      </c>
      <c r="O298" s="21">
        <v>0.19711400000000001</v>
      </c>
      <c r="P298" s="21">
        <v>0.32868700000000001</v>
      </c>
      <c r="Q298" s="21">
        <v>0.13764899999999999</v>
      </c>
      <c r="R298" s="20" t="s">
        <v>52</v>
      </c>
    </row>
    <row r="299" spans="1:18" x14ac:dyDescent="0.2">
      <c r="A299" s="5" t="s">
        <v>1205</v>
      </c>
      <c r="B299" s="21">
        <v>-0.31576700000000002</v>
      </c>
      <c r="C299" s="21">
        <v>0.33069100000000001</v>
      </c>
      <c r="D299" s="21">
        <v>1.5087489999999999</v>
      </c>
      <c r="E299" s="21">
        <v>0.78830800000000001</v>
      </c>
      <c r="F299" s="21">
        <v>0.42606899999999998</v>
      </c>
      <c r="G299" s="21">
        <v>-0.51217800000000002</v>
      </c>
      <c r="H299" s="21">
        <v>-1.3592999999999999E-2</v>
      </c>
      <c r="I299" s="21">
        <v>1.558171</v>
      </c>
      <c r="J299" s="21">
        <v>0.89756499999999995</v>
      </c>
      <c r="K299" s="21">
        <v>0.31207299999999999</v>
      </c>
      <c r="L299" s="21">
        <v>0.372174</v>
      </c>
      <c r="M299" s="21">
        <v>0.63334100000000004</v>
      </c>
      <c r="N299" s="21">
        <v>0.49086600000000002</v>
      </c>
      <c r="O299" s="21">
        <v>0.19711400000000001</v>
      </c>
      <c r="P299" s="21">
        <v>0.32868700000000001</v>
      </c>
      <c r="Q299" s="21">
        <v>0.13764899999999999</v>
      </c>
      <c r="R299" s="20" t="s">
        <v>52</v>
      </c>
    </row>
    <row r="300" spans="1:18" x14ac:dyDescent="0.2">
      <c r="A300" s="5" t="s">
        <v>1206</v>
      </c>
      <c r="B300" s="21">
        <v>-0.49609799999999998</v>
      </c>
      <c r="C300" s="21">
        <v>0.61611199999999999</v>
      </c>
      <c r="D300" s="21">
        <v>2.4853070000000002</v>
      </c>
      <c r="E300" s="21">
        <v>0.46138000000000001</v>
      </c>
      <c r="F300" s="21">
        <v>1.1262540000000001</v>
      </c>
      <c r="G300" s="21">
        <v>-0.66105499999999995</v>
      </c>
      <c r="H300" s="21">
        <v>0.119836</v>
      </c>
      <c r="I300" s="21">
        <v>1.5571980000000001</v>
      </c>
      <c r="J300" s="21">
        <v>0.73735300000000004</v>
      </c>
      <c r="K300" s="21">
        <v>0.26111800000000002</v>
      </c>
      <c r="L300" s="21">
        <v>0.316498</v>
      </c>
      <c r="M300" s="21">
        <v>0.631019</v>
      </c>
      <c r="N300" s="21">
        <v>0.37177399999999999</v>
      </c>
      <c r="O300" s="21">
        <v>0.22403999999999999</v>
      </c>
      <c r="P300" s="21">
        <v>0.298016</v>
      </c>
      <c r="Q300" s="21">
        <v>0.11638999999999999</v>
      </c>
      <c r="R300" s="20" t="s">
        <v>52</v>
      </c>
    </row>
    <row r="301" spans="1:18" x14ac:dyDescent="0.2">
      <c r="A301" s="5" t="s">
        <v>1207</v>
      </c>
      <c r="B301" s="21">
        <v>-0.31576700000000002</v>
      </c>
      <c r="C301" s="21">
        <v>0.15578800000000001</v>
      </c>
      <c r="D301" s="21">
        <v>-0.975607</v>
      </c>
      <c r="E301" s="21">
        <v>0.78830900000000004</v>
      </c>
      <c r="F301" s="21">
        <v>0.42607</v>
      </c>
      <c r="G301" s="21">
        <v>-0.52682099999999998</v>
      </c>
      <c r="H301" s="21">
        <v>-1.3785E-2</v>
      </c>
      <c r="I301" s="21">
        <v>1.558135</v>
      </c>
      <c r="J301" s="21">
        <v>0.89334899999999995</v>
      </c>
      <c r="K301" s="21">
        <v>0.31083</v>
      </c>
      <c r="L301" s="21">
        <v>0.37069400000000002</v>
      </c>
      <c r="M301" s="21">
        <v>0.63334100000000004</v>
      </c>
      <c r="N301" s="21">
        <v>0.45683000000000001</v>
      </c>
      <c r="O301" s="21">
        <v>0.156917</v>
      </c>
      <c r="P301" s="20" t="s">
        <v>52</v>
      </c>
      <c r="Q301" s="20" t="s">
        <v>52</v>
      </c>
      <c r="R301" s="20" t="s">
        <v>52</v>
      </c>
    </row>
    <row r="302" spans="1:18" x14ac:dyDescent="0.2">
      <c r="A302" s="5"/>
      <c r="B302" s="5"/>
      <c r="C302" s="5"/>
      <c r="D302" s="5"/>
      <c r="E302" s="5"/>
      <c r="F302" s="5"/>
      <c r="G302" s="5"/>
      <c r="H302" s="5"/>
      <c r="I302" s="5"/>
      <c r="J302" s="5"/>
      <c r="K302" s="5"/>
      <c r="L302" s="5"/>
      <c r="M302" s="5"/>
      <c r="N302" s="5"/>
      <c r="O302" s="5"/>
      <c r="P302" s="5"/>
      <c r="Q302" s="5"/>
      <c r="R302" s="5"/>
    </row>
    <row r="303" spans="1:18" x14ac:dyDescent="0.2">
      <c r="A303" s="5" t="s">
        <v>1208</v>
      </c>
      <c r="B303" s="21">
        <v>0.30163499999999999</v>
      </c>
      <c r="C303" s="21">
        <v>0.22187399999999999</v>
      </c>
      <c r="D303" s="21">
        <v>1.4374290000000001</v>
      </c>
      <c r="E303" s="21">
        <v>-0.39854299999999998</v>
      </c>
      <c r="F303" s="21">
        <v>0.32163900000000001</v>
      </c>
      <c r="G303" s="21">
        <v>-2.1808000000000001E-2</v>
      </c>
      <c r="H303" s="21">
        <v>0.17980499999999999</v>
      </c>
      <c r="I303" s="21">
        <v>0.23375000000000001</v>
      </c>
      <c r="J303" s="21">
        <v>3.4494999999999998E-2</v>
      </c>
      <c r="K303" s="21">
        <v>4.5041999999999999E-2</v>
      </c>
      <c r="L303" s="21">
        <v>0.46195999999999998</v>
      </c>
      <c r="M303" s="21">
        <v>0.579928</v>
      </c>
      <c r="N303" s="21">
        <v>0.40628599999999998</v>
      </c>
      <c r="O303" s="21">
        <v>0.217365</v>
      </c>
      <c r="P303" s="21">
        <v>0.16880500000000001</v>
      </c>
      <c r="Q303" s="21">
        <v>0.21713399999999999</v>
      </c>
      <c r="R303" s="20" t="s">
        <v>52</v>
      </c>
    </row>
    <row r="304" spans="1:18" x14ac:dyDescent="0.2">
      <c r="A304" s="5" t="s">
        <v>1209</v>
      </c>
      <c r="B304" s="21">
        <v>2.649864</v>
      </c>
      <c r="C304" s="21">
        <v>0.95370100000000002</v>
      </c>
      <c r="D304" s="21">
        <v>2.8186149999999999</v>
      </c>
      <c r="E304" s="21">
        <v>-0.77439899999999995</v>
      </c>
      <c r="F304" s="21">
        <v>-0.15084800000000001</v>
      </c>
      <c r="G304" s="21">
        <v>2.2564000000000001E-2</v>
      </c>
      <c r="H304" s="21">
        <v>-0.31723699999999999</v>
      </c>
      <c r="I304" s="21">
        <v>1.3567229999999999</v>
      </c>
      <c r="J304" s="21">
        <v>-2.0230000000000001E-3</v>
      </c>
      <c r="K304" s="21">
        <v>-0.34446599999999999</v>
      </c>
      <c r="L304" s="21">
        <v>2.1497099999999998</v>
      </c>
      <c r="M304" s="21">
        <v>0.25162400000000001</v>
      </c>
      <c r="N304" s="21">
        <v>0.929504</v>
      </c>
      <c r="O304" s="21">
        <v>1.1315459999999999</v>
      </c>
      <c r="P304" s="21">
        <v>4.7240999999999998E-2</v>
      </c>
      <c r="Q304" s="21">
        <v>-0.40816799999999998</v>
      </c>
      <c r="R304" s="20" t="s">
        <v>52</v>
      </c>
    </row>
    <row r="305" spans="1:18" x14ac:dyDescent="0.2">
      <c r="A305" s="5" t="s">
        <v>1210</v>
      </c>
      <c r="B305" s="21">
        <v>0.60384400000000005</v>
      </c>
      <c r="C305" s="21">
        <v>0.17230799999999999</v>
      </c>
      <c r="D305" s="21">
        <v>-0.26848</v>
      </c>
      <c r="E305" s="21">
        <v>-1.3576E-2</v>
      </c>
      <c r="F305" s="21">
        <v>0.85106400000000004</v>
      </c>
      <c r="G305" s="21">
        <v>-0.108182</v>
      </c>
      <c r="H305" s="21">
        <v>-0.35738700000000001</v>
      </c>
      <c r="I305" s="21">
        <v>0.14050599999999999</v>
      </c>
      <c r="J305" s="21">
        <v>0.26827800000000002</v>
      </c>
      <c r="K305" s="21">
        <v>-0.20872199999999999</v>
      </c>
      <c r="L305" s="21">
        <v>-0.18013799999999999</v>
      </c>
      <c r="M305" s="21">
        <v>0.91071999999999997</v>
      </c>
      <c r="N305" s="21">
        <v>5.6500659999999998</v>
      </c>
      <c r="O305" s="21">
        <v>0.35214699999999999</v>
      </c>
      <c r="P305" s="21">
        <v>4.036E-2</v>
      </c>
      <c r="Q305" s="21">
        <v>5.9027999999999997E-2</v>
      </c>
      <c r="R305" s="20" t="s">
        <v>52</v>
      </c>
    </row>
    <row r="306" spans="1:18" x14ac:dyDescent="0.2">
      <c r="A306" s="5" t="s">
        <v>1079</v>
      </c>
      <c r="B306" s="21">
        <v>0.33410600000000001</v>
      </c>
      <c r="C306" s="21">
        <v>0.23033899999999999</v>
      </c>
      <c r="D306" s="21">
        <v>1.3892599999999999</v>
      </c>
      <c r="E306" s="21">
        <v>-0.282331</v>
      </c>
      <c r="F306" s="21">
        <v>0.218501</v>
      </c>
      <c r="G306" s="21">
        <v>9.1339999999999998E-3</v>
      </c>
      <c r="H306" s="21">
        <v>-1.3757999999999999E-2</v>
      </c>
      <c r="I306" s="21">
        <v>0.60743499999999995</v>
      </c>
      <c r="J306" s="21">
        <v>0.181391</v>
      </c>
      <c r="K306" s="21">
        <v>0.12914100000000001</v>
      </c>
      <c r="L306" s="21">
        <v>0.28084199999999998</v>
      </c>
      <c r="M306" s="21">
        <v>0.32688899999999999</v>
      </c>
      <c r="N306" s="21">
        <v>0.53205499999999994</v>
      </c>
      <c r="O306" s="21">
        <v>0.17085</v>
      </c>
      <c r="P306" s="21">
        <v>0.399619</v>
      </c>
      <c r="Q306" s="21">
        <v>0.38196400000000003</v>
      </c>
      <c r="R306" s="20" t="s">
        <v>52</v>
      </c>
    </row>
    <row r="307" spans="1:18" x14ac:dyDescent="0.2">
      <c r="A307" s="5"/>
      <c r="B307" s="5"/>
      <c r="C307" s="5"/>
      <c r="D307" s="5"/>
      <c r="E307" s="5"/>
      <c r="F307" s="5"/>
      <c r="G307" s="5"/>
      <c r="H307" s="5"/>
      <c r="I307" s="5"/>
      <c r="J307" s="5"/>
      <c r="K307" s="5"/>
      <c r="L307" s="5"/>
      <c r="M307" s="5"/>
      <c r="N307" s="5"/>
      <c r="O307" s="5"/>
      <c r="P307" s="5"/>
      <c r="Q307" s="5"/>
      <c r="R307" s="5"/>
    </row>
    <row r="308" spans="1:18" x14ac:dyDescent="0.2">
      <c r="A308" s="5" t="s">
        <v>1211</v>
      </c>
      <c r="B308" s="21">
        <v>0.348829</v>
      </c>
      <c r="C308" s="21">
        <v>0.34413899999999997</v>
      </c>
      <c r="D308" s="21">
        <v>1.0581210000000001</v>
      </c>
      <c r="E308" s="21">
        <v>0.42381000000000002</v>
      </c>
      <c r="F308" s="21">
        <v>0.55899299999999996</v>
      </c>
      <c r="G308" s="21">
        <v>-0.32762599999999997</v>
      </c>
      <c r="H308" s="21">
        <v>0.36591200000000002</v>
      </c>
      <c r="I308" s="21">
        <v>0.55615499999999995</v>
      </c>
      <c r="J308" s="21">
        <v>0.48035800000000001</v>
      </c>
      <c r="K308" s="21">
        <v>0.507355</v>
      </c>
      <c r="L308" s="21">
        <v>-0.118399</v>
      </c>
      <c r="M308" s="21">
        <v>0.90125900000000003</v>
      </c>
      <c r="N308" s="21">
        <v>0.649173</v>
      </c>
      <c r="O308" s="21">
        <v>0.16212699999999999</v>
      </c>
      <c r="P308" s="21">
        <v>0.49601600000000001</v>
      </c>
      <c r="Q308" s="21">
        <v>0.32854899999999998</v>
      </c>
      <c r="R308" s="20" t="s">
        <v>52</v>
      </c>
    </row>
    <row r="309" spans="1:18" x14ac:dyDescent="0.2">
      <c r="A309" s="5" t="s">
        <v>1212</v>
      </c>
      <c r="B309" s="21">
        <v>0.348829</v>
      </c>
      <c r="C309" s="21">
        <v>0.34413899999999997</v>
      </c>
      <c r="D309" s="21">
        <v>1.5110110000000001</v>
      </c>
      <c r="E309" s="21">
        <v>0.16700899999999999</v>
      </c>
      <c r="F309" s="21">
        <v>0.55899299999999996</v>
      </c>
      <c r="G309" s="21">
        <v>-0.32762599999999997</v>
      </c>
      <c r="H309" s="21">
        <v>0.36591200000000002</v>
      </c>
      <c r="I309" s="21">
        <v>0.55615499999999995</v>
      </c>
      <c r="J309" s="21">
        <v>0.48035800000000001</v>
      </c>
      <c r="K309" s="21">
        <v>0.507355</v>
      </c>
      <c r="L309" s="21">
        <v>-0.118399</v>
      </c>
      <c r="M309" s="21">
        <v>0.90125900000000003</v>
      </c>
      <c r="N309" s="21">
        <v>0.649173</v>
      </c>
      <c r="O309" s="21">
        <v>0.171955</v>
      </c>
      <c r="P309" s="21">
        <v>0.49428100000000003</v>
      </c>
      <c r="Q309" s="21">
        <v>0.32527400000000001</v>
      </c>
      <c r="R309" s="20" t="s">
        <v>52</v>
      </c>
    </row>
    <row r="310" spans="1:18" x14ac:dyDescent="0.2">
      <c r="A310" s="5" t="s">
        <v>1213</v>
      </c>
      <c r="B310" s="21" t="s">
        <v>1173</v>
      </c>
      <c r="C310" s="21" t="s">
        <v>1173</v>
      </c>
      <c r="D310" s="21" t="s">
        <v>1173</v>
      </c>
      <c r="E310" s="21" t="s">
        <v>1173</v>
      </c>
      <c r="F310" s="21" t="s">
        <v>1173</v>
      </c>
      <c r="G310" s="21" t="s">
        <v>1173</v>
      </c>
      <c r="H310" s="21" t="s">
        <v>1173</v>
      </c>
      <c r="I310" s="21">
        <v>8.1217059999999996</v>
      </c>
      <c r="J310" s="21">
        <v>0.71703600000000001</v>
      </c>
      <c r="K310" s="21">
        <v>0.160575</v>
      </c>
      <c r="L310" s="21">
        <v>0.18060699999999999</v>
      </c>
      <c r="M310" s="21">
        <v>-0.83687</v>
      </c>
      <c r="N310" s="21">
        <v>9.0080410000000004</v>
      </c>
      <c r="O310" s="21">
        <v>0.20963499999999999</v>
      </c>
      <c r="P310" s="21">
        <v>1.0203610000000001</v>
      </c>
      <c r="Q310" s="21">
        <v>0.329044</v>
      </c>
      <c r="R310" s="20" t="s">
        <v>52</v>
      </c>
    </row>
    <row r="311" spans="1:18" x14ac:dyDescent="0.2">
      <c r="A311" s="5" t="s">
        <v>1214</v>
      </c>
      <c r="B311" s="21">
        <v>2.0036510000000001</v>
      </c>
      <c r="C311" s="21">
        <v>-0.236288</v>
      </c>
      <c r="D311" s="21">
        <v>-0.59307200000000004</v>
      </c>
      <c r="E311" s="21">
        <v>0.86814400000000003</v>
      </c>
      <c r="F311" s="21">
        <v>2.386047</v>
      </c>
      <c r="G311" s="21">
        <v>-0.48635400000000001</v>
      </c>
      <c r="H311" s="21">
        <v>-0.59860000000000002</v>
      </c>
      <c r="I311" s="21">
        <v>0.40647899999999998</v>
      </c>
      <c r="J311" s="21">
        <v>0.56533</v>
      </c>
      <c r="K311" s="21">
        <v>-0.29252400000000001</v>
      </c>
      <c r="L311" s="21">
        <v>0.42532999999999999</v>
      </c>
      <c r="M311" s="21">
        <v>1.4863960000000001</v>
      </c>
      <c r="N311" s="21">
        <v>6.8122480000000003</v>
      </c>
      <c r="O311" s="21">
        <v>-0.39504099999999998</v>
      </c>
      <c r="P311" s="21">
        <v>-0.33072000000000001</v>
      </c>
      <c r="Q311" s="21">
        <v>0.21679399999999999</v>
      </c>
      <c r="R311" s="20" t="s">
        <v>52</v>
      </c>
    </row>
    <row r="312" spans="1:18" x14ac:dyDescent="0.2">
      <c r="A312" s="5" t="s">
        <v>1215</v>
      </c>
      <c r="B312" s="21" t="s">
        <v>1173</v>
      </c>
      <c r="C312" s="21" t="s">
        <v>1173</v>
      </c>
      <c r="D312" s="21" t="s">
        <v>1173</v>
      </c>
      <c r="E312" s="21" t="s">
        <v>1173</v>
      </c>
      <c r="F312" s="21" t="s">
        <v>1173</v>
      </c>
      <c r="G312" s="21" t="s">
        <v>1173</v>
      </c>
      <c r="H312" s="21" t="s">
        <v>1173</v>
      </c>
      <c r="I312" s="21">
        <v>127.25026800000001</v>
      </c>
      <c r="J312" s="21">
        <v>1.0140579999999999</v>
      </c>
      <c r="K312" s="21">
        <v>-8.2687999999999998E-2</v>
      </c>
      <c r="L312" s="21">
        <v>0.22267500000000001</v>
      </c>
      <c r="M312" s="21" t="s">
        <v>1173</v>
      </c>
      <c r="N312" s="21" t="s">
        <v>1173</v>
      </c>
      <c r="O312" s="21">
        <v>3.5553469999999998</v>
      </c>
      <c r="P312" s="21">
        <v>1.579078</v>
      </c>
      <c r="Q312" s="21">
        <v>0.40731299999999998</v>
      </c>
      <c r="R312" s="20" t="s">
        <v>52</v>
      </c>
    </row>
    <row r="313" spans="1:18" x14ac:dyDescent="0.2">
      <c r="A313" s="5" t="s">
        <v>1216</v>
      </c>
      <c r="B313" s="21" t="s">
        <v>1173</v>
      </c>
      <c r="C313" s="21" t="s">
        <v>1173</v>
      </c>
      <c r="D313" s="21" t="s">
        <v>1173</v>
      </c>
      <c r="E313" s="21" t="s">
        <v>1173</v>
      </c>
      <c r="F313" s="21" t="s">
        <v>1173</v>
      </c>
      <c r="G313" s="21" t="s">
        <v>1173</v>
      </c>
      <c r="H313" s="21" t="s">
        <v>1173</v>
      </c>
      <c r="I313" s="21">
        <v>63.945858999999999</v>
      </c>
      <c r="J313" s="21">
        <v>1.010059</v>
      </c>
      <c r="K313" s="21">
        <v>-8.2713999999999996E-2</v>
      </c>
      <c r="L313" s="21">
        <v>0.23005600000000001</v>
      </c>
      <c r="M313" s="21" t="s">
        <v>1173</v>
      </c>
      <c r="N313" s="21" t="s">
        <v>1173</v>
      </c>
      <c r="O313" s="21">
        <v>3.5553469999999998</v>
      </c>
      <c r="P313" s="21">
        <v>1.579078</v>
      </c>
      <c r="Q313" s="21">
        <v>0.40731299999999998</v>
      </c>
      <c r="R313" s="20" t="s">
        <v>52</v>
      </c>
    </row>
    <row r="314" spans="1:18" x14ac:dyDescent="0.2">
      <c r="A314" s="5" t="s">
        <v>1217</v>
      </c>
      <c r="B314" s="20" t="s">
        <v>52</v>
      </c>
      <c r="C314" s="20" t="s">
        <v>52</v>
      </c>
      <c r="D314" s="20" t="s">
        <v>52</v>
      </c>
      <c r="E314" s="20" t="s">
        <v>52</v>
      </c>
      <c r="F314" s="20" t="s">
        <v>52</v>
      </c>
      <c r="G314" s="20" t="s">
        <v>52</v>
      </c>
      <c r="H314" s="20" t="s">
        <v>52</v>
      </c>
      <c r="I314" s="20" t="s">
        <v>52</v>
      </c>
      <c r="J314" s="20" t="s">
        <v>52</v>
      </c>
      <c r="K314" s="20" t="s">
        <v>52</v>
      </c>
      <c r="L314" s="20" t="s">
        <v>52</v>
      </c>
      <c r="M314" s="20" t="s">
        <v>52</v>
      </c>
      <c r="N314" s="20" t="s">
        <v>52</v>
      </c>
      <c r="O314" s="20" t="s">
        <v>52</v>
      </c>
      <c r="P314" s="20" t="s">
        <v>52</v>
      </c>
      <c r="Q314" s="21">
        <v>4.4864860000000002</v>
      </c>
      <c r="R314" s="20" t="s">
        <v>52</v>
      </c>
    </row>
    <row r="315" spans="1:18" x14ac:dyDescent="0.2">
      <c r="A315" s="5"/>
      <c r="B315" s="5"/>
      <c r="C315" s="5"/>
      <c r="D315" s="5"/>
      <c r="E315" s="5"/>
      <c r="F315" s="5"/>
      <c r="G315" s="5"/>
      <c r="H315" s="5"/>
      <c r="I315" s="5"/>
      <c r="J315" s="5"/>
      <c r="K315" s="5"/>
      <c r="L315" s="5"/>
      <c r="M315" s="5"/>
      <c r="N315" s="5"/>
      <c r="O315" s="5"/>
      <c r="P315" s="5"/>
      <c r="Q315" s="5"/>
      <c r="R315" s="5"/>
    </row>
    <row r="316" spans="1:18" ht="10.5" x14ac:dyDescent="0.2">
      <c r="A316" s="14" t="s">
        <v>1218</v>
      </c>
      <c r="B316" s="5"/>
      <c r="C316" s="5"/>
      <c r="D316" s="5"/>
      <c r="E316" s="5"/>
      <c r="F316" s="5"/>
      <c r="G316" s="5"/>
      <c r="H316" s="5"/>
      <c r="I316" s="5"/>
      <c r="J316" s="5"/>
      <c r="K316" s="5"/>
      <c r="L316" s="5"/>
      <c r="M316" s="5"/>
      <c r="N316" s="5"/>
      <c r="O316" s="5"/>
      <c r="P316" s="5"/>
      <c r="Q316" s="5"/>
      <c r="R316" s="5"/>
    </row>
    <row r="317" spans="1:18" x14ac:dyDescent="0.2">
      <c r="A317" s="5" t="s">
        <v>1199</v>
      </c>
      <c r="B317" s="21">
        <v>0.42567100000000002</v>
      </c>
      <c r="C317" s="21">
        <v>0.39750200000000002</v>
      </c>
      <c r="D317" s="21">
        <v>0.44984200000000002</v>
      </c>
      <c r="E317" s="21">
        <v>0.112982</v>
      </c>
      <c r="F317" s="21">
        <v>0.15082100000000001</v>
      </c>
      <c r="G317" s="21">
        <v>0.20272000000000001</v>
      </c>
      <c r="H317" s="21">
        <v>0.147061</v>
      </c>
      <c r="I317" s="21">
        <v>0.24941099999999999</v>
      </c>
      <c r="J317" s="21">
        <v>0.236816</v>
      </c>
      <c r="K317" s="21">
        <v>0.12646099999999999</v>
      </c>
      <c r="L317" s="21">
        <v>0.19005</v>
      </c>
      <c r="M317" s="21">
        <v>0.39216099999999998</v>
      </c>
      <c r="N317" s="21">
        <v>0.44434200000000001</v>
      </c>
      <c r="O317" s="21">
        <v>0.343586</v>
      </c>
      <c r="P317" s="21">
        <v>0.288493</v>
      </c>
      <c r="Q317" s="21">
        <v>0.22727</v>
      </c>
      <c r="R317" s="20" t="s">
        <v>52</v>
      </c>
    </row>
    <row r="318" spans="1:18" x14ac:dyDescent="0.2">
      <c r="A318" s="5" t="s">
        <v>1200</v>
      </c>
      <c r="B318" s="21">
        <v>0.27365400000000001</v>
      </c>
      <c r="C318" s="21">
        <v>0.27077200000000001</v>
      </c>
      <c r="D318" s="21">
        <v>0.50033000000000005</v>
      </c>
      <c r="E318" s="21">
        <v>0.27266800000000002</v>
      </c>
      <c r="F318" s="21">
        <v>0.10329099999999999</v>
      </c>
      <c r="G318" s="21">
        <v>7.9436999999999994E-2</v>
      </c>
      <c r="H318" s="21">
        <v>0.116786</v>
      </c>
      <c r="I318" s="21">
        <v>0.332146</v>
      </c>
      <c r="J318" s="21">
        <v>0.34892400000000001</v>
      </c>
      <c r="K318" s="21">
        <v>0.205508</v>
      </c>
      <c r="L318" s="21">
        <v>0.201404</v>
      </c>
      <c r="M318" s="21">
        <v>0.40040500000000001</v>
      </c>
      <c r="N318" s="21">
        <v>0.40484599999999998</v>
      </c>
      <c r="O318" s="21">
        <v>0.27600599999999997</v>
      </c>
      <c r="P318" s="21">
        <v>0.25409100000000001</v>
      </c>
      <c r="Q318" s="21">
        <v>0.20730199999999999</v>
      </c>
      <c r="R318" s="20" t="s">
        <v>52</v>
      </c>
    </row>
    <row r="319" spans="1:18" x14ac:dyDescent="0.2">
      <c r="A319" s="5" t="s">
        <v>1201</v>
      </c>
      <c r="B319" s="21">
        <v>7.4393000000000001E-2</v>
      </c>
      <c r="C319" s="21">
        <v>6.7213999999999996E-2</v>
      </c>
      <c r="D319" s="21">
        <v>0.53422499999999995</v>
      </c>
      <c r="E319" s="21">
        <v>0.37079899999999999</v>
      </c>
      <c r="F319" s="21">
        <v>0.22479099999999999</v>
      </c>
      <c r="G319" s="21">
        <v>-0.13003400000000001</v>
      </c>
      <c r="H319" s="21">
        <v>-0.17441400000000001</v>
      </c>
      <c r="I319" s="21">
        <v>0.58517799999999998</v>
      </c>
      <c r="J319" s="21">
        <v>0.98211800000000005</v>
      </c>
      <c r="K319" s="21">
        <v>0.49682500000000002</v>
      </c>
      <c r="L319" s="21">
        <v>0.32865499999999997</v>
      </c>
      <c r="M319" s="21">
        <v>0.46754899999999999</v>
      </c>
      <c r="N319" s="21">
        <v>0.48628500000000002</v>
      </c>
      <c r="O319" s="21">
        <v>0.31171599999999999</v>
      </c>
      <c r="P319" s="21">
        <v>0.27648299999999998</v>
      </c>
      <c r="Q319" s="21">
        <v>0.20624700000000001</v>
      </c>
      <c r="R319" s="20" t="s">
        <v>52</v>
      </c>
    </row>
    <row r="320" spans="1:18" x14ac:dyDescent="0.2">
      <c r="A320" s="5" t="s">
        <v>1202</v>
      </c>
      <c r="B320" s="21">
        <v>5.3352999999999998E-2</v>
      </c>
      <c r="C320" s="21">
        <v>1.8977000000000001E-2</v>
      </c>
      <c r="D320" s="21">
        <v>0.521652</v>
      </c>
      <c r="E320" s="21">
        <v>0.43346699999999999</v>
      </c>
      <c r="F320" s="21">
        <v>0.27038000000000001</v>
      </c>
      <c r="G320" s="21">
        <v>-0.16792699999999999</v>
      </c>
      <c r="H320" s="21">
        <v>-0.188612</v>
      </c>
      <c r="I320" s="21">
        <v>0.70472000000000001</v>
      </c>
      <c r="J320" s="21">
        <v>1.090784</v>
      </c>
      <c r="K320" s="21">
        <v>0.48989899999999997</v>
      </c>
      <c r="L320" s="21">
        <v>0.32236399999999998</v>
      </c>
      <c r="M320" s="21">
        <v>0.48368</v>
      </c>
      <c r="N320" s="21">
        <v>0.49054799999999998</v>
      </c>
      <c r="O320" s="21">
        <v>0.296182</v>
      </c>
      <c r="P320" s="21">
        <v>0.26249400000000001</v>
      </c>
      <c r="Q320" s="21">
        <v>0.20261399999999999</v>
      </c>
      <c r="R320" s="20" t="s">
        <v>52</v>
      </c>
    </row>
    <row r="321" spans="1:18" x14ac:dyDescent="0.2">
      <c r="A321" s="5" t="s">
        <v>1203</v>
      </c>
      <c r="B321" s="21">
        <v>5.3352999999999998E-2</v>
      </c>
      <c r="C321" s="21">
        <v>1.8977000000000001E-2</v>
      </c>
      <c r="D321" s="21">
        <v>0.48954199999999998</v>
      </c>
      <c r="E321" s="21">
        <v>0.43346699999999999</v>
      </c>
      <c r="F321" s="21">
        <v>0.29776599999999998</v>
      </c>
      <c r="G321" s="21">
        <v>-0.16792699999999999</v>
      </c>
      <c r="H321" s="21">
        <v>-0.188612</v>
      </c>
      <c r="I321" s="21">
        <v>0.70472000000000001</v>
      </c>
      <c r="J321" s="21">
        <v>1.090784</v>
      </c>
      <c r="K321" s="21">
        <v>0.48989899999999997</v>
      </c>
      <c r="L321" s="21">
        <v>0.32236399999999998</v>
      </c>
      <c r="M321" s="21">
        <v>0.48368</v>
      </c>
      <c r="N321" s="21">
        <v>0.49054799999999998</v>
      </c>
      <c r="O321" s="21">
        <v>0.296182</v>
      </c>
      <c r="P321" s="21">
        <v>0.26249400000000001</v>
      </c>
      <c r="Q321" s="21">
        <v>0.20261399999999999</v>
      </c>
      <c r="R321" s="20" t="s">
        <v>52</v>
      </c>
    </row>
    <row r="322" spans="1:18" x14ac:dyDescent="0.2">
      <c r="A322" s="5" t="s">
        <v>1204</v>
      </c>
      <c r="B322" s="21">
        <v>8.7129999999999999E-2</v>
      </c>
      <c r="C322" s="21">
        <v>-4.7487000000000001E-2</v>
      </c>
      <c r="D322" s="21">
        <v>0.35188900000000001</v>
      </c>
      <c r="E322" s="21">
        <v>0.62131800000000004</v>
      </c>
      <c r="F322" s="21">
        <v>0.59695100000000001</v>
      </c>
      <c r="G322" s="21">
        <v>-0.165932</v>
      </c>
      <c r="H322" s="21">
        <v>-0.30631999999999998</v>
      </c>
      <c r="I322" s="21">
        <v>0.58852099999999996</v>
      </c>
      <c r="J322" s="21">
        <v>1.203247</v>
      </c>
      <c r="K322" s="21">
        <v>0.57789299999999999</v>
      </c>
      <c r="L322" s="21">
        <v>0.34178700000000001</v>
      </c>
      <c r="M322" s="21">
        <v>0.49707299999999999</v>
      </c>
      <c r="N322" s="21">
        <v>0.56047899999999995</v>
      </c>
      <c r="O322" s="21">
        <v>0.33594099999999999</v>
      </c>
      <c r="P322" s="21">
        <v>0.26118599999999997</v>
      </c>
      <c r="Q322" s="21">
        <v>0.229464</v>
      </c>
      <c r="R322" s="20" t="s">
        <v>52</v>
      </c>
    </row>
    <row r="323" spans="1:18" x14ac:dyDescent="0.2">
      <c r="A323" s="5" t="s">
        <v>1205</v>
      </c>
      <c r="B323" s="21">
        <v>-3.2434999999999999E-2</v>
      </c>
      <c r="C323" s="21">
        <v>-4.5796999999999997E-2</v>
      </c>
      <c r="D323" s="21">
        <v>0.82712200000000002</v>
      </c>
      <c r="E323" s="21">
        <v>1.118117</v>
      </c>
      <c r="F323" s="21">
        <v>0.59695100000000001</v>
      </c>
      <c r="G323" s="21">
        <v>-0.165932</v>
      </c>
      <c r="H323" s="21">
        <v>-0.30631999999999998</v>
      </c>
      <c r="I323" s="21">
        <v>0.58852099999999996</v>
      </c>
      <c r="J323" s="21">
        <v>1.203247</v>
      </c>
      <c r="K323" s="21">
        <v>0.57789299999999999</v>
      </c>
      <c r="L323" s="21">
        <v>0.34178700000000001</v>
      </c>
      <c r="M323" s="21">
        <v>0.49707299999999999</v>
      </c>
      <c r="N323" s="21">
        <v>0.56047899999999995</v>
      </c>
      <c r="O323" s="21">
        <v>0.33594099999999999</v>
      </c>
      <c r="P323" s="21">
        <v>0.26118599999999997</v>
      </c>
      <c r="Q323" s="21">
        <v>0.229464</v>
      </c>
      <c r="R323" s="20" t="s">
        <v>52</v>
      </c>
    </row>
    <row r="324" spans="1:18" x14ac:dyDescent="0.2">
      <c r="A324" s="5" t="s">
        <v>1206</v>
      </c>
      <c r="B324" s="21">
        <v>-0.131213</v>
      </c>
      <c r="C324" s="21">
        <v>-9.758E-2</v>
      </c>
      <c r="D324" s="21">
        <v>1.3733200000000001</v>
      </c>
      <c r="E324" s="21">
        <v>1.256847</v>
      </c>
      <c r="F324" s="21">
        <v>0.76274399999999998</v>
      </c>
      <c r="G324" s="21">
        <v>-0.15106900000000001</v>
      </c>
      <c r="H324" s="21">
        <v>-0.383913</v>
      </c>
      <c r="I324" s="21">
        <v>0.69223000000000001</v>
      </c>
      <c r="J324" s="21">
        <v>1.107785</v>
      </c>
      <c r="K324" s="21">
        <v>0.48020499999999999</v>
      </c>
      <c r="L324" s="21">
        <v>0.28851100000000002</v>
      </c>
      <c r="M324" s="21">
        <v>0.46534399999999998</v>
      </c>
      <c r="N324" s="21">
        <v>0.49579099999999998</v>
      </c>
      <c r="O324" s="21">
        <v>0.29580400000000001</v>
      </c>
      <c r="P324" s="21">
        <v>0.260486</v>
      </c>
      <c r="Q324" s="21">
        <v>0.20378299999999999</v>
      </c>
      <c r="R324" s="20" t="s">
        <v>52</v>
      </c>
    </row>
    <row r="325" spans="1:18" x14ac:dyDescent="0.2">
      <c r="A325" s="5" t="s">
        <v>1207</v>
      </c>
      <c r="B325" s="21">
        <v>-3.2434999999999999E-2</v>
      </c>
      <c r="C325" s="21">
        <v>-0.11071400000000001</v>
      </c>
      <c r="D325" s="21">
        <v>-0.83209200000000005</v>
      </c>
      <c r="E325" s="21">
        <v>-0.79114099999999998</v>
      </c>
      <c r="F325" s="21">
        <v>0.59695100000000001</v>
      </c>
      <c r="G325" s="21">
        <v>-0.17854600000000001</v>
      </c>
      <c r="H325" s="21">
        <v>-0.31687799999999999</v>
      </c>
      <c r="I325" s="21">
        <v>0.58835499999999996</v>
      </c>
      <c r="J325" s="21">
        <v>1.200782</v>
      </c>
      <c r="K325" s="21">
        <v>0.57539200000000001</v>
      </c>
      <c r="L325" s="21">
        <v>0.34042800000000001</v>
      </c>
      <c r="M325" s="21">
        <v>0.49626599999999998</v>
      </c>
      <c r="N325" s="21">
        <v>0.54256300000000002</v>
      </c>
      <c r="O325" s="21">
        <v>0.29824200000000001</v>
      </c>
      <c r="P325" s="20" t="s">
        <v>52</v>
      </c>
      <c r="Q325" s="20" t="s">
        <v>52</v>
      </c>
      <c r="R325" s="20" t="s">
        <v>52</v>
      </c>
    </row>
    <row r="326" spans="1:18" x14ac:dyDescent="0.2">
      <c r="A326" s="5"/>
      <c r="B326" s="5"/>
      <c r="C326" s="5"/>
      <c r="D326" s="5"/>
      <c r="E326" s="5"/>
      <c r="F326" s="5"/>
      <c r="G326" s="5"/>
      <c r="H326" s="5"/>
      <c r="I326" s="5"/>
      <c r="J326" s="5"/>
      <c r="K326" s="5"/>
      <c r="L326" s="5"/>
      <c r="M326" s="5"/>
      <c r="N326" s="5"/>
      <c r="O326" s="5"/>
      <c r="P326" s="5"/>
      <c r="Q326" s="5"/>
      <c r="R326" s="5"/>
    </row>
    <row r="327" spans="1:18" x14ac:dyDescent="0.2">
      <c r="A327" s="5" t="s">
        <v>1208</v>
      </c>
      <c r="B327" s="21">
        <v>0.56353799999999998</v>
      </c>
      <c r="C327" s="21">
        <v>0.26112400000000002</v>
      </c>
      <c r="D327" s="21">
        <v>0.72575599999999996</v>
      </c>
      <c r="E327" s="21">
        <v>0.210789</v>
      </c>
      <c r="F327" s="21">
        <v>-0.10842300000000001</v>
      </c>
      <c r="G327" s="21">
        <v>0.137021</v>
      </c>
      <c r="H327" s="21">
        <v>7.4279999999999999E-2</v>
      </c>
      <c r="I327" s="21">
        <v>0.20647699999999999</v>
      </c>
      <c r="J327" s="21">
        <v>0.12973799999999999</v>
      </c>
      <c r="K327" s="21">
        <v>3.9754999999999999E-2</v>
      </c>
      <c r="L327" s="21">
        <v>0.23604700000000001</v>
      </c>
      <c r="M327" s="21">
        <v>0.51980000000000004</v>
      </c>
      <c r="N327" s="21">
        <v>0.49058099999999999</v>
      </c>
      <c r="O327" s="21">
        <v>0.308421</v>
      </c>
      <c r="P327" s="21">
        <v>0.19283900000000001</v>
      </c>
      <c r="Q327" s="21">
        <v>0.19272500000000001</v>
      </c>
      <c r="R327" s="20" t="s">
        <v>52</v>
      </c>
    </row>
    <row r="328" spans="1:18" x14ac:dyDescent="0.2">
      <c r="A328" s="5" t="s">
        <v>1209</v>
      </c>
      <c r="B328" s="21">
        <v>0.63790800000000003</v>
      </c>
      <c r="C328" s="21">
        <v>1.6703460000000001</v>
      </c>
      <c r="D328" s="21">
        <v>1.7313799999999999</v>
      </c>
      <c r="E328" s="21">
        <v>-7.1839E-2</v>
      </c>
      <c r="F328" s="21">
        <v>-0.56231399999999998</v>
      </c>
      <c r="G328" s="21">
        <v>-6.8167000000000005E-2</v>
      </c>
      <c r="H328" s="21">
        <v>-0.164435</v>
      </c>
      <c r="I328" s="21">
        <v>0.26849699999999999</v>
      </c>
      <c r="J328" s="21">
        <v>0.533609</v>
      </c>
      <c r="K328" s="21">
        <v>-0.19116900000000001</v>
      </c>
      <c r="L328" s="21">
        <v>0.43692199999999998</v>
      </c>
      <c r="M328" s="21">
        <v>0.98551100000000003</v>
      </c>
      <c r="N328" s="21">
        <v>0.55403199999999997</v>
      </c>
      <c r="O328" s="21">
        <v>1.028011</v>
      </c>
      <c r="P328" s="21">
        <v>0.49407000000000001</v>
      </c>
      <c r="Q328" s="21">
        <v>-0.212732</v>
      </c>
      <c r="R328" s="20" t="s">
        <v>52</v>
      </c>
    </row>
    <row r="329" spans="1:18" x14ac:dyDescent="0.2">
      <c r="A329" s="5" t="s">
        <v>1210</v>
      </c>
      <c r="B329" s="21">
        <v>0.36857800000000002</v>
      </c>
      <c r="C329" s="21">
        <v>0.37120399999999998</v>
      </c>
      <c r="D329" s="21">
        <v>-7.3951000000000003E-2</v>
      </c>
      <c r="E329" s="21">
        <v>-0.150536</v>
      </c>
      <c r="F329" s="21">
        <v>0.35127199999999997</v>
      </c>
      <c r="G329" s="21">
        <v>0.28483999999999998</v>
      </c>
      <c r="H329" s="21">
        <v>-0.24296999999999999</v>
      </c>
      <c r="I329" s="21">
        <v>-0.143902</v>
      </c>
      <c r="J329" s="21">
        <v>0.20269699999999999</v>
      </c>
      <c r="K329" s="21">
        <v>1.779E-3</v>
      </c>
      <c r="L329" s="21">
        <v>-0.19455700000000001</v>
      </c>
      <c r="M329" s="21">
        <v>0.25161</v>
      </c>
      <c r="N329" s="21">
        <v>2.5646059999999999</v>
      </c>
      <c r="O329" s="21">
        <v>1.998645</v>
      </c>
      <c r="P329" s="21">
        <v>0.186053</v>
      </c>
      <c r="Q329" s="21">
        <v>4.9653000000000003E-2</v>
      </c>
      <c r="R329" s="20" t="s">
        <v>52</v>
      </c>
    </row>
    <row r="330" spans="1:18" x14ac:dyDescent="0.2">
      <c r="A330" s="5" t="s">
        <v>1079</v>
      </c>
      <c r="B330" s="21">
        <v>0.53362500000000002</v>
      </c>
      <c r="C330" s="21">
        <v>0.28117300000000001</v>
      </c>
      <c r="D330" s="21">
        <v>0.71452700000000002</v>
      </c>
      <c r="E330" s="21">
        <v>0.30946499999999999</v>
      </c>
      <c r="F330" s="21">
        <v>-6.4863000000000004E-2</v>
      </c>
      <c r="G330" s="21">
        <v>0.108887</v>
      </c>
      <c r="H330" s="21">
        <v>-2.3779999999999999E-3</v>
      </c>
      <c r="I330" s="21">
        <v>0.25909500000000002</v>
      </c>
      <c r="J330" s="21">
        <v>0.37804599999999999</v>
      </c>
      <c r="K330" s="21">
        <v>0.154971</v>
      </c>
      <c r="L330" s="21">
        <v>0.202602</v>
      </c>
      <c r="M330" s="21">
        <v>0.30366300000000002</v>
      </c>
      <c r="N330" s="21">
        <v>0.42578700000000003</v>
      </c>
      <c r="O330" s="21">
        <v>0.33933099999999999</v>
      </c>
      <c r="P330" s="21">
        <v>0.28013399999999999</v>
      </c>
      <c r="Q330" s="21">
        <v>0.390764</v>
      </c>
      <c r="R330" s="20" t="s">
        <v>52</v>
      </c>
    </row>
    <row r="331" spans="1:18" x14ac:dyDescent="0.2">
      <c r="A331" s="5"/>
      <c r="B331" s="5"/>
      <c r="C331" s="5"/>
      <c r="D331" s="5"/>
      <c r="E331" s="5"/>
      <c r="F331" s="5"/>
      <c r="G331" s="5"/>
      <c r="H331" s="5"/>
      <c r="I331" s="5"/>
      <c r="J331" s="5"/>
      <c r="K331" s="5"/>
      <c r="L331" s="5"/>
      <c r="M331" s="5"/>
      <c r="N331" s="5"/>
      <c r="O331" s="5"/>
      <c r="P331" s="5"/>
      <c r="Q331" s="5"/>
      <c r="R331" s="5"/>
    </row>
    <row r="332" spans="1:18" x14ac:dyDescent="0.2">
      <c r="A332" s="5" t="s">
        <v>1211</v>
      </c>
      <c r="B332" s="21">
        <v>0.51226400000000005</v>
      </c>
      <c r="C332" s="21">
        <v>0.34648200000000001</v>
      </c>
      <c r="D332" s="21">
        <v>0.66325000000000001</v>
      </c>
      <c r="E332" s="21">
        <v>0.71183399999999997</v>
      </c>
      <c r="F332" s="21">
        <v>0.489869</v>
      </c>
      <c r="G332" s="21">
        <v>2.383E-2</v>
      </c>
      <c r="H332" s="21">
        <v>-4.1666000000000002E-2</v>
      </c>
      <c r="I332" s="21">
        <v>0.45793400000000001</v>
      </c>
      <c r="J332" s="21">
        <v>0.51778400000000002</v>
      </c>
      <c r="K332" s="21">
        <v>0.49379600000000001</v>
      </c>
      <c r="L332" s="21">
        <v>0.15277399999999999</v>
      </c>
      <c r="M332" s="21">
        <v>0.29466300000000001</v>
      </c>
      <c r="N332" s="21">
        <v>0.77073599999999998</v>
      </c>
      <c r="O332" s="21">
        <v>0.38439499999999999</v>
      </c>
      <c r="P332" s="21">
        <v>0.31854500000000002</v>
      </c>
      <c r="Q332" s="21">
        <v>0.40979900000000002</v>
      </c>
      <c r="R332" s="20" t="s">
        <v>52</v>
      </c>
    </row>
    <row r="333" spans="1:18" x14ac:dyDescent="0.2">
      <c r="A333" s="5" t="s">
        <v>1212</v>
      </c>
      <c r="B333" s="21">
        <v>0.51226400000000005</v>
      </c>
      <c r="C333" s="21">
        <v>0.34648200000000001</v>
      </c>
      <c r="D333" s="21">
        <v>0.83715799999999996</v>
      </c>
      <c r="E333" s="21">
        <v>0.71183399999999997</v>
      </c>
      <c r="F333" s="21">
        <v>0.34883700000000001</v>
      </c>
      <c r="G333" s="21">
        <v>2.383E-2</v>
      </c>
      <c r="H333" s="21">
        <v>-4.1666000000000002E-2</v>
      </c>
      <c r="I333" s="21">
        <v>0.45793400000000001</v>
      </c>
      <c r="J333" s="21">
        <v>0.51778400000000002</v>
      </c>
      <c r="K333" s="21">
        <v>0.49379600000000001</v>
      </c>
      <c r="L333" s="21">
        <v>0.15277399999999999</v>
      </c>
      <c r="M333" s="21">
        <v>0.29466300000000001</v>
      </c>
      <c r="N333" s="21">
        <v>0.77073599999999998</v>
      </c>
      <c r="O333" s="21">
        <v>0.39023600000000003</v>
      </c>
      <c r="P333" s="21">
        <v>0.32334000000000002</v>
      </c>
      <c r="Q333" s="21">
        <v>0.40724300000000002</v>
      </c>
      <c r="R333" s="20" t="s">
        <v>52</v>
      </c>
    </row>
    <row r="334" spans="1:18" x14ac:dyDescent="0.2">
      <c r="A334" s="5" t="s">
        <v>1213</v>
      </c>
      <c r="B334" s="21" t="s">
        <v>1173</v>
      </c>
      <c r="C334" s="21" t="s">
        <v>1173</v>
      </c>
      <c r="D334" s="21" t="s">
        <v>1173</v>
      </c>
      <c r="E334" s="21">
        <v>1.838444</v>
      </c>
      <c r="F334" s="21" t="s">
        <v>1173</v>
      </c>
      <c r="G334" s="21" t="s">
        <v>1173</v>
      </c>
      <c r="H334" s="21" t="s">
        <v>1173</v>
      </c>
      <c r="I334" s="21" t="s">
        <v>1173</v>
      </c>
      <c r="J334" s="21">
        <v>2.9575629999999999</v>
      </c>
      <c r="K334" s="21">
        <v>0.41164800000000001</v>
      </c>
      <c r="L334" s="21">
        <v>0.17054900000000001</v>
      </c>
      <c r="M334" s="21">
        <v>-0.56114600000000003</v>
      </c>
      <c r="N334" s="21">
        <v>0.27774100000000002</v>
      </c>
      <c r="O334" s="21">
        <v>2.4793790000000002</v>
      </c>
      <c r="P334" s="21">
        <v>0.56329799999999997</v>
      </c>
      <c r="Q334" s="21">
        <v>0.63864200000000004</v>
      </c>
      <c r="R334" s="20" t="s">
        <v>52</v>
      </c>
    </row>
    <row r="335" spans="1:18" x14ac:dyDescent="0.2">
      <c r="A335" s="5" t="s">
        <v>1214</v>
      </c>
      <c r="B335" s="21">
        <v>0.51113900000000001</v>
      </c>
      <c r="C335" s="21">
        <v>0.51457200000000003</v>
      </c>
      <c r="D335" s="21">
        <v>-0.442527</v>
      </c>
      <c r="E335" s="21">
        <v>-0.128104</v>
      </c>
      <c r="F335" s="21">
        <v>1.51508</v>
      </c>
      <c r="G335" s="21">
        <v>0.318799</v>
      </c>
      <c r="H335" s="21">
        <v>-0.545933</v>
      </c>
      <c r="I335" s="21">
        <v>-0.24862699999999999</v>
      </c>
      <c r="J335" s="21">
        <v>0.48378100000000002</v>
      </c>
      <c r="K335" s="21">
        <v>5.2346999999999998E-2</v>
      </c>
      <c r="L335" s="21">
        <v>4.1850000000000004E-3</v>
      </c>
      <c r="M335" s="21">
        <v>0.88253499999999996</v>
      </c>
      <c r="N335" s="21">
        <v>3.4073060000000002</v>
      </c>
      <c r="O335" s="21">
        <v>1.1739569999999999</v>
      </c>
      <c r="P335" s="21">
        <v>-0.36369299999999999</v>
      </c>
      <c r="Q335" s="21">
        <v>-9.7572000000000006E-2</v>
      </c>
      <c r="R335" s="20" t="s">
        <v>52</v>
      </c>
    </row>
    <row r="336" spans="1:18" x14ac:dyDescent="0.2">
      <c r="A336" s="5" t="s">
        <v>1215</v>
      </c>
      <c r="B336" s="21" t="s">
        <v>1173</v>
      </c>
      <c r="C336" s="21" t="s">
        <v>1173</v>
      </c>
      <c r="D336" s="21" t="s">
        <v>1173</v>
      </c>
      <c r="E336" s="21" t="s">
        <v>1173</v>
      </c>
      <c r="F336" s="21" t="s">
        <v>1173</v>
      </c>
      <c r="G336" s="21" t="s">
        <v>1173</v>
      </c>
      <c r="H336" s="21" t="s">
        <v>1173</v>
      </c>
      <c r="I336" s="21" t="s">
        <v>1173</v>
      </c>
      <c r="J336" s="21">
        <v>15.071823</v>
      </c>
      <c r="K336" s="21">
        <v>0.35923500000000003</v>
      </c>
      <c r="L336" s="21">
        <v>5.9043999999999999E-2</v>
      </c>
      <c r="M336" s="21" t="s">
        <v>1173</v>
      </c>
      <c r="N336" s="21">
        <v>-0.36057</v>
      </c>
      <c r="O336" s="21" t="s">
        <v>1173</v>
      </c>
      <c r="P336" s="21">
        <v>2.4276230000000001</v>
      </c>
      <c r="Q336" s="21">
        <v>0.90514399999999995</v>
      </c>
      <c r="R336" s="20" t="s">
        <v>52</v>
      </c>
    </row>
    <row r="337" spans="1:18" x14ac:dyDescent="0.2">
      <c r="A337" s="5" t="s">
        <v>1216</v>
      </c>
      <c r="B337" s="21" t="s">
        <v>1173</v>
      </c>
      <c r="C337" s="21" t="s">
        <v>1173</v>
      </c>
      <c r="D337" s="21" t="s">
        <v>1173</v>
      </c>
      <c r="E337" s="21">
        <v>9.5301240000000007</v>
      </c>
      <c r="F337" s="21" t="s">
        <v>1173</v>
      </c>
      <c r="G337" s="21" t="s">
        <v>1173</v>
      </c>
      <c r="H337" s="21" t="s">
        <v>1173</v>
      </c>
      <c r="I337" s="21" t="s">
        <v>1173</v>
      </c>
      <c r="J337" s="21">
        <v>10.425632</v>
      </c>
      <c r="K337" s="21">
        <v>0.35786600000000002</v>
      </c>
      <c r="L337" s="21">
        <v>6.2220999999999999E-2</v>
      </c>
      <c r="M337" s="21" t="s">
        <v>1173</v>
      </c>
      <c r="N337" s="21">
        <v>-0.36253200000000002</v>
      </c>
      <c r="O337" s="21" t="s">
        <v>1173</v>
      </c>
      <c r="P337" s="21">
        <v>2.4276230000000001</v>
      </c>
      <c r="Q337" s="21">
        <v>0.90514399999999995</v>
      </c>
      <c r="R337" s="20" t="s">
        <v>52</v>
      </c>
    </row>
    <row r="338" spans="1:18" x14ac:dyDescent="0.2">
      <c r="A338" s="5" t="s">
        <v>1217</v>
      </c>
      <c r="B338" s="20" t="s">
        <v>52</v>
      </c>
      <c r="C338" s="20" t="s">
        <v>52</v>
      </c>
      <c r="D338" s="20" t="s">
        <v>52</v>
      </c>
      <c r="E338" s="20" t="s">
        <v>52</v>
      </c>
      <c r="F338" s="20" t="s">
        <v>52</v>
      </c>
      <c r="G338" s="20" t="s">
        <v>52</v>
      </c>
      <c r="H338" s="20" t="s">
        <v>52</v>
      </c>
      <c r="I338" s="20" t="s">
        <v>52</v>
      </c>
      <c r="J338" s="20" t="s">
        <v>52</v>
      </c>
      <c r="K338" s="20" t="s">
        <v>52</v>
      </c>
      <c r="L338" s="20" t="s">
        <v>52</v>
      </c>
      <c r="M338" s="20" t="s">
        <v>52</v>
      </c>
      <c r="N338" s="20" t="s">
        <v>52</v>
      </c>
      <c r="O338" s="20" t="s">
        <v>52</v>
      </c>
      <c r="P338" s="20" t="s">
        <v>52</v>
      </c>
      <c r="Q338" s="20" t="s">
        <v>52</v>
      </c>
      <c r="R338" s="20" t="s">
        <v>52</v>
      </c>
    </row>
    <row r="339" spans="1:18" x14ac:dyDescent="0.2">
      <c r="A339" s="5"/>
      <c r="B339" s="5"/>
      <c r="C339" s="5"/>
      <c r="D339" s="5"/>
      <c r="E339" s="5"/>
      <c r="F339" s="5"/>
      <c r="G339" s="5"/>
      <c r="H339" s="5"/>
      <c r="I339" s="5"/>
      <c r="J339" s="5"/>
      <c r="K339" s="5"/>
      <c r="L339" s="5"/>
      <c r="M339" s="5"/>
      <c r="N339" s="5"/>
      <c r="O339" s="5"/>
      <c r="P339" s="5"/>
      <c r="Q339" s="5"/>
      <c r="R339" s="5"/>
    </row>
    <row r="340" spans="1:18" ht="10.5" x14ac:dyDescent="0.2">
      <c r="A340" s="14" t="s">
        <v>1219</v>
      </c>
      <c r="B340" s="5"/>
      <c r="C340" s="5"/>
      <c r="D340" s="5"/>
      <c r="E340" s="5"/>
      <c r="F340" s="5"/>
      <c r="G340" s="5"/>
      <c r="H340" s="5"/>
      <c r="I340" s="5"/>
      <c r="J340" s="5"/>
      <c r="K340" s="5"/>
      <c r="L340" s="5"/>
      <c r="M340" s="5"/>
      <c r="N340" s="5"/>
      <c r="O340" s="5"/>
      <c r="P340" s="5"/>
      <c r="Q340" s="5"/>
      <c r="R340" s="5"/>
    </row>
    <row r="341" spans="1:18" x14ac:dyDescent="0.2">
      <c r="A341" s="5" t="s">
        <v>1199</v>
      </c>
      <c r="B341" s="21">
        <v>0.56801400000000002</v>
      </c>
      <c r="C341" s="21">
        <v>0.52214099999999997</v>
      </c>
      <c r="D341" s="21">
        <v>0.33251900000000001</v>
      </c>
      <c r="E341" s="21">
        <v>0.29052800000000001</v>
      </c>
      <c r="F341" s="21">
        <v>0.17069500000000001</v>
      </c>
      <c r="G341" s="21">
        <v>0.13936599999999999</v>
      </c>
      <c r="H341" s="21">
        <v>0.19447200000000001</v>
      </c>
      <c r="I341" s="21">
        <v>0.203544</v>
      </c>
      <c r="J341" s="21">
        <v>0.21694099999999999</v>
      </c>
      <c r="K341" s="21">
        <v>0.18909100000000001</v>
      </c>
      <c r="L341" s="21">
        <v>0.17808299999999999</v>
      </c>
      <c r="M341" s="21">
        <v>0.28668199999999999</v>
      </c>
      <c r="N341" s="21">
        <v>0.39041700000000001</v>
      </c>
      <c r="O341" s="21">
        <v>0.39509899999999998</v>
      </c>
      <c r="P341" s="21">
        <v>0.32050499999999998</v>
      </c>
      <c r="Q341" s="21">
        <v>0.25155899999999998</v>
      </c>
      <c r="R341" s="20" t="s">
        <v>52</v>
      </c>
    </row>
    <row r="342" spans="1:18" x14ac:dyDescent="0.2">
      <c r="A342" s="5" t="s">
        <v>1200</v>
      </c>
      <c r="B342" s="21">
        <v>0.371591</v>
      </c>
      <c r="C342" s="21">
        <v>0.32311499999999999</v>
      </c>
      <c r="D342" s="21">
        <v>0.36544100000000002</v>
      </c>
      <c r="E342" s="21">
        <v>0.322432</v>
      </c>
      <c r="F342" s="21">
        <v>0.24266699999999999</v>
      </c>
      <c r="G342" s="21">
        <v>6.1810999999999998E-2</v>
      </c>
      <c r="H342" s="21">
        <v>0.13900299999999999</v>
      </c>
      <c r="I342" s="21">
        <v>0.203987</v>
      </c>
      <c r="J342" s="21">
        <v>0.32145200000000002</v>
      </c>
      <c r="K342" s="21">
        <v>0.26693699999999998</v>
      </c>
      <c r="L342" s="21">
        <v>0.23351</v>
      </c>
      <c r="M342" s="21">
        <v>0.29897000000000001</v>
      </c>
      <c r="N342" s="21">
        <v>0.36599300000000001</v>
      </c>
      <c r="O342" s="21">
        <v>0.35220299999999999</v>
      </c>
      <c r="P342" s="21">
        <v>0.26910800000000001</v>
      </c>
      <c r="Q342" s="21">
        <v>0.22226799999999999</v>
      </c>
      <c r="R342" s="20" t="s">
        <v>52</v>
      </c>
    </row>
    <row r="343" spans="1:18" x14ac:dyDescent="0.2">
      <c r="A343" s="5" t="s">
        <v>1201</v>
      </c>
      <c r="B343" s="21">
        <v>0.40878700000000001</v>
      </c>
      <c r="C343" s="21">
        <v>0.21463599999999999</v>
      </c>
      <c r="D343" s="21">
        <v>0.19974600000000001</v>
      </c>
      <c r="E343" s="21">
        <v>0.42885000000000001</v>
      </c>
      <c r="F343" s="21">
        <v>0.31511299999999998</v>
      </c>
      <c r="G343" s="21">
        <v>-2.1121000000000001E-2</v>
      </c>
      <c r="H343" s="21">
        <v>-6.2102999999999998E-2</v>
      </c>
      <c r="I343" s="21">
        <v>0.16253600000000001</v>
      </c>
      <c r="J343" s="21">
        <v>0.62395299999999998</v>
      </c>
      <c r="K343" s="21">
        <v>0.72853800000000002</v>
      </c>
      <c r="L343" s="21">
        <v>0.44365300000000002</v>
      </c>
      <c r="M343" s="21">
        <v>0.41466799999999998</v>
      </c>
      <c r="N343" s="21">
        <v>0.43686799999999998</v>
      </c>
      <c r="O343" s="21">
        <v>0.402619</v>
      </c>
      <c r="P343" s="21">
        <v>0.309278</v>
      </c>
      <c r="Q343" s="21">
        <v>0.22038099999999999</v>
      </c>
      <c r="R343" s="20" t="s">
        <v>52</v>
      </c>
    </row>
    <row r="344" spans="1:18" x14ac:dyDescent="0.2">
      <c r="A344" s="5" t="s">
        <v>1202</v>
      </c>
      <c r="B344" s="21">
        <v>0.43125999999999998</v>
      </c>
      <c r="C344" s="21">
        <v>0.18806200000000001</v>
      </c>
      <c r="D344" s="21">
        <v>0.16733899999999999</v>
      </c>
      <c r="E344" s="21">
        <v>0.45897700000000002</v>
      </c>
      <c r="F344" s="21">
        <v>0.35220600000000002</v>
      </c>
      <c r="G344" s="21">
        <v>-2.4382999999999998E-2</v>
      </c>
      <c r="H344" s="21">
        <v>-7.4726000000000001E-2</v>
      </c>
      <c r="I344" s="21">
        <v>0.18693100000000001</v>
      </c>
      <c r="J344" s="21">
        <v>0.71015399999999995</v>
      </c>
      <c r="K344" s="21">
        <v>0.77982600000000002</v>
      </c>
      <c r="L344" s="21">
        <v>0.44377800000000001</v>
      </c>
      <c r="M344" s="21">
        <v>0.41600500000000001</v>
      </c>
      <c r="N344" s="21">
        <v>0.44419799999999998</v>
      </c>
      <c r="O344" s="21">
        <v>0.39725300000000002</v>
      </c>
      <c r="P344" s="21">
        <v>0.29683900000000002</v>
      </c>
      <c r="Q344" s="21">
        <v>0.210956</v>
      </c>
      <c r="R344" s="20" t="s">
        <v>52</v>
      </c>
    </row>
    <row r="345" spans="1:18" x14ac:dyDescent="0.2">
      <c r="A345" s="5" t="s">
        <v>1203</v>
      </c>
      <c r="B345" s="21">
        <v>0.43125999999999998</v>
      </c>
      <c r="C345" s="21">
        <v>0.18806200000000001</v>
      </c>
      <c r="D345" s="21">
        <v>0.15085799999999999</v>
      </c>
      <c r="E345" s="21">
        <v>0.45897700000000002</v>
      </c>
      <c r="F345" s="21">
        <v>0.35220600000000002</v>
      </c>
      <c r="G345" s="21">
        <v>-1.0411999999999999E-2</v>
      </c>
      <c r="H345" s="21">
        <v>-7.4726000000000001E-2</v>
      </c>
      <c r="I345" s="21">
        <v>0.18693100000000001</v>
      </c>
      <c r="J345" s="21">
        <v>0.71015399999999995</v>
      </c>
      <c r="K345" s="21">
        <v>0.77982600000000002</v>
      </c>
      <c r="L345" s="21">
        <v>0.44377800000000001</v>
      </c>
      <c r="M345" s="21">
        <v>0.41600500000000001</v>
      </c>
      <c r="N345" s="21">
        <v>0.44419799999999998</v>
      </c>
      <c r="O345" s="21">
        <v>0.39725300000000002</v>
      </c>
      <c r="P345" s="21">
        <v>0.29683900000000002</v>
      </c>
      <c r="Q345" s="21">
        <v>0.210956</v>
      </c>
      <c r="R345" s="20" t="s">
        <v>52</v>
      </c>
    </row>
    <row r="346" spans="1:18" x14ac:dyDescent="0.2">
      <c r="A346" s="5" t="s">
        <v>1204</v>
      </c>
      <c r="B346" s="21">
        <v>0.49480800000000003</v>
      </c>
      <c r="C346" s="21">
        <v>0.13688600000000001</v>
      </c>
      <c r="D346" s="21">
        <v>0.100725</v>
      </c>
      <c r="E346" s="21">
        <v>0.48402600000000001</v>
      </c>
      <c r="F346" s="21">
        <v>0.55343299999999995</v>
      </c>
      <c r="G346" s="21">
        <v>7.5510999999999995E-2</v>
      </c>
      <c r="H346" s="21">
        <v>-0.117964</v>
      </c>
      <c r="I346" s="21">
        <v>7.1722999999999995E-2</v>
      </c>
      <c r="J346" s="21">
        <v>0.68549599999999999</v>
      </c>
      <c r="K346" s="21">
        <v>0.85365199999999997</v>
      </c>
      <c r="L346" s="21">
        <v>0.50610299999999997</v>
      </c>
      <c r="M346" s="21">
        <v>0.43267699999999998</v>
      </c>
      <c r="N346" s="21">
        <v>0.495002</v>
      </c>
      <c r="O346" s="21">
        <v>0.428512</v>
      </c>
      <c r="P346" s="21">
        <v>0.33351900000000001</v>
      </c>
      <c r="Q346" s="21">
        <v>0.218585</v>
      </c>
      <c r="R346" s="20" t="s">
        <v>52</v>
      </c>
    </row>
    <row r="347" spans="1:18" x14ac:dyDescent="0.2">
      <c r="A347" s="5" t="s">
        <v>1205</v>
      </c>
      <c r="B347" s="21">
        <v>0.32681399999999999</v>
      </c>
      <c r="C347" s="21">
        <v>7.6000999999999999E-2</v>
      </c>
      <c r="D347" s="21">
        <v>0.31698100000000001</v>
      </c>
      <c r="E347" s="21">
        <v>0.81409100000000001</v>
      </c>
      <c r="F347" s="21">
        <v>0.856437</v>
      </c>
      <c r="G347" s="21">
        <v>7.5510999999999995E-2</v>
      </c>
      <c r="H347" s="21">
        <v>-0.117964</v>
      </c>
      <c r="I347" s="21">
        <v>7.1722999999999995E-2</v>
      </c>
      <c r="J347" s="21">
        <v>0.68549599999999999</v>
      </c>
      <c r="K347" s="21">
        <v>0.85365199999999997</v>
      </c>
      <c r="L347" s="21">
        <v>0.50610299999999997</v>
      </c>
      <c r="M347" s="21">
        <v>0.43267699999999998</v>
      </c>
      <c r="N347" s="21">
        <v>0.495002</v>
      </c>
      <c r="O347" s="21">
        <v>0.428512</v>
      </c>
      <c r="P347" s="21">
        <v>0.33351900000000001</v>
      </c>
      <c r="Q347" s="21">
        <v>0.218585</v>
      </c>
      <c r="R347" s="20" t="s">
        <v>52</v>
      </c>
    </row>
    <row r="348" spans="1:18" x14ac:dyDescent="0.2">
      <c r="A348" s="5" t="s">
        <v>1206</v>
      </c>
      <c r="B348" s="21">
        <v>0.25102099999999999</v>
      </c>
      <c r="C348" s="21">
        <v>6.8478999999999998E-2</v>
      </c>
      <c r="D348" s="21">
        <v>0.41585800000000001</v>
      </c>
      <c r="E348" s="21">
        <v>1.019104</v>
      </c>
      <c r="F348" s="21">
        <v>1.2124490000000001</v>
      </c>
      <c r="G348" s="21">
        <v>1.7426000000000001E-2</v>
      </c>
      <c r="H348" s="21">
        <v>-6.8963999999999998E-2</v>
      </c>
      <c r="I348" s="21">
        <v>-9.8919999999999998E-3</v>
      </c>
      <c r="J348" s="21">
        <v>0.70713999999999999</v>
      </c>
      <c r="K348" s="21">
        <v>0.77610900000000005</v>
      </c>
      <c r="L348" s="21">
        <v>0.42349100000000001</v>
      </c>
      <c r="M348" s="21">
        <v>0.39383600000000002</v>
      </c>
      <c r="N348" s="21">
        <v>0.43346600000000002</v>
      </c>
      <c r="O348" s="21">
        <v>0.39909099999999997</v>
      </c>
      <c r="P348" s="21">
        <v>0.296541</v>
      </c>
      <c r="Q348" s="21">
        <v>0.21049799999999999</v>
      </c>
      <c r="R348" s="20" t="s">
        <v>52</v>
      </c>
    </row>
    <row r="349" spans="1:18" x14ac:dyDescent="0.2">
      <c r="A349" s="5" t="s">
        <v>1207</v>
      </c>
      <c r="B349" s="21">
        <v>0.32681399999999999</v>
      </c>
      <c r="C349" s="21">
        <v>2.6627999999999999E-2</v>
      </c>
      <c r="D349" s="21">
        <v>-0.73180900000000004</v>
      </c>
      <c r="E349" s="21">
        <v>-0.63057300000000005</v>
      </c>
      <c r="F349" s="21">
        <v>-0.603769</v>
      </c>
      <c r="G349" s="21">
        <v>6.4641000000000004E-2</v>
      </c>
      <c r="H349" s="21">
        <v>-0.12693599999999999</v>
      </c>
      <c r="I349" s="21">
        <v>6.0816000000000002E-2</v>
      </c>
      <c r="J349" s="21">
        <v>0.68412899999999999</v>
      </c>
      <c r="K349" s="21">
        <v>0.851684</v>
      </c>
      <c r="L349" s="21">
        <v>0.50397000000000003</v>
      </c>
      <c r="M349" s="21">
        <v>0.43170900000000001</v>
      </c>
      <c r="N349" s="21">
        <v>0.48300300000000002</v>
      </c>
      <c r="O349" s="21">
        <v>0.40150999999999998</v>
      </c>
      <c r="P349" s="20" t="s">
        <v>52</v>
      </c>
      <c r="Q349" s="20" t="s">
        <v>52</v>
      </c>
      <c r="R349" s="20" t="s">
        <v>52</v>
      </c>
    </row>
    <row r="350" spans="1:18" x14ac:dyDescent="0.2">
      <c r="A350" s="5"/>
      <c r="B350" s="5"/>
      <c r="C350" s="5"/>
      <c r="D350" s="5"/>
      <c r="E350" s="5"/>
      <c r="F350" s="5"/>
      <c r="G350" s="5"/>
      <c r="H350" s="5"/>
      <c r="I350" s="5"/>
      <c r="J350" s="5"/>
      <c r="K350" s="5"/>
      <c r="L350" s="5"/>
      <c r="M350" s="5"/>
      <c r="N350" s="5"/>
      <c r="O350" s="5"/>
      <c r="P350" s="5"/>
      <c r="Q350" s="5"/>
      <c r="R350" s="5"/>
    </row>
    <row r="351" spans="1:18" x14ac:dyDescent="0.2">
      <c r="A351" s="5" t="s">
        <v>1208</v>
      </c>
      <c r="B351" s="21">
        <v>0.66224300000000003</v>
      </c>
      <c r="C351" s="21">
        <v>0.44017299999999998</v>
      </c>
      <c r="D351" s="21">
        <v>0.57090300000000005</v>
      </c>
      <c r="E351" s="21">
        <v>0.214473</v>
      </c>
      <c r="F351" s="21">
        <v>0.246665</v>
      </c>
      <c r="G351" s="21">
        <v>-8.0438999999999997E-2</v>
      </c>
      <c r="H351" s="21">
        <v>0.15110799999999999</v>
      </c>
      <c r="I351" s="21">
        <v>0.125004</v>
      </c>
      <c r="J351" s="21">
        <v>0.14618700000000001</v>
      </c>
      <c r="K351" s="21">
        <v>0.10077</v>
      </c>
      <c r="L351" s="21">
        <v>0.16483900000000001</v>
      </c>
      <c r="M351" s="21">
        <v>0.34143299999999999</v>
      </c>
      <c r="N351" s="21">
        <v>0.48097899999999999</v>
      </c>
      <c r="O351" s="21">
        <v>0.39329799999999998</v>
      </c>
      <c r="P351" s="21">
        <v>0.26012099999999999</v>
      </c>
      <c r="Q351" s="21">
        <v>0.20088300000000001</v>
      </c>
      <c r="R351" s="20" t="s">
        <v>52</v>
      </c>
    </row>
    <row r="352" spans="1:18" x14ac:dyDescent="0.2">
      <c r="A352" s="5" t="s">
        <v>1209</v>
      </c>
      <c r="B352" s="21">
        <v>0.46338600000000002</v>
      </c>
      <c r="C352" s="21">
        <v>0.73705100000000001</v>
      </c>
      <c r="D352" s="21">
        <v>2.0084789999999999</v>
      </c>
      <c r="E352" s="21">
        <v>0.18951100000000001</v>
      </c>
      <c r="F352" s="21">
        <v>-9.8960000000000006E-2</v>
      </c>
      <c r="G352" s="21">
        <v>-0.41922799999999999</v>
      </c>
      <c r="H352" s="21">
        <v>-0.15992999999999999</v>
      </c>
      <c r="I352" s="21">
        <v>0.180565</v>
      </c>
      <c r="J352" s="21">
        <v>0.17102600000000001</v>
      </c>
      <c r="K352" s="21">
        <v>0.155247</v>
      </c>
      <c r="L352" s="21">
        <v>0.27251300000000001</v>
      </c>
      <c r="M352" s="21">
        <v>0.37229299999999999</v>
      </c>
      <c r="N352" s="21">
        <v>0.96666399999999997</v>
      </c>
      <c r="O352" s="21">
        <v>0.72665199999999996</v>
      </c>
      <c r="P352" s="21">
        <v>0.62703100000000001</v>
      </c>
      <c r="Q352" s="21">
        <v>9.7269999999999995E-2</v>
      </c>
      <c r="R352" s="20" t="s">
        <v>52</v>
      </c>
    </row>
    <row r="353" spans="1:18" x14ac:dyDescent="0.2">
      <c r="A353" s="5" t="s">
        <v>1210</v>
      </c>
      <c r="B353" s="21">
        <v>0.390737</v>
      </c>
      <c r="C353" s="21">
        <v>0.29975200000000002</v>
      </c>
      <c r="D353" s="21">
        <v>0.112099</v>
      </c>
      <c r="E353" s="21">
        <v>-5.4247999999999998E-2</v>
      </c>
      <c r="F353" s="21">
        <v>0.101296</v>
      </c>
      <c r="G353" s="21">
        <v>0.17648800000000001</v>
      </c>
      <c r="H353" s="21">
        <v>1.9879999999999998E-2</v>
      </c>
      <c r="I353" s="21">
        <v>-0.132157</v>
      </c>
      <c r="J353" s="21">
        <v>-2.4066000000000001E-2</v>
      </c>
      <c r="K353" s="21">
        <v>4.6037000000000002E-2</v>
      </c>
      <c r="L353" s="21">
        <v>-6.2952999999999995E-2</v>
      </c>
      <c r="M353" s="21">
        <v>7.4209999999999998E-2</v>
      </c>
      <c r="N353" s="21">
        <v>1.18401</v>
      </c>
      <c r="O353" s="21">
        <v>1.580373</v>
      </c>
      <c r="P353" s="21">
        <v>1.1070660000000001</v>
      </c>
      <c r="Q353" s="21">
        <v>0.14210300000000001</v>
      </c>
      <c r="R353" s="20" t="s">
        <v>52</v>
      </c>
    </row>
    <row r="354" spans="1:18" x14ac:dyDescent="0.2">
      <c r="A354" s="5" t="s">
        <v>1079</v>
      </c>
      <c r="B354" s="21">
        <v>0.612209</v>
      </c>
      <c r="C354" s="21">
        <v>0.42502099999999998</v>
      </c>
      <c r="D354" s="21">
        <v>0.57698000000000005</v>
      </c>
      <c r="E354" s="21">
        <v>0.28254000000000001</v>
      </c>
      <c r="F354" s="21">
        <v>0.27841399999999999</v>
      </c>
      <c r="G354" s="21">
        <v>-4.0821000000000003E-2</v>
      </c>
      <c r="H354" s="21">
        <v>6.6397999999999999E-2</v>
      </c>
      <c r="I354" s="21">
        <v>0.16955799999999999</v>
      </c>
      <c r="J354" s="21">
        <v>0.23264199999999999</v>
      </c>
      <c r="K354" s="21">
        <v>0.28951100000000002</v>
      </c>
      <c r="L354" s="21">
        <v>0.19549</v>
      </c>
      <c r="M354" s="21">
        <v>0.24268100000000001</v>
      </c>
      <c r="N354" s="21">
        <v>0.37573600000000001</v>
      </c>
      <c r="O354" s="21">
        <v>0.335171</v>
      </c>
      <c r="P354" s="21">
        <v>0.35913299999999998</v>
      </c>
      <c r="Q354" s="21">
        <v>0.31321599999999999</v>
      </c>
      <c r="R354" s="20" t="s">
        <v>52</v>
      </c>
    </row>
    <row r="355" spans="1:18" x14ac:dyDescent="0.2">
      <c r="A355" s="5"/>
      <c r="B355" s="5"/>
      <c r="C355" s="5"/>
      <c r="D355" s="5"/>
      <c r="E355" s="5"/>
      <c r="F355" s="5"/>
      <c r="G355" s="5"/>
      <c r="H355" s="5"/>
      <c r="I355" s="5"/>
      <c r="J355" s="5"/>
      <c r="K355" s="5"/>
      <c r="L355" s="5"/>
      <c r="M355" s="5"/>
      <c r="N355" s="5"/>
      <c r="O355" s="5"/>
      <c r="P355" s="5"/>
      <c r="Q355" s="5"/>
      <c r="R355" s="5"/>
    </row>
    <row r="356" spans="1:18" x14ac:dyDescent="0.2">
      <c r="A356" s="5" t="s">
        <v>1211</v>
      </c>
      <c r="B356" s="21">
        <v>0.838121</v>
      </c>
      <c r="C356" s="21">
        <v>0.45400699999999999</v>
      </c>
      <c r="D356" s="21">
        <v>0.55104399999999998</v>
      </c>
      <c r="E356" s="21">
        <v>0.57926800000000001</v>
      </c>
      <c r="F356" s="21">
        <v>0.65929099999999996</v>
      </c>
      <c r="G356" s="21">
        <v>0.14279700000000001</v>
      </c>
      <c r="H356" s="21">
        <v>0.12709200000000001</v>
      </c>
      <c r="I356" s="21">
        <v>0.12640799999999999</v>
      </c>
      <c r="J356" s="21">
        <v>0.46537099999999998</v>
      </c>
      <c r="K356" s="21">
        <v>0.51429999999999998</v>
      </c>
      <c r="L356" s="21">
        <v>0.253002</v>
      </c>
      <c r="M356" s="21">
        <v>0.36199799999999999</v>
      </c>
      <c r="N356" s="21">
        <v>0.40343800000000002</v>
      </c>
      <c r="O356" s="21">
        <v>0.53881800000000002</v>
      </c>
      <c r="P356" s="21">
        <v>0.42064499999999999</v>
      </c>
      <c r="Q356" s="21">
        <v>0.32187199999999999</v>
      </c>
      <c r="R356" s="20" t="s">
        <v>52</v>
      </c>
    </row>
    <row r="357" spans="1:18" x14ac:dyDescent="0.2">
      <c r="A357" s="5" t="s">
        <v>1212</v>
      </c>
      <c r="B357" s="21">
        <v>0.838121</v>
      </c>
      <c r="C357" s="21">
        <v>0.45400699999999999</v>
      </c>
      <c r="D357" s="21">
        <v>0.65735900000000003</v>
      </c>
      <c r="E357" s="21">
        <v>0.57926800000000001</v>
      </c>
      <c r="F357" s="21">
        <v>0.65929099999999996</v>
      </c>
      <c r="G357" s="21">
        <v>6.9489999999999996E-2</v>
      </c>
      <c r="H357" s="21">
        <v>0.12709200000000001</v>
      </c>
      <c r="I357" s="21">
        <v>0.12640799999999999</v>
      </c>
      <c r="J357" s="21">
        <v>0.46537099999999998</v>
      </c>
      <c r="K357" s="21">
        <v>0.51429999999999998</v>
      </c>
      <c r="L357" s="21">
        <v>0.253002</v>
      </c>
      <c r="M357" s="21">
        <v>0.36199799999999999</v>
      </c>
      <c r="N357" s="21">
        <v>0.40343800000000002</v>
      </c>
      <c r="O357" s="21">
        <v>0.54314300000000004</v>
      </c>
      <c r="P357" s="21">
        <v>0.42408699999999999</v>
      </c>
      <c r="Q357" s="21">
        <v>0.32398500000000002</v>
      </c>
      <c r="R357" s="20" t="s">
        <v>52</v>
      </c>
    </row>
    <row r="358" spans="1:18" x14ac:dyDescent="0.2">
      <c r="A358" s="5" t="s">
        <v>1213</v>
      </c>
      <c r="B358" s="21" t="s">
        <v>1173</v>
      </c>
      <c r="C358" s="21">
        <v>0.51235600000000003</v>
      </c>
      <c r="D358" s="21" t="s">
        <v>1173</v>
      </c>
      <c r="E358" s="21" t="s">
        <v>1173</v>
      </c>
      <c r="F358" s="21" t="s">
        <v>1173</v>
      </c>
      <c r="G358" s="21" t="s">
        <v>1173</v>
      </c>
      <c r="H358" s="21">
        <v>-0.57266099999999998</v>
      </c>
      <c r="I358" s="21" t="s">
        <v>1173</v>
      </c>
      <c r="J358" s="21" t="s">
        <v>1173</v>
      </c>
      <c r="K358" s="21">
        <v>1.6293169999999999</v>
      </c>
      <c r="L358" s="21">
        <v>0.33000400000000002</v>
      </c>
      <c r="M358" s="21">
        <v>-0.39311699999999999</v>
      </c>
      <c r="N358" s="21">
        <v>0.244506</v>
      </c>
      <c r="O358" s="21">
        <v>0.25462299999999999</v>
      </c>
      <c r="P358" s="21">
        <v>1.9027579999999999</v>
      </c>
      <c r="Q358" s="21">
        <v>0.48095199999999999</v>
      </c>
      <c r="R358" s="20" t="s">
        <v>52</v>
      </c>
    </row>
    <row r="359" spans="1:18" x14ac:dyDescent="0.2">
      <c r="A359" s="5" t="s">
        <v>1214</v>
      </c>
      <c r="B359" s="21">
        <v>0.96677400000000002</v>
      </c>
      <c r="C359" s="21">
        <v>0.203685</v>
      </c>
      <c r="D359" s="21">
        <v>-2.2689000000000001E-2</v>
      </c>
      <c r="E359" s="21">
        <v>-0.165769</v>
      </c>
      <c r="F359" s="21">
        <v>0.37048399999999998</v>
      </c>
      <c r="G359" s="21">
        <v>0.48111700000000002</v>
      </c>
      <c r="H359" s="21">
        <v>-0.112888</v>
      </c>
      <c r="I359" s="21">
        <v>-0.33810099999999998</v>
      </c>
      <c r="J359" s="21">
        <v>-4.0365999999999999E-2</v>
      </c>
      <c r="K359" s="21">
        <v>0.15917899999999999</v>
      </c>
      <c r="L359" s="21">
        <v>0.16433500000000001</v>
      </c>
      <c r="M359" s="21">
        <v>0.35852000000000001</v>
      </c>
      <c r="N359" s="21">
        <v>2.0251999999999999</v>
      </c>
      <c r="O359" s="21">
        <v>1.2734780000000001</v>
      </c>
      <c r="P359" s="21">
        <v>0.46792299999999998</v>
      </c>
      <c r="Q359" s="21">
        <v>-0.2102</v>
      </c>
      <c r="R359" s="20" t="s">
        <v>52</v>
      </c>
    </row>
    <row r="360" spans="1:18" x14ac:dyDescent="0.2">
      <c r="A360" s="5" t="s">
        <v>1215</v>
      </c>
      <c r="B360" s="21" t="s">
        <v>1173</v>
      </c>
      <c r="C360" s="21" t="s">
        <v>1173</v>
      </c>
      <c r="D360" s="21" t="s">
        <v>1173</v>
      </c>
      <c r="E360" s="21" t="s">
        <v>1173</v>
      </c>
      <c r="F360" s="21" t="s">
        <v>1173</v>
      </c>
      <c r="G360" s="21" t="s">
        <v>1173</v>
      </c>
      <c r="H360" s="21">
        <v>-0.85365899999999995</v>
      </c>
      <c r="I360" s="21" t="s">
        <v>1173</v>
      </c>
      <c r="J360" s="21" t="s">
        <v>1173</v>
      </c>
      <c r="K360" s="21">
        <v>5.1879840000000002</v>
      </c>
      <c r="L360" s="21">
        <v>0.31209900000000002</v>
      </c>
      <c r="M360" s="21" t="s">
        <v>1173</v>
      </c>
      <c r="N360" s="21">
        <v>-0.206343</v>
      </c>
      <c r="O360" s="21">
        <v>0.23037099999999999</v>
      </c>
      <c r="P360" s="21" t="s">
        <v>1173</v>
      </c>
      <c r="Q360" s="21">
        <v>1.5475669999999999</v>
      </c>
      <c r="R360" s="20" t="s">
        <v>52</v>
      </c>
    </row>
    <row r="361" spans="1:18" x14ac:dyDescent="0.2">
      <c r="A361" s="5" t="s">
        <v>1216</v>
      </c>
      <c r="B361" s="21" t="s">
        <v>1173</v>
      </c>
      <c r="C361" s="21" t="s">
        <v>1173</v>
      </c>
      <c r="D361" s="21" t="s">
        <v>1173</v>
      </c>
      <c r="E361" s="21" t="s">
        <v>1173</v>
      </c>
      <c r="F361" s="21" t="s">
        <v>1173</v>
      </c>
      <c r="G361" s="21" t="s">
        <v>1173</v>
      </c>
      <c r="H361" s="21">
        <v>-0.81633</v>
      </c>
      <c r="I361" s="21" t="s">
        <v>1173</v>
      </c>
      <c r="J361" s="21" t="s">
        <v>1173</v>
      </c>
      <c r="K361" s="21">
        <v>3.9289589999999999</v>
      </c>
      <c r="L361" s="21">
        <v>0.31385099999999999</v>
      </c>
      <c r="M361" s="21" t="s">
        <v>1173</v>
      </c>
      <c r="N361" s="21">
        <v>-0.206377</v>
      </c>
      <c r="O361" s="21">
        <v>0.227853</v>
      </c>
      <c r="P361" s="21" t="s">
        <v>1173</v>
      </c>
      <c r="Q361" s="21">
        <v>1.5475669999999999</v>
      </c>
      <c r="R361" s="20" t="s">
        <v>52</v>
      </c>
    </row>
    <row r="362" spans="1:18" x14ac:dyDescent="0.2">
      <c r="A362" s="5" t="s">
        <v>1217</v>
      </c>
      <c r="B362" s="20" t="s">
        <v>52</v>
      </c>
      <c r="C362" s="20" t="s">
        <v>52</v>
      </c>
      <c r="D362" s="20" t="s">
        <v>52</v>
      </c>
      <c r="E362" s="20" t="s">
        <v>52</v>
      </c>
      <c r="F362" s="20" t="s">
        <v>52</v>
      </c>
      <c r="G362" s="20" t="s">
        <v>52</v>
      </c>
      <c r="H362" s="20" t="s">
        <v>52</v>
      </c>
      <c r="I362" s="20" t="s">
        <v>52</v>
      </c>
      <c r="J362" s="20" t="s">
        <v>52</v>
      </c>
      <c r="K362" s="20" t="s">
        <v>52</v>
      </c>
      <c r="L362" s="20" t="s">
        <v>52</v>
      </c>
      <c r="M362" s="20" t="s">
        <v>52</v>
      </c>
      <c r="N362" s="20" t="s">
        <v>52</v>
      </c>
      <c r="O362" s="20" t="s">
        <v>52</v>
      </c>
      <c r="P362" s="20" t="s">
        <v>52</v>
      </c>
      <c r="Q362" s="20" t="s">
        <v>52</v>
      </c>
      <c r="R362" s="20" t="s">
        <v>52</v>
      </c>
    </row>
    <row r="363" spans="1:18" x14ac:dyDescent="0.2">
      <c r="A363" s="5"/>
      <c r="B363" s="5"/>
      <c r="C363" s="5"/>
      <c r="D363" s="5"/>
      <c r="E363" s="5"/>
      <c r="F363" s="5"/>
      <c r="G363" s="5"/>
      <c r="H363" s="5"/>
      <c r="I363" s="5"/>
      <c r="J363" s="5"/>
      <c r="K363" s="5"/>
      <c r="L363" s="5"/>
      <c r="M363" s="5"/>
      <c r="N363" s="5"/>
      <c r="O363" s="5"/>
      <c r="P363" s="5"/>
      <c r="Q363" s="5"/>
      <c r="R363" s="5"/>
    </row>
    <row r="364" spans="1:18" ht="10.5" x14ac:dyDescent="0.2">
      <c r="A364" s="14" t="s">
        <v>1220</v>
      </c>
      <c r="B364" s="5"/>
      <c r="C364" s="5"/>
      <c r="D364" s="5"/>
      <c r="E364" s="5"/>
      <c r="F364" s="5"/>
      <c r="G364" s="5"/>
      <c r="H364" s="5"/>
      <c r="I364" s="5"/>
      <c r="J364" s="5"/>
      <c r="K364" s="5"/>
      <c r="L364" s="5"/>
      <c r="M364" s="5"/>
      <c r="N364" s="5"/>
      <c r="O364" s="5"/>
      <c r="P364" s="5"/>
      <c r="Q364" s="5"/>
      <c r="R364" s="5"/>
    </row>
    <row r="365" spans="1:18" x14ac:dyDescent="0.2">
      <c r="A365" s="5" t="s">
        <v>1199</v>
      </c>
      <c r="B365" s="20" t="s">
        <v>52</v>
      </c>
      <c r="C365" s="21">
        <v>0.65758000000000005</v>
      </c>
      <c r="D365" s="21">
        <v>0.51963099999999995</v>
      </c>
      <c r="E365" s="21">
        <v>0.342976</v>
      </c>
      <c r="F365" s="21">
        <v>0.256629</v>
      </c>
      <c r="G365" s="21">
        <v>0.25466100000000003</v>
      </c>
      <c r="H365" s="21">
        <v>0.16118299999999999</v>
      </c>
      <c r="I365" s="21">
        <v>0.182171</v>
      </c>
      <c r="J365" s="21">
        <v>0.211233</v>
      </c>
      <c r="K365" s="21">
        <v>0.172097</v>
      </c>
      <c r="L365" s="21">
        <v>0.20611199999999999</v>
      </c>
      <c r="M365" s="21">
        <v>0.26649899999999999</v>
      </c>
      <c r="N365" s="21">
        <v>0.27812599999999998</v>
      </c>
      <c r="O365" s="21">
        <v>0.30914900000000001</v>
      </c>
      <c r="P365" s="21">
        <v>0.34871400000000002</v>
      </c>
      <c r="Q365" s="21">
        <v>0.32537500000000003</v>
      </c>
      <c r="R365" s="20" t="s">
        <v>52</v>
      </c>
    </row>
    <row r="366" spans="1:18" x14ac:dyDescent="0.2">
      <c r="A366" s="5" t="s">
        <v>1200</v>
      </c>
      <c r="B366" s="20" t="s">
        <v>52</v>
      </c>
      <c r="C366" s="21">
        <v>0.43449100000000002</v>
      </c>
      <c r="D366" s="21">
        <v>0.421705</v>
      </c>
      <c r="E366" s="21">
        <v>0.302701</v>
      </c>
      <c r="F366" s="21">
        <v>0.253834</v>
      </c>
      <c r="G366" s="21">
        <v>0.219279</v>
      </c>
      <c r="H366" s="21">
        <v>0.190696</v>
      </c>
      <c r="I366" s="21">
        <v>0.16264999999999999</v>
      </c>
      <c r="J366" s="21">
        <v>0.21873699999999999</v>
      </c>
      <c r="K366" s="21">
        <v>0.204595</v>
      </c>
      <c r="L366" s="21">
        <v>0.27205699999999999</v>
      </c>
      <c r="M366" s="21">
        <v>0.31872600000000001</v>
      </c>
      <c r="N366" s="21">
        <v>0.29938300000000001</v>
      </c>
      <c r="O366" s="21">
        <v>0.28973599999999999</v>
      </c>
      <c r="P366" s="21">
        <v>0.320081</v>
      </c>
      <c r="Q366" s="21">
        <v>0.29226400000000002</v>
      </c>
      <c r="R366" s="20" t="s">
        <v>52</v>
      </c>
    </row>
    <row r="367" spans="1:18" x14ac:dyDescent="0.2">
      <c r="A367" s="5" t="s">
        <v>1201</v>
      </c>
      <c r="B367" s="20" t="s">
        <v>52</v>
      </c>
      <c r="C367" s="21">
        <v>0.73043899999999995</v>
      </c>
      <c r="D367" s="21">
        <v>0.45768199999999998</v>
      </c>
      <c r="E367" s="21">
        <v>0.27484500000000001</v>
      </c>
      <c r="F367" s="21">
        <v>0.209702</v>
      </c>
      <c r="G367" s="21">
        <v>0.17163700000000001</v>
      </c>
      <c r="H367" s="21">
        <v>9.1647999999999993E-2</v>
      </c>
      <c r="I367" s="21">
        <v>0.18704899999999999</v>
      </c>
      <c r="J367" s="21">
        <v>0.26515899999999998</v>
      </c>
      <c r="K367" s="21">
        <v>0.28621099999999999</v>
      </c>
      <c r="L367" s="21">
        <v>0.49868000000000001</v>
      </c>
      <c r="M367" s="21">
        <v>0.61899099999999996</v>
      </c>
      <c r="N367" s="21">
        <v>0.46055699999999999</v>
      </c>
      <c r="O367" s="21">
        <v>0.37255199999999999</v>
      </c>
      <c r="P367" s="21">
        <v>0.37042799999999998</v>
      </c>
      <c r="Q367" s="21">
        <v>0.32050000000000001</v>
      </c>
      <c r="R367" s="20" t="s">
        <v>52</v>
      </c>
    </row>
    <row r="368" spans="1:18" x14ac:dyDescent="0.2">
      <c r="A368" s="5" t="s">
        <v>1202</v>
      </c>
      <c r="B368" s="20" t="s">
        <v>52</v>
      </c>
      <c r="C368" s="21">
        <v>0.85466399999999998</v>
      </c>
      <c r="D368" s="21">
        <v>0.466754</v>
      </c>
      <c r="E368" s="21">
        <v>0.28073300000000001</v>
      </c>
      <c r="F368" s="21">
        <v>0.207513</v>
      </c>
      <c r="G368" s="21">
        <v>0.16545000000000001</v>
      </c>
      <c r="H368" s="21">
        <v>0.102344</v>
      </c>
      <c r="I368" s="21">
        <v>0.21963199999999999</v>
      </c>
      <c r="J368" s="21">
        <v>0.28199400000000002</v>
      </c>
      <c r="K368" s="21">
        <v>0.29992400000000002</v>
      </c>
      <c r="L368" s="21">
        <v>0.54298500000000005</v>
      </c>
      <c r="M368" s="21">
        <v>0.65486500000000003</v>
      </c>
      <c r="N368" s="21">
        <v>0.462308</v>
      </c>
      <c r="O368" s="21">
        <v>0.36680099999999999</v>
      </c>
      <c r="P368" s="21">
        <v>0.36857200000000001</v>
      </c>
      <c r="Q368" s="21">
        <v>0.31587799999999999</v>
      </c>
      <c r="R368" s="20" t="s">
        <v>52</v>
      </c>
    </row>
    <row r="369" spans="1:18" x14ac:dyDescent="0.2">
      <c r="A369" s="5" t="s">
        <v>1203</v>
      </c>
      <c r="B369" s="20" t="s">
        <v>52</v>
      </c>
      <c r="C369" s="21">
        <v>0.85466399999999998</v>
      </c>
      <c r="D369" s="21">
        <v>0.45429399999999998</v>
      </c>
      <c r="E369" s="21">
        <v>0.28073300000000001</v>
      </c>
      <c r="F369" s="21">
        <v>0.207513</v>
      </c>
      <c r="G369" s="21">
        <v>0.16545000000000001</v>
      </c>
      <c r="H369" s="21">
        <v>0.102344</v>
      </c>
      <c r="I369" s="21">
        <v>0.23008100000000001</v>
      </c>
      <c r="J369" s="21">
        <v>0.28199400000000002</v>
      </c>
      <c r="K369" s="21">
        <v>0.29992400000000002</v>
      </c>
      <c r="L369" s="21">
        <v>0.54298500000000005</v>
      </c>
      <c r="M369" s="21">
        <v>0.65486500000000003</v>
      </c>
      <c r="N369" s="21">
        <v>0.462308</v>
      </c>
      <c r="O369" s="21">
        <v>0.36680099999999999</v>
      </c>
      <c r="P369" s="21">
        <v>0.36857200000000001</v>
      </c>
      <c r="Q369" s="21">
        <v>0.31587799999999999</v>
      </c>
      <c r="R369" s="20" t="s">
        <v>52</v>
      </c>
    </row>
    <row r="370" spans="1:18" x14ac:dyDescent="0.2">
      <c r="A370" s="5" t="s">
        <v>1204</v>
      </c>
      <c r="B370" s="20" t="s">
        <v>52</v>
      </c>
      <c r="C370" s="21" t="s">
        <v>1173</v>
      </c>
      <c r="D370" s="21">
        <v>0.43591099999999999</v>
      </c>
      <c r="E370" s="21">
        <v>0.31032100000000001</v>
      </c>
      <c r="F370" s="21">
        <v>0.277391</v>
      </c>
      <c r="G370" s="21">
        <v>0.17854300000000001</v>
      </c>
      <c r="H370" s="21">
        <v>0.125224</v>
      </c>
      <c r="I370" s="21">
        <v>0.25708999999999999</v>
      </c>
      <c r="J370" s="21">
        <v>0.272088</v>
      </c>
      <c r="K370" s="21">
        <v>0.25106699999999998</v>
      </c>
      <c r="L370" s="21">
        <v>0.53854500000000005</v>
      </c>
      <c r="M370" s="21">
        <v>0.70182199999999995</v>
      </c>
      <c r="N370" s="21">
        <v>0.52762200000000004</v>
      </c>
      <c r="O370" s="21">
        <v>0.39316899999999999</v>
      </c>
      <c r="P370" s="21">
        <v>0.39667999999999998</v>
      </c>
      <c r="Q370" s="21">
        <v>0.34529199999999999</v>
      </c>
      <c r="R370" s="20" t="s">
        <v>52</v>
      </c>
    </row>
    <row r="371" spans="1:18" x14ac:dyDescent="0.2">
      <c r="A371" s="5" t="s">
        <v>1205</v>
      </c>
      <c r="B371" s="20" t="s">
        <v>52</v>
      </c>
      <c r="C371" s="21" t="s">
        <v>1173</v>
      </c>
      <c r="D371" s="21">
        <v>0.50797099999999995</v>
      </c>
      <c r="E371" s="21">
        <v>0.41080699999999998</v>
      </c>
      <c r="F371" s="21">
        <v>0.42254000000000003</v>
      </c>
      <c r="G371" s="21">
        <v>0.32946199999999998</v>
      </c>
      <c r="H371" s="21">
        <v>0.25219399999999997</v>
      </c>
      <c r="I371" s="21">
        <v>0.25708999999999999</v>
      </c>
      <c r="J371" s="21">
        <v>0.272088</v>
      </c>
      <c r="K371" s="21">
        <v>0.25106699999999998</v>
      </c>
      <c r="L371" s="21">
        <v>0.53854500000000005</v>
      </c>
      <c r="M371" s="21">
        <v>0.70182199999999995</v>
      </c>
      <c r="N371" s="21">
        <v>0.52762200000000004</v>
      </c>
      <c r="O371" s="21">
        <v>0.39316899999999999</v>
      </c>
      <c r="P371" s="21">
        <v>0.39667999999999998</v>
      </c>
      <c r="Q371" s="21">
        <v>0.34529199999999999</v>
      </c>
      <c r="R371" s="20" t="s">
        <v>52</v>
      </c>
    </row>
    <row r="372" spans="1:18" x14ac:dyDescent="0.2">
      <c r="A372" s="5" t="s">
        <v>1206</v>
      </c>
      <c r="B372" s="20" t="s">
        <v>52</v>
      </c>
      <c r="C372" s="21">
        <v>0.53831300000000004</v>
      </c>
      <c r="D372" s="21">
        <v>0.61622299999999997</v>
      </c>
      <c r="E372" s="21">
        <v>0.44098900000000002</v>
      </c>
      <c r="F372" s="21">
        <v>0.545566</v>
      </c>
      <c r="G372" s="21">
        <v>0.42772399999999999</v>
      </c>
      <c r="H372" s="21">
        <v>0.32672400000000001</v>
      </c>
      <c r="I372" s="21">
        <v>0.247054</v>
      </c>
      <c r="J372" s="21">
        <v>0.29095300000000002</v>
      </c>
      <c r="K372" s="21">
        <v>0.16289000000000001</v>
      </c>
      <c r="L372" s="21">
        <v>0.52544500000000005</v>
      </c>
      <c r="M372" s="21">
        <v>0.64459</v>
      </c>
      <c r="N372" s="21">
        <v>0.45198199999999999</v>
      </c>
      <c r="O372" s="21">
        <v>0.35376299999999999</v>
      </c>
      <c r="P372" s="21">
        <v>0.36159400000000003</v>
      </c>
      <c r="Q372" s="21">
        <v>0.31742799999999999</v>
      </c>
      <c r="R372" s="20" t="s">
        <v>52</v>
      </c>
    </row>
    <row r="373" spans="1:18" x14ac:dyDescent="0.2">
      <c r="A373" s="5" t="s">
        <v>1207</v>
      </c>
      <c r="B373" s="20" t="s">
        <v>52</v>
      </c>
      <c r="C373" s="20" t="s">
        <v>52</v>
      </c>
      <c r="D373" s="21">
        <v>-0.41961599999999999</v>
      </c>
      <c r="E373" s="21">
        <v>-0.45701399999999998</v>
      </c>
      <c r="F373" s="21">
        <v>-0.45249800000000001</v>
      </c>
      <c r="G373" s="21">
        <v>-0.49143199999999998</v>
      </c>
      <c r="H373" s="21">
        <v>-0.50731499999999996</v>
      </c>
      <c r="I373" s="21">
        <v>0.24939800000000001</v>
      </c>
      <c r="J373" s="21">
        <v>0.26374199999999998</v>
      </c>
      <c r="K373" s="21">
        <v>0.24262400000000001</v>
      </c>
      <c r="L373" s="21">
        <v>0.53717199999999998</v>
      </c>
      <c r="M373" s="21">
        <v>0.70037099999999997</v>
      </c>
      <c r="N373" s="21">
        <v>0.51929000000000003</v>
      </c>
      <c r="O373" s="21">
        <v>0.37674999999999997</v>
      </c>
      <c r="P373" s="20" t="s">
        <v>52</v>
      </c>
      <c r="Q373" s="20" t="s">
        <v>52</v>
      </c>
      <c r="R373" s="20" t="s">
        <v>52</v>
      </c>
    </row>
    <row r="374" spans="1:18" x14ac:dyDescent="0.2">
      <c r="A374" s="5"/>
      <c r="B374" s="5"/>
      <c r="C374" s="5"/>
      <c r="D374" s="5"/>
      <c r="E374" s="5"/>
      <c r="F374" s="5"/>
      <c r="G374" s="5"/>
      <c r="H374" s="5"/>
      <c r="I374" s="5"/>
      <c r="J374" s="5"/>
      <c r="K374" s="5"/>
      <c r="L374" s="5"/>
      <c r="M374" s="5"/>
      <c r="N374" s="5"/>
      <c r="O374" s="5"/>
      <c r="P374" s="5"/>
      <c r="Q374" s="5"/>
      <c r="R374" s="5"/>
    </row>
    <row r="375" spans="1:18" x14ac:dyDescent="0.2">
      <c r="A375" s="5" t="s">
        <v>1208</v>
      </c>
      <c r="B375" s="20" t="s">
        <v>52</v>
      </c>
      <c r="C375" s="21">
        <v>0.64430399999999999</v>
      </c>
      <c r="D375" s="21">
        <v>0.68736299999999995</v>
      </c>
      <c r="E375" s="21">
        <v>0.34361900000000001</v>
      </c>
      <c r="F375" s="21">
        <v>0.25242900000000001</v>
      </c>
      <c r="G375" s="21">
        <v>0.18287800000000001</v>
      </c>
      <c r="H375" s="21">
        <v>0.174619</v>
      </c>
      <c r="I375" s="21">
        <v>2.5076000000000001E-2</v>
      </c>
      <c r="J375" s="21">
        <v>0.142512</v>
      </c>
      <c r="K375" s="21">
        <v>9.0095999999999996E-2</v>
      </c>
      <c r="L375" s="21">
        <v>0.18131900000000001</v>
      </c>
      <c r="M375" s="21">
        <v>0.25236999999999998</v>
      </c>
      <c r="N375" s="21">
        <v>0.28558800000000001</v>
      </c>
      <c r="O375" s="21">
        <v>0.328129</v>
      </c>
      <c r="P375" s="21">
        <v>0.35819499999999999</v>
      </c>
      <c r="Q375" s="21">
        <v>0.30930999999999997</v>
      </c>
      <c r="R375" s="20" t="s">
        <v>52</v>
      </c>
    </row>
    <row r="376" spans="1:18" x14ac:dyDescent="0.2">
      <c r="A376" s="5" t="s">
        <v>1209</v>
      </c>
      <c r="B376" s="20" t="s">
        <v>52</v>
      </c>
      <c r="C376" s="21">
        <v>0.165877</v>
      </c>
      <c r="D376" s="21">
        <v>0.87831400000000004</v>
      </c>
      <c r="E376" s="21">
        <v>0.35187600000000002</v>
      </c>
      <c r="F376" s="21">
        <v>0.39146900000000001</v>
      </c>
      <c r="G376" s="21">
        <v>7.8838000000000005E-2</v>
      </c>
      <c r="H376" s="21">
        <v>-0.12574399999999999</v>
      </c>
      <c r="I376" s="21">
        <v>-0.20618500000000001</v>
      </c>
      <c r="J376" s="21">
        <v>6.8748000000000004E-2</v>
      </c>
      <c r="K376" s="21">
        <v>1.4839E-2</v>
      </c>
      <c r="L376" s="21">
        <v>0.27090500000000001</v>
      </c>
      <c r="M376" s="21">
        <v>0.43467600000000001</v>
      </c>
      <c r="N376" s="21">
        <v>0.37841900000000001</v>
      </c>
      <c r="O376" s="21">
        <v>0.60433899999999996</v>
      </c>
      <c r="P376" s="21">
        <v>0.76192099999999996</v>
      </c>
      <c r="Q376" s="21">
        <v>0.26116499999999998</v>
      </c>
      <c r="R376" s="20" t="s">
        <v>52</v>
      </c>
    </row>
    <row r="377" spans="1:18" x14ac:dyDescent="0.2">
      <c r="A377" s="5" t="s">
        <v>1210</v>
      </c>
      <c r="B377" s="20" t="s">
        <v>52</v>
      </c>
      <c r="C377" s="21">
        <v>0.335731</v>
      </c>
      <c r="D377" s="21">
        <v>0.181954</v>
      </c>
      <c r="E377" s="21">
        <v>9.6414E-2</v>
      </c>
      <c r="F377" s="21">
        <v>0.20221800000000001</v>
      </c>
      <c r="G377" s="21">
        <v>6.9070000000000006E-2</v>
      </c>
      <c r="H377" s="21">
        <v>-5.2045000000000001E-2</v>
      </c>
      <c r="I377" s="21">
        <v>3.6005000000000002E-2</v>
      </c>
      <c r="J377" s="21">
        <v>8.9412000000000005E-2</v>
      </c>
      <c r="K377" s="21">
        <v>-8.0877000000000004E-2</v>
      </c>
      <c r="L377" s="21">
        <v>-9.6212000000000006E-2</v>
      </c>
      <c r="M377" s="21">
        <v>0.12386999999999999</v>
      </c>
      <c r="N377" s="21">
        <v>0.59904800000000002</v>
      </c>
      <c r="O377" s="21">
        <v>0.61965899999999996</v>
      </c>
      <c r="P377" s="21">
        <v>0.710781</v>
      </c>
      <c r="Q377" s="21">
        <v>0.80064400000000002</v>
      </c>
      <c r="R377" s="20" t="s">
        <v>52</v>
      </c>
    </row>
    <row r="378" spans="1:18" x14ac:dyDescent="0.2">
      <c r="A378" s="5" t="s">
        <v>1079</v>
      </c>
      <c r="B378" s="20" t="s">
        <v>52</v>
      </c>
      <c r="C378" s="21">
        <v>0.55371999999999999</v>
      </c>
      <c r="D378" s="21">
        <v>0.65238300000000005</v>
      </c>
      <c r="E378" s="21">
        <v>0.37762299999999999</v>
      </c>
      <c r="F378" s="21">
        <v>0.27951700000000002</v>
      </c>
      <c r="G378" s="21">
        <v>0.210034</v>
      </c>
      <c r="H378" s="21">
        <v>0.15768199999999999</v>
      </c>
      <c r="I378" s="21">
        <v>6.9457000000000005E-2</v>
      </c>
      <c r="J378" s="21">
        <v>0.181564</v>
      </c>
      <c r="K378" s="21">
        <v>0.16370199999999999</v>
      </c>
      <c r="L378" s="21">
        <v>0.22053700000000001</v>
      </c>
      <c r="M378" s="21">
        <v>0.29515400000000003</v>
      </c>
      <c r="N378" s="21">
        <v>0.28277200000000002</v>
      </c>
      <c r="O378" s="21">
        <v>0.28047499999999997</v>
      </c>
      <c r="P378" s="21">
        <v>0.33666699999999999</v>
      </c>
      <c r="Q378" s="21">
        <v>0.35713600000000001</v>
      </c>
      <c r="R378" s="20" t="s">
        <v>52</v>
      </c>
    </row>
    <row r="379" spans="1:18" x14ac:dyDescent="0.2">
      <c r="A379" s="5"/>
      <c r="B379" s="5"/>
      <c r="C379" s="5"/>
      <c r="D379" s="5"/>
      <c r="E379" s="5"/>
      <c r="F379" s="5"/>
      <c r="G379" s="5"/>
      <c r="H379" s="5"/>
      <c r="I379" s="5"/>
      <c r="J379" s="5"/>
      <c r="K379" s="5"/>
      <c r="L379" s="5"/>
      <c r="M379" s="5"/>
      <c r="N379" s="5"/>
      <c r="O379" s="5"/>
      <c r="P379" s="5"/>
      <c r="Q379" s="5"/>
      <c r="R379" s="5"/>
    </row>
    <row r="380" spans="1:18" x14ac:dyDescent="0.2">
      <c r="A380" s="5" t="s">
        <v>1211</v>
      </c>
      <c r="B380" s="20" t="s">
        <v>52</v>
      </c>
      <c r="C380" s="21">
        <v>0.990483</v>
      </c>
      <c r="D380" s="21">
        <v>0.76606799999999997</v>
      </c>
      <c r="E380" s="21">
        <v>0.55211699999999997</v>
      </c>
      <c r="F380" s="21">
        <v>0.52627800000000002</v>
      </c>
      <c r="G380" s="21">
        <v>0.32789800000000002</v>
      </c>
      <c r="H380" s="21">
        <v>0.33217200000000002</v>
      </c>
      <c r="I380" s="21">
        <v>0.25972800000000001</v>
      </c>
      <c r="J380" s="21">
        <v>0.26957900000000001</v>
      </c>
      <c r="K380" s="21">
        <v>0.26105499999999998</v>
      </c>
      <c r="L380" s="21">
        <v>0.33127000000000001</v>
      </c>
      <c r="M380" s="21">
        <v>0.422296</v>
      </c>
      <c r="N380" s="21">
        <v>0.43890600000000002</v>
      </c>
      <c r="O380" s="21">
        <v>0.37091299999999999</v>
      </c>
      <c r="P380" s="21">
        <v>0.36884400000000001</v>
      </c>
      <c r="Q380" s="21">
        <v>0.48585099999999998</v>
      </c>
      <c r="R380" s="20" t="s">
        <v>52</v>
      </c>
    </row>
    <row r="381" spans="1:18" x14ac:dyDescent="0.2">
      <c r="A381" s="5" t="s">
        <v>1212</v>
      </c>
      <c r="B381" s="20" t="s">
        <v>52</v>
      </c>
      <c r="C381" s="21">
        <v>0.92919600000000002</v>
      </c>
      <c r="D381" s="21">
        <v>0.83773600000000004</v>
      </c>
      <c r="E381" s="21">
        <v>0.55211699999999997</v>
      </c>
      <c r="F381" s="21">
        <v>0.52627800000000002</v>
      </c>
      <c r="G381" s="21">
        <v>0.32789800000000002</v>
      </c>
      <c r="H381" s="21">
        <v>0.33217200000000002</v>
      </c>
      <c r="I381" s="21">
        <v>0.21060100000000001</v>
      </c>
      <c r="J381" s="21">
        <v>0.26957900000000001</v>
      </c>
      <c r="K381" s="21">
        <v>0.26105499999999998</v>
      </c>
      <c r="L381" s="21">
        <v>0.33127000000000001</v>
      </c>
      <c r="M381" s="21">
        <v>0.422296</v>
      </c>
      <c r="N381" s="21">
        <v>0.43890600000000002</v>
      </c>
      <c r="O381" s="21">
        <v>0.373224</v>
      </c>
      <c r="P381" s="21">
        <v>0.37083300000000002</v>
      </c>
      <c r="Q381" s="21">
        <v>0.48727500000000001</v>
      </c>
      <c r="R381" s="20" t="s">
        <v>52</v>
      </c>
    </row>
    <row r="382" spans="1:18" x14ac:dyDescent="0.2">
      <c r="A382" s="5" t="s">
        <v>1213</v>
      </c>
      <c r="B382" s="20" t="s">
        <v>52</v>
      </c>
      <c r="C382" s="21">
        <v>0.85257799999999995</v>
      </c>
      <c r="D382" s="21" t="s">
        <v>1173</v>
      </c>
      <c r="E382" s="21">
        <v>0.94547000000000003</v>
      </c>
      <c r="F382" s="21" t="s">
        <v>1173</v>
      </c>
      <c r="G382" s="21" t="s">
        <v>1173</v>
      </c>
      <c r="H382" s="21">
        <v>-8.8626999999999997E-2</v>
      </c>
      <c r="I382" s="21" t="s">
        <v>1173</v>
      </c>
      <c r="J382" s="21">
        <v>4.0961999999999998E-2</v>
      </c>
      <c r="K382" s="21" t="s">
        <v>1173</v>
      </c>
      <c r="L382" s="21" t="s">
        <v>1173</v>
      </c>
      <c r="M382" s="21">
        <v>0.28479599999999999</v>
      </c>
      <c r="N382" s="21">
        <v>0.30884699999999998</v>
      </c>
      <c r="O382" s="21">
        <v>0.22029199999999999</v>
      </c>
      <c r="P382" s="21">
        <v>0.36337399999999997</v>
      </c>
      <c r="Q382" s="21">
        <v>0.39605200000000002</v>
      </c>
      <c r="R382" s="20" t="s">
        <v>52</v>
      </c>
    </row>
    <row r="383" spans="1:18" x14ac:dyDescent="0.2">
      <c r="A383" s="5" t="s">
        <v>1214</v>
      </c>
      <c r="B383" s="20" t="s">
        <v>52</v>
      </c>
      <c r="C383" s="21">
        <v>0.68283400000000005</v>
      </c>
      <c r="D383" s="21">
        <v>0.18779699999999999</v>
      </c>
      <c r="E383" s="21">
        <v>5.8019000000000001E-2</v>
      </c>
      <c r="F383" s="21">
        <v>0.42639700000000003</v>
      </c>
      <c r="G383" s="21">
        <v>1.944E-3</v>
      </c>
      <c r="H383" s="21">
        <v>-0.119006</v>
      </c>
      <c r="I383" s="21">
        <v>0.12900500000000001</v>
      </c>
      <c r="J383" s="21">
        <v>8.9770000000000003E-2</v>
      </c>
      <c r="K383" s="21">
        <v>-0.20322000000000001</v>
      </c>
      <c r="L383" s="21">
        <v>-2.2787999999999999E-2</v>
      </c>
      <c r="M383" s="21">
        <v>0.40730300000000003</v>
      </c>
      <c r="N383" s="21">
        <v>0.98296899999999998</v>
      </c>
      <c r="O383" s="21">
        <v>0.63960799999999995</v>
      </c>
      <c r="P383" s="21">
        <v>0.62150799999999995</v>
      </c>
      <c r="Q383" s="21">
        <v>0.57101199999999996</v>
      </c>
      <c r="R383" s="20" t="s">
        <v>52</v>
      </c>
    </row>
    <row r="384" spans="1:18" x14ac:dyDescent="0.2">
      <c r="A384" s="5" t="s">
        <v>1215</v>
      </c>
      <c r="B384" s="20" t="s">
        <v>52</v>
      </c>
      <c r="C384" s="20" t="s">
        <v>52</v>
      </c>
      <c r="D384" s="21" t="s">
        <v>1173</v>
      </c>
      <c r="E384" s="21" t="s">
        <v>1173</v>
      </c>
      <c r="F384" s="21" t="s">
        <v>1173</v>
      </c>
      <c r="G384" s="21" t="s">
        <v>1173</v>
      </c>
      <c r="H384" s="21" t="s">
        <v>1173</v>
      </c>
      <c r="I384" s="21" t="s">
        <v>1173</v>
      </c>
      <c r="J384" s="21">
        <v>-4.1356999999999998E-2</v>
      </c>
      <c r="K384" s="21" t="s">
        <v>1173</v>
      </c>
      <c r="L384" s="21" t="s">
        <v>1173</v>
      </c>
      <c r="M384" s="21" t="s">
        <v>1173</v>
      </c>
      <c r="N384" s="21">
        <v>-1.5768000000000001E-2</v>
      </c>
      <c r="O384" s="21">
        <v>0.158744</v>
      </c>
      <c r="P384" s="21">
        <v>0.424875</v>
      </c>
      <c r="Q384" s="21">
        <v>0.46552399999999999</v>
      </c>
      <c r="R384" s="20" t="s">
        <v>52</v>
      </c>
    </row>
    <row r="385" spans="1:18" x14ac:dyDescent="0.2">
      <c r="A385" s="5" t="s">
        <v>1216</v>
      </c>
      <c r="B385" s="20" t="s">
        <v>52</v>
      </c>
      <c r="C385" s="20" t="s">
        <v>52</v>
      </c>
      <c r="D385" s="21" t="s">
        <v>1173</v>
      </c>
      <c r="E385" s="21" t="s">
        <v>1173</v>
      </c>
      <c r="F385" s="21" t="s">
        <v>1173</v>
      </c>
      <c r="G385" s="21" t="s">
        <v>1173</v>
      </c>
      <c r="H385" s="21">
        <v>-7.2301000000000004E-2</v>
      </c>
      <c r="I385" s="21" t="s">
        <v>1173</v>
      </c>
      <c r="J385" s="21">
        <v>-4.1514000000000002E-2</v>
      </c>
      <c r="K385" s="21" t="s">
        <v>1173</v>
      </c>
      <c r="L385" s="21" t="s">
        <v>1173</v>
      </c>
      <c r="M385" s="21" t="s">
        <v>1173</v>
      </c>
      <c r="N385" s="21">
        <v>-1.619E-2</v>
      </c>
      <c r="O385" s="21">
        <v>0.15870799999999999</v>
      </c>
      <c r="P385" s="21">
        <v>0.42483900000000002</v>
      </c>
      <c r="Q385" s="21">
        <v>0.463723</v>
      </c>
      <c r="R385" s="20" t="s">
        <v>52</v>
      </c>
    </row>
    <row r="386" spans="1:18" x14ac:dyDescent="0.2">
      <c r="A386" s="5" t="s">
        <v>1217</v>
      </c>
      <c r="B386" s="20" t="s">
        <v>52</v>
      </c>
      <c r="C386" s="20" t="s">
        <v>52</v>
      </c>
      <c r="D386" s="20" t="s">
        <v>52</v>
      </c>
      <c r="E386" s="20" t="s">
        <v>52</v>
      </c>
      <c r="F386" s="20" t="s">
        <v>52</v>
      </c>
      <c r="G386" s="20" t="s">
        <v>52</v>
      </c>
      <c r="H386" s="20" t="s">
        <v>52</v>
      </c>
      <c r="I386" s="20" t="s">
        <v>52</v>
      </c>
      <c r="J386" s="20" t="s">
        <v>52</v>
      </c>
      <c r="K386" s="20" t="s">
        <v>52</v>
      </c>
      <c r="L386" s="20" t="s">
        <v>52</v>
      </c>
      <c r="M386" s="20" t="s">
        <v>52</v>
      </c>
      <c r="N386" s="20" t="s">
        <v>52</v>
      </c>
      <c r="O386" s="20" t="s">
        <v>52</v>
      </c>
      <c r="P386" s="20" t="s">
        <v>52</v>
      </c>
      <c r="Q386" s="20" t="s">
        <v>52</v>
      </c>
      <c r="R386" s="20" t="s">
        <v>52</v>
      </c>
    </row>
    <row r="387" spans="1:18" x14ac:dyDescent="0.2">
      <c r="A387" s="5"/>
      <c r="B387" s="5"/>
      <c r="C387" s="5"/>
      <c r="D387" s="5"/>
      <c r="E387" s="5"/>
      <c r="F387" s="5"/>
      <c r="G387" s="5"/>
      <c r="H387" s="5"/>
      <c r="I387" s="5"/>
      <c r="J387" s="5"/>
      <c r="K387" s="5"/>
      <c r="L387" s="5"/>
      <c r="M387" s="5"/>
      <c r="N387" s="5"/>
      <c r="O387" s="5"/>
      <c r="P387" s="5"/>
      <c r="Q387" s="5"/>
      <c r="R387" s="5"/>
    </row>
    <row r="388" spans="1:18" ht="60" x14ac:dyDescent="0.2">
      <c r="A388" s="28" t="s">
        <v>1151</v>
      </c>
      <c r="B388" s="29"/>
      <c r="C388" s="29"/>
      <c r="D388" s="29"/>
      <c r="E388" s="29"/>
      <c r="F388" s="29"/>
      <c r="G388" s="29"/>
      <c r="H388" s="29"/>
      <c r="I388" s="29"/>
      <c r="J388" s="29"/>
      <c r="K388" s="29"/>
      <c r="L388" s="29"/>
      <c r="M388" s="29"/>
      <c r="N388" s="29"/>
      <c r="O388" s="29"/>
      <c r="P388" s="29"/>
      <c r="Q388" s="29"/>
      <c r="R388" s="2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78DB1-F9A3-4F8A-AA85-8DD07DCC547C}">
  <sheetPr>
    <pageSetUpPr fitToPage="1"/>
  </sheetPr>
  <dimension ref="A1:AF123"/>
  <sheetViews>
    <sheetView view="pageBreakPreview" zoomScale="55" zoomScaleNormal="40" zoomScaleSheetLayoutView="55" workbookViewId="0">
      <pane xSplit="1" ySplit="6" topLeftCell="B7" activePane="bottomRight" state="frozen"/>
      <selection pane="topRight" activeCell="O73" sqref="O73"/>
      <selection pane="bottomLeft" activeCell="O73" sqref="O73"/>
      <selection pane="bottomRight" activeCell="B7" sqref="B7"/>
    </sheetView>
  </sheetViews>
  <sheetFormatPr defaultRowHeight="14" outlineLevelRow="1" outlineLevelCol="1" x14ac:dyDescent="0.3"/>
  <cols>
    <col min="1" max="1" width="16.81640625" style="756" customWidth="1"/>
    <col min="2" max="2" width="3.7265625" style="756" customWidth="1"/>
    <col min="3" max="3" width="10.54296875" style="756" hidden="1" customWidth="1" outlineLevel="1"/>
    <col min="4" max="4" width="8.81640625" style="756" hidden="1" customWidth="1" outlineLevel="1"/>
    <col min="5" max="5" width="9.26953125" style="756" hidden="1" customWidth="1" outlineLevel="1"/>
    <col min="6" max="8" width="10.26953125" style="756" hidden="1" customWidth="1" outlineLevel="1"/>
    <col min="9" max="9" width="10.26953125" style="756" customWidth="1" collapsed="1"/>
    <col min="10" max="19" width="10.26953125" style="756" customWidth="1"/>
    <col min="20" max="20" width="11.54296875" style="756" bestFit="1" customWidth="1"/>
    <col min="21" max="23" width="10.26953125" style="756" customWidth="1"/>
    <col min="24" max="24" width="11.1796875" style="756" bestFit="1" customWidth="1"/>
    <col min="25" max="25" width="11.1796875" style="756" customWidth="1"/>
    <col min="26" max="26" width="12.54296875" style="756" customWidth="1"/>
    <col min="27" max="27" width="45.1796875" style="756" customWidth="1"/>
    <col min="28" max="28" width="13.26953125" style="756" bestFit="1" customWidth="1"/>
    <col min="29" max="29" width="12.81640625" style="756" bestFit="1" customWidth="1"/>
    <col min="30" max="30" width="13.26953125" style="756" bestFit="1" customWidth="1"/>
    <col min="31" max="31" width="15.453125" style="756" bestFit="1" customWidth="1"/>
    <col min="32" max="32" width="15.7265625" style="756" bestFit="1" customWidth="1"/>
    <col min="33" max="270" width="8.7265625" style="756"/>
    <col min="271" max="271" width="34.453125" style="756" customWidth="1"/>
    <col min="272" max="272" width="4.1796875" style="756" customWidth="1"/>
    <col min="273" max="273" width="8.54296875" style="756" customWidth="1"/>
    <col min="274" max="274" width="8.7265625" style="756"/>
    <col min="275" max="275" width="8.453125" style="756" bestFit="1" customWidth="1"/>
    <col min="276" max="286" width="8.7265625" style="756"/>
    <col min="287" max="287" width="16" style="756" customWidth="1"/>
    <col min="288" max="526" width="8.7265625" style="756"/>
    <col min="527" max="527" width="34.453125" style="756" customWidth="1"/>
    <col min="528" max="528" width="4.1796875" style="756" customWidth="1"/>
    <col min="529" max="529" width="8.54296875" style="756" customWidth="1"/>
    <col min="530" max="530" width="8.7265625" style="756"/>
    <col min="531" max="531" width="8.453125" style="756" bestFit="1" customWidth="1"/>
    <col min="532" max="542" width="8.7265625" style="756"/>
    <col min="543" max="543" width="16" style="756" customWidth="1"/>
    <col min="544" max="782" width="8.7265625" style="756"/>
    <col min="783" max="783" width="34.453125" style="756" customWidth="1"/>
    <col min="784" max="784" width="4.1796875" style="756" customWidth="1"/>
    <col min="785" max="785" width="8.54296875" style="756" customWidth="1"/>
    <col min="786" max="786" width="8.7265625" style="756"/>
    <col min="787" max="787" width="8.453125" style="756" bestFit="1" customWidth="1"/>
    <col min="788" max="798" width="8.7265625" style="756"/>
    <col min="799" max="799" width="16" style="756" customWidth="1"/>
    <col min="800" max="1038" width="8.7265625" style="756"/>
    <col min="1039" max="1039" width="34.453125" style="756" customWidth="1"/>
    <col min="1040" max="1040" width="4.1796875" style="756" customWidth="1"/>
    <col min="1041" max="1041" width="8.54296875" style="756" customWidth="1"/>
    <col min="1042" max="1042" width="8.7265625" style="756"/>
    <col min="1043" max="1043" width="8.453125" style="756" bestFit="1" customWidth="1"/>
    <col min="1044" max="1054" width="8.7265625" style="756"/>
    <col min="1055" max="1055" width="16" style="756" customWidth="1"/>
    <col min="1056" max="1294" width="8.7265625" style="756"/>
    <col min="1295" max="1295" width="34.453125" style="756" customWidth="1"/>
    <col min="1296" max="1296" width="4.1796875" style="756" customWidth="1"/>
    <col min="1297" max="1297" width="8.54296875" style="756" customWidth="1"/>
    <col min="1298" max="1298" width="8.7265625" style="756"/>
    <col min="1299" max="1299" width="8.453125" style="756" bestFit="1" customWidth="1"/>
    <col min="1300" max="1310" width="8.7265625" style="756"/>
    <col min="1311" max="1311" width="16" style="756" customWidth="1"/>
    <col min="1312" max="1550" width="8.7265625" style="756"/>
    <col min="1551" max="1551" width="34.453125" style="756" customWidth="1"/>
    <col min="1552" max="1552" width="4.1796875" style="756" customWidth="1"/>
    <col min="1553" max="1553" width="8.54296875" style="756" customWidth="1"/>
    <col min="1554" max="1554" width="8.7265625" style="756"/>
    <col min="1555" max="1555" width="8.453125" style="756" bestFit="1" customWidth="1"/>
    <col min="1556" max="1566" width="8.7265625" style="756"/>
    <col min="1567" max="1567" width="16" style="756" customWidth="1"/>
    <col min="1568" max="1806" width="8.7265625" style="756"/>
    <col min="1807" max="1807" width="34.453125" style="756" customWidth="1"/>
    <col min="1808" max="1808" width="4.1796875" style="756" customWidth="1"/>
    <col min="1809" max="1809" width="8.54296875" style="756" customWidth="1"/>
    <col min="1810" max="1810" width="8.7265625" style="756"/>
    <col min="1811" max="1811" width="8.453125" style="756" bestFit="1" customWidth="1"/>
    <col min="1812" max="1822" width="8.7265625" style="756"/>
    <col min="1823" max="1823" width="16" style="756" customWidth="1"/>
    <col min="1824" max="2062" width="8.7265625" style="756"/>
    <col min="2063" max="2063" width="34.453125" style="756" customWidth="1"/>
    <col min="2064" max="2064" width="4.1796875" style="756" customWidth="1"/>
    <col min="2065" max="2065" width="8.54296875" style="756" customWidth="1"/>
    <col min="2066" max="2066" width="8.7265625" style="756"/>
    <col min="2067" max="2067" width="8.453125" style="756" bestFit="1" customWidth="1"/>
    <col min="2068" max="2078" width="8.7265625" style="756"/>
    <col min="2079" max="2079" width="16" style="756" customWidth="1"/>
    <col min="2080" max="2318" width="8.7265625" style="756"/>
    <col min="2319" max="2319" width="34.453125" style="756" customWidth="1"/>
    <col min="2320" max="2320" width="4.1796875" style="756" customWidth="1"/>
    <col min="2321" max="2321" width="8.54296875" style="756" customWidth="1"/>
    <col min="2322" max="2322" width="8.7265625" style="756"/>
    <col min="2323" max="2323" width="8.453125" style="756" bestFit="1" customWidth="1"/>
    <col min="2324" max="2334" width="8.7265625" style="756"/>
    <col min="2335" max="2335" width="16" style="756" customWidth="1"/>
    <col min="2336" max="2574" width="8.7265625" style="756"/>
    <col min="2575" max="2575" width="34.453125" style="756" customWidth="1"/>
    <col min="2576" max="2576" width="4.1796875" style="756" customWidth="1"/>
    <col min="2577" max="2577" width="8.54296875" style="756" customWidth="1"/>
    <col min="2578" max="2578" width="8.7265625" style="756"/>
    <col min="2579" max="2579" width="8.453125" style="756" bestFit="1" customWidth="1"/>
    <col min="2580" max="2590" width="8.7265625" style="756"/>
    <col min="2591" max="2591" width="16" style="756" customWidth="1"/>
    <col min="2592" max="2830" width="8.7265625" style="756"/>
    <col min="2831" max="2831" width="34.453125" style="756" customWidth="1"/>
    <col min="2832" max="2832" width="4.1796875" style="756" customWidth="1"/>
    <col min="2833" max="2833" width="8.54296875" style="756" customWidth="1"/>
    <col min="2834" max="2834" width="8.7265625" style="756"/>
    <col min="2835" max="2835" width="8.453125" style="756" bestFit="1" customWidth="1"/>
    <col min="2836" max="2846" width="8.7265625" style="756"/>
    <col min="2847" max="2847" width="16" style="756" customWidth="1"/>
    <col min="2848" max="3086" width="8.7265625" style="756"/>
    <col min="3087" max="3087" width="34.453125" style="756" customWidth="1"/>
    <col min="3088" max="3088" width="4.1796875" style="756" customWidth="1"/>
    <col min="3089" max="3089" width="8.54296875" style="756" customWidth="1"/>
    <col min="3090" max="3090" width="8.7265625" style="756"/>
    <col min="3091" max="3091" width="8.453125" style="756" bestFit="1" customWidth="1"/>
    <col min="3092" max="3102" width="8.7265625" style="756"/>
    <col min="3103" max="3103" width="16" style="756" customWidth="1"/>
    <col min="3104" max="3342" width="8.7265625" style="756"/>
    <col min="3343" max="3343" width="34.453125" style="756" customWidth="1"/>
    <col min="3344" max="3344" width="4.1796875" style="756" customWidth="1"/>
    <col min="3345" max="3345" width="8.54296875" style="756" customWidth="1"/>
    <col min="3346" max="3346" width="8.7265625" style="756"/>
    <col min="3347" max="3347" width="8.453125" style="756" bestFit="1" customWidth="1"/>
    <col min="3348" max="3358" width="8.7265625" style="756"/>
    <col min="3359" max="3359" width="16" style="756" customWidth="1"/>
    <col min="3360" max="3598" width="8.7265625" style="756"/>
    <col min="3599" max="3599" width="34.453125" style="756" customWidth="1"/>
    <col min="3600" max="3600" width="4.1796875" style="756" customWidth="1"/>
    <col min="3601" max="3601" width="8.54296875" style="756" customWidth="1"/>
    <col min="3602" max="3602" width="8.7265625" style="756"/>
    <col min="3603" max="3603" width="8.453125" style="756" bestFit="1" customWidth="1"/>
    <col min="3604" max="3614" width="8.7265625" style="756"/>
    <col min="3615" max="3615" width="16" style="756" customWidth="1"/>
    <col min="3616" max="3854" width="8.7265625" style="756"/>
    <col min="3855" max="3855" width="34.453125" style="756" customWidth="1"/>
    <col min="3856" max="3856" width="4.1796875" style="756" customWidth="1"/>
    <col min="3857" max="3857" width="8.54296875" style="756" customWidth="1"/>
    <col min="3858" max="3858" width="8.7265625" style="756"/>
    <col min="3859" max="3859" width="8.453125" style="756" bestFit="1" customWidth="1"/>
    <col min="3860" max="3870" width="8.7265625" style="756"/>
    <col min="3871" max="3871" width="16" style="756" customWidth="1"/>
    <col min="3872" max="4110" width="8.7265625" style="756"/>
    <col min="4111" max="4111" width="34.453125" style="756" customWidth="1"/>
    <col min="4112" max="4112" width="4.1796875" style="756" customWidth="1"/>
    <col min="4113" max="4113" width="8.54296875" style="756" customWidth="1"/>
    <col min="4114" max="4114" width="8.7265625" style="756"/>
    <col min="4115" max="4115" width="8.453125" style="756" bestFit="1" customWidth="1"/>
    <col min="4116" max="4126" width="8.7265625" style="756"/>
    <col min="4127" max="4127" width="16" style="756" customWidth="1"/>
    <col min="4128" max="4366" width="8.7265625" style="756"/>
    <col min="4367" max="4367" width="34.453125" style="756" customWidth="1"/>
    <col min="4368" max="4368" width="4.1796875" style="756" customWidth="1"/>
    <col min="4369" max="4369" width="8.54296875" style="756" customWidth="1"/>
    <col min="4370" max="4370" width="8.7265625" style="756"/>
    <col min="4371" max="4371" width="8.453125" style="756" bestFit="1" customWidth="1"/>
    <col min="4372" max="4382" width="8.7265625" style="756"/>
    <col min="4383" max="4383" width="16" style="756" customWidth="1"/>
    <col min="4384" max="4622" width="8.7265625" style="756"/>
    <col min="4623" max="4623" width="34.453125" style="756" customWidth="1"/>
    <col min="4624" max="4624" width="4.1796875" style="756" customWidth="1"/>
    <col min="4625" max="4625" width="8.54296875" style="756" customWidth="1"/>
    <col min="4626" max="4626" width="8.7265625" style="756"/>
    <col min="4627" max="4627" width="8.453125" style="756" bestFit="1" customWidth="1"/>
    <col min="4628" max="4638" width="8.7265625" style="756"/>
    <col min="4639" max="4639" width="16" style="756" customWidth="1"/>
    <col min="4640" max="4878" width="8.7265625" style="756"/>
    <col min="4879" max="4879" width="34.453125" style="756" customWidth="1"/>
    <col min="4880" max="4880" width="4.1796875" style="756" customWidth="1"/>
    <col min="4881" max="4881" width="8.54296875" style="756" customWidth="1"/>
    <col min="4882" max="4882" width="8.7265625" style="756"/>
    <col min="4883" max="4883" width="8.453125" style="756" bestFit="1" customWidth="1"/>
    <col min="4884" max="4894" width="8.7265625" style="756"/>
    <col min="4895" max="4895" width="16" style="756" customWidth="1"/>
    <col min="4896" max="5134" width="8.7265625" style="756"/>
    <col min="5135" max="5135" width="34.453125" style="756" customWidth="1"/>
    <col min="5136" max="5136" width="4.1796875" style="756" customWidth="1"/>
    <col min="5137" max="5137" width="8.54296875" style="756" customWidth="1"/>
    <col min="5138" max="5138" width="8.7265625" style="756"/>
    <col min="5139" max="5139" width="8.453125" style="756" bestFit="1" customWidth="1"/>
    <col min="5140" max="5150" width="8.7265625" style="756"/>
    <col min="5151" max="5151" width="16" style="756" customWidth="1"/>
    <col min="5152" max="5390" width="8.7265625" style="756"/>
    <col min="5391" max="5391" width="34.453125" style="756" customWidth="1"/>
    <col min="5392" max="5392" width="4.1796875" style="756" customWidth="1"/>
    <col min="5393" max="5393" width="8.54296875" style="756" customWidth="1"/>
    <col min="5394" max="5394" width="8.7265625" style="756"/>
    <col min="5395" max="5395" width="8.453125" style="756" bestFit="1" customWidth="1"/>
    <col min="5396" max="5406" width="8.7265625" style="756"/>
    <col min="5407" max="5407" width="16" style="756" customWidth="1"/>
    <col min="5408" max="5646" width="8.7265625" style="756"/>
    <col min="5647" max="5647" width="34.453125" style="756" customWidth="1"/>
    <col min="5648" max="5648" width="4.1796875" style="756" customWidth="1"/>
    <col min="5649" max="5649" width="8.54296875" style="756" customWidth="1"/>
    <col min="5650" max="5650" width="8.7265625" style="756"/>
    <col min="5651" max="5651" width="8.453125" style="756" bestFit="1" customWidth="1"/>
    <col min="5652" max="5662" width="8.7265625" style="756"/>
    <col min="5663" max="5663" width="16" style="756" customWidth="1"/>
    <col min="5664" max="5902" width="8.7265625" style="756"/>
    <col min="5903" max="5903" width="34.453125" style="756" customWidth="1"/>
    <col min="5904" max="5904" width="4.1796875" style="756" customWidth="1"/>
    <col min="5905" max="5905" width="8.54296875" style="756" customWidth="1"/>
    <col min="5906" max="5906" width="8.7265625" style="756"/>
    <col min="5907" max="5907" width="8.453125" style="756" bestFit="1" customWidth="1"/>
    <col min="5908" max="5918" width="8.7265625" style="756"/>
    <col min="5919" max="5919" width="16" style="756" customWidth="1"/>
    <col min="5920" max="6158" width="8.7265625" style="756"/>
    <col min="6159" max="6159" width="34.453125" style="756" customWidth="1"/>
    <col min="6160" max="6160" width="4.1796875" style="756" customWidth="1"/>
    <col min="6161" max="6161" width="8.54296875" style="756" customWidth="1"/>
    <col min="6162" max="6162" width="8.7265625" style="756"/>
    <col min="6163" max="6163" width="8.453125" style="756" bestFit="1" customWidth="1"/>
    <col min="6164" max="6174" width="8.7265625" style="756"/>
    <col min="6175" max="6175" width="16" style="756" customWidth="1"/>
    <col min="6176" max="6414" width="8.7265625" style="756"/>
    <col min="6415" max="6415" width="34.453125" style="756" customWidth="1"/>
    <col min="6416" max="6416" width="4.1796875" style="756" customWidth="1"/>
    <col min="6417" max="6417" width="8.54296875" style="756" customWidth="1"/>
    <col min="6418" max="6418" width="8.7265625" style="756"/>
    <col min="6419" max="6419" width="8.453125" style="756" bestFit="1" customWidth="1"/>
    <col min="6420" max="6430" width="8.7265625" style="756"/>
    <col min="6431" max="6431" width="16" style="756" customWidth="1"/>
    <col min="6432" max="6670" width="8.7265625" style="756"/>
    <col min="6671" max="6671" width="34.453125" style="756" customWidth="1"/>
    <col min="6672" max="6672" width="4.1796875" style="756" customWidth="1"/>
    <col min="6673" max="6673" width="8.54296875" style="756" customWidth="1"/>
    <col min="6674" max="6674" width="8.7265625" style="756"/>
    <col min="6675" max="6675" width="8.453125" style="756" bestFit="1" customWidth="1"/>
    <col min="6676" max="6686" width="8.7265625" style="756"/>
    <col min="6687" max="6687" width="16" style="756" customWidth="1"/>
    <col min="6688" max="6926" width="8.7265625" style="756"/>
    <col min="6927" max="6927" width="34.453125" style="756" customWidth="1"/>
    <col min="6928" max="6928" width="4.1796875" style="756" customWidth="1"/>
    <col min="6929" max="6929" width="8.54296875" style="756" customWidth="1"/>
    <col min="6930" max="6930" width="8.7265625" style="756"/>
    <col min="6931" max="6931" width="8.453125" style="756" bestFit="1" customWidth="1"/>
    <col min="6932" max="6942" width="8.7265625" style="756"/>
    <col min="6943" max="6943" width="16" style="756" customWidth="1"/>
    <col min="6944" max="7182" width="8.7265625" style="756"/>
    <col min="7183" max="7183" width="34.453125" style="756" customWidth="1"/>
    <col min="7184" max="7184" width="4.1796875" style="756" customWidth="1"/>
    <col min="7185" max="7185" width="8.54296875" style="756" customWidth="1"/>
    <col min="7186" max="7186" width="8.7265625" style="756"/>
    <col min="7187" max="7187" width="8.453125" style="756" bestFit="1" customWidth="1"/>
    <col min="7188" max="7198" width="8.7265625" style="756"/>
    <col min="7199" max="7199" width="16" style="756" customWidth="1"/>
    <col min="7200" max="7438" width="8.7265625" style="756"/>
    <col min="7439" max="7439" width="34.453125" style="756" customWidth="1"/>
    <col min="7440" max="7440" width="4.1796875" style="756" customWidth="1"/>
    <col min="7441" max="7441" width="8.54296875" style="756" customWidth="1"/>
    <col min="7442" max="7442" width="8.7265625" style="756"/>
    <col min="7443" max="7443" width="8.453125" style="756" bestFit="1" customWidth="1"/>
    <col min="7444" max="7454" width="8.7265625" style="756"/>
    <col min="7455" max="7455" width="16" style="756" customWidth="1"/>
    <col min="7456" max="7694" width="8.7265625" style="756"/>
    <col min="7695" max="7695" width="34.453125" style="756" customWidth="1"/>
    <col min="7696" max="7696" width="4.1796875" style="756" customWidth="1"/>
    <col min="7697" max="7697" width="8.54296875" style="756" customWidth="1"/>
    <col min="7698" max="7698" width="8.7265625" style="756"/>
    <col min="7699" max="7699" width="8.453125" style="756" bestFit="1" customWidth="1"/>
    <col min="7700" max="7710" width="8.7265625" style="756"/>
    <col min="7711" max="7711" width="16" style="756" customWidth="1"/>
    <col min="7712" max="7950" width="8.7265625" style="756"/>
    <col min="7951" max="7951" width="34.453125" style="756" customWidth="1"/>
    <col min="7952" max="7952" width="4.1796875" style="756" customWidth="1"/>
    <col min="7953" max="7953" width="8.54296875" style="756" customWidth="1"/>
    <col min="7954" max="7954" width="8.7265625" style="756"/>
    <col min="7955" max="7955" width="8.453125" style="756" bestFit="1" customWidth="1"/>
    <col min="7956" max="7966" width="8.7265625" style="756"/>
    <col min="7967" max="7967" width="16" style="756" customWidth="1"/>
    <col min="7968" max="8206" width="8.7265625" style="756"/>
    <col min="8207" max="8207" width="34.453125" style="756" customWidth="1"/>
    <col min="8208" max="8208" width="4.1796875" style="756" customWidth="1"/>
    <col min="8209" max="8209" width="8.54296875" style="756" customWidth="1"/>
    <col min="8210" max="8210" width="8.7265625" style="756"/>
    <col min="8211" max="8211" width="8.453125" style="756" bestFit="1" customWidth="1"/>
    <col min="8212" max="8222" width="8.7265625" style="756"/>
    <col min="8223" max="8223" width="16" style="756" customWidth="1"/>
    <col min="8224" max="8462" width="8.7265625" style="756"/>
    <col min="8463" max="8463" width="34.453125" style="756" customWidth="1"/>
    <col min="8464" max="8464" width="4.1796875" style="756" customWidth="1"/>
    <col min="8465" max="8465" width="8.54296875" style="756" customWidth="1"/>
    <col min="8466" max="8466" width="8.7265625" style="756"/>
    <col min="8467" max="8467" width="8.453125" style="756" bestFit="1" customWidth="1"/>
    <col min="8468" max="8478" width="8.7265625" style="756"/>
    <col min="8479" max="8479" width="16" style="756" customWidth="1"/>
    <col min="8480" max="8718" width="8.7265625" style="756"/>
    <col min="8719" max="8719" width="34.453125" style="756" customWidth="1"/>
    <col min="8720" max="8720" width="4.1796875" style="756" customWidth="1"/>
    <col min="8721" max="8721" width="8.54296875" style="756" customWidth="1"/>
    <col min="8722" max="8722" width="8.7265625" style="756"/>
    <col min="8723" max="8723" width="8.453125" style="756" bestFit="1" customWidth="1"/>
    <col min="8724" max="8734" width="8.7265625" style="756"/>
    <col min="8735" max="8735" width="16" style="756" customWidth="1"/>
    <col min="8736" max="8974" width="8.7265625" style="756"/>
    <col min="8975" max="8975" width="34.453125" style="756" customWidth="1"/>
    <col min="8976" max="8976" width="4.1796875" style="756" customWidth="1"/>
    <col min="8977" max="8977" width="8.54296875" style="756" customWidth="1"/>
    <col min="8978" max="8978" width="8.7265625" style="756"/>
    <col min="8979" max="8979" width="8.453125" style="756" bestFit="1" customWidth="1"/>
    <col min="8980" max="8990" width="8.7265625" style="756"/>
    <col min="8991" max="8991" width="16" style="756" customWidth="1"/>
    <col min="8992" max="9230" width="8.7265625" style="756"/>
    <col min="9231" max="9231" width="34.453125" style="756" customWidth="1"/>
    <col min="9232" max="9232" width="4.1796875" style="756" customWidth="1"/>
    <col min="9233" max="9233" width="8.54296875" style="756" customWidth="1"/>
    <col min="9234" max="9234" width="8.7265625" style="756"/>
    <col min="9235" max="9235" width="8.453125" style="756" bestFit="1" customWidth="1"/>
    <col min="9236" max="9246" width="8.7265625" style="756"/>
    <col min="9247" max="9247" width="16" style="756" customWidth="1"/>
    <col min="9248" max="9486" width="8.7265625" style="756"/>
    <col min="9487" max="9487" width="34.453125" style="756" customWidth="1"/>
    <col min="9488" max="9488" width="4.1796875" style="756" customWidth="1"/>
    <col min="9489" max="9489" width="8.54296875" style="756" customWidth="1"/>
    <col min="9490" max="9490" width="8.7265625" style="756"/>
    <col min="9491" max="9491" width="8.453125" style="756" bestFit="1" customWidth="1"/>
    <col min="9492" max="9502" width="8.7265625" style="756"/>
    <col min="9503" max="9503" width="16" style="756" customWidth="1"/>
    <col min="9504" max="9742" width="8.7265625" style="756"/>
    <col min="9743" max="9743" width="34.453125" style="756" customWidth="1"/>
    <col min="9744" max="9744" width="4.1796875" style="756" customWidth="1"/>
    <col min="9745" max="9745" width="8.54296875" style="756" customWidth="1"/>
    <col min="9746" max="9746" width="8.7265625" style="756"/>
    <col min="9747" max="9747" width="8.453125" style="756" bestFit="1" customWidth="1"/>
    <col min="9748" max="9758" width="8.7265625" style="756"/>
    <col min="9759" max="9759" width="16" style="756" customWidth="1"/>
    <col min="9760" max="9998" width="8.7265625" style="756"/>
    <col min="9999" max="9999" width="34.453125" style="756" customWidth="1"/>
    <col min="10000" max="10000" width="4.1796875" style="756" customWidth="1"/>
    <col min="10001" max="10001" width="8.54296875" style="756" customWidth="1"/>
    <col min="10002" max="10002" width="8.7265625" style="756"/>
    <col min="10003" max="10003" width="8.453125" style="756" bestFit="1" customWidth="1"/>
    <col min="10004" max="10014" width="8.7265625" style="756"/>
    <col min="10015" max="10015" width="16" style="756" customWidth="1"/>
    <col min="10016" max="10254" width="8.7265625" style="756"/>
    <col min="10255" max="10255" width="34.453125" style="756" customWidth="1"/>
    <col min="10256" max="10256" width="4.1796875" style="756" customWidth="1"/>
    <col min="10257" max="10257" width="8.54296875" style="756" customWidth="1"/>
    <col min="10258" max="10258" width="8.7265625" style="756"/>
    <col min="10259" max="10259" width="8.453125" style="756" bestFit="1" customWidth="1"/>
    <col min="10260" max="10270" width="8.7265625" style="756"/>
    <col min="10271" max="10271" width="16" style="756" customWidth="1"/>
    <col min="10272" max="10510" width="8.7265625" style="756"/>
    <col min="10511" max="10511" width="34.453125" style="756" customWidth="1"/>
    <col min="10512" max="10512" width="4.1796875" style="756" customWidth="1"/>
    <col min="10513" max="10513" width="8.54296875" style="756" customWidth="1"/>
    <col min="10514" max="10514" width="8.7265625" style="756"/>
    <col min="10515" max="10515" width="8.453125" style="756" bestFit="1" customWidth="1"/>
    <col min="10516" max="10526" width="8.7265625" style="756"/>
    <col min="10527" max="10527" width="16" style="756" customWidth="1"/>
    <col min="10528" max="10766" width="8.7265625" style="756"/>
    <col min="10767" max="10767" width="34.453125" style="756" customWidth="1"/>
    <col min="10768" max="10768" width="4.1796875" style="756" customWidth="1"/>
    <col min="10769" max="10769" width="8.54296875" style="756" customWidth="1"/>
    <col min="10770" max="10770" width="8.7265625" style="756"/>
    <col min="10771" max="10771" width="8.453125" style="756" bestFit="1" customWidth="1"/>
    <col min="10772" max="10782" width="8.7265625" style="756"/>
    <col min="10783" max="10783" width="16" style="756" customWidth="1"/>
    <col min="10784" max="11022" width="8.7265625" style="756"/>
    <col min="11023" max="11023" width="34.453125" style="756" customWidth="1"/>
    <col min="11024" max="11024" width="4.1796875" style="756" customWidth="1"/>
    <col min="11025" max="11025" width="8.54296875" style="756" customWidth="1"/>
    <col min="11026" max="11026" width="8.7265625" style="756"/>
    <col min="11027" max="11027" width="8.453125" style="756" bestFit="1" customWidth="1"/>
    <col min="11028" max="11038" width="8.7265625" style="756"/>
    <col min="11039" max="11039" width="16" style="756" customWidth="1"/>
    <col min="11040" max="11278" width="8.7265625" style="756"/>
    <col min="11279" max="11279" width="34.453125" style="756" customWidth="1"/>
    <col min="11280" max="11280" width="4.1796875" style="756" customWidth="1"/>
    <col min="11281" max="11281" width="8.54296875" style="756" customWidth="1"/>
    <col min="11282" max="11282" width="8.7265625" style="756"/>
    <col min="11283" max="11283" width="8.453125" style="756" bestFit="1" customWidth="1"/>
    <col min="11284" max="11294" width="8.7265625" style="756"/>
    <col min="11295" max="11295" width="16" style="756" customWidth="1"/>
    <col min="11296" max="11534" width="8.7265625" style="756"/>
    <col min="11535" max="11535" width="34.453125" style="756" customWidth="1"/>
    <col min="11536" max="11536" width="4.1796875" style="756" customWidth="1"/>
    <col min="11537" max="11537" width="8.54296875" style="756" customWidth="1"/>
    <col min="11538" max="11538" width="8.7265625" style="756"/>
    <col min="11539" max="11539" width="8.453125" style="756" bestFit="1" customWidth="1"/>
    <col min="11540" max="11550" width="8.7265625" style="756"/>
    <col min="11551" max="11551" width="16" style="756" customWidth="1"/>
    <col min="11552" max="11790" width="8.7265625" style="756"/>
    <col min="11791" max="11791" width="34.453125" style="756" customWidth="1"/>
    <col min="11792" max="11792" width="4.1796875" style="756" customWidth="1"/>
    <col min="11793" max="11793" width="8.54296875" style="756" customWidth="1"/>
    <col min="11794" max="11794" width="8.7265625" style="756"/>
    <col min="11795" max="11795" width="8.453125" style="756" bestFit="1" customWidth="1"/>
    <col min="11796" max="11806" width="8.7265625" style="756"/>
    <col min="11807" max="11807" width="16" style="756" customWidth="1"/>
    <col min="11808" max="12046" width="8.7265625" style="756"/>
    <col min="12047" max="12047" width="34.453125" style="756" customWidth="1"/>
    <col min="12048" max="12048" width="4.1796875" style="756" customWidth="1"/>
    <col min="12049" max="12049" width="8.54296875" style="756" customWidth="1"/>
    <col min="12050" max="12050" width="8.7265625" style="756"/>
    <col min="12051" max="12051" width="8.453125" style="756" bestFit="1" customWidth="1"/>
    <col min="12052" max="12062" width="8.7265625" style="756"/>
    <col min="12063" max="12063" width="16" style="756" customWidth="1"/>
    <col min="12064" max="12302" width="8.7265625" style="756"/>
    <col min="12303" max="12303" width="34.453125" style="756" customWidth="1"/>
    <col min="12304" max="12304" width="4.1796875" style="756" customWidth="1"/>
    <col min="12305" max="12305" width="8.54296875" style="756" customWidth="1"/>
    <col min="12306" max="12306" width="8.7265625" style="756"/>
    <col min="12307" max="12307" width="8.453125" style="756" bestFit="1" customWidth="1"/>
    <col min="12308" max="12318" width="8.7265625" style="756"/>
    <col min="12319" max="12319" width="16" style="756" customWidth="1"/>
    <col min="12320" max="12558" width="8.7265625" style="756"/>
    <col min="12559" max="12559" width="34.453125" style="756" customWidth="1"/>
    <col min="12560" max="12560" width="4.1796875" style="756" customWidth="1"/>
    <col min="12561" max="12561" width="8.54296875" style="756" customWidth="1"/>
    <col min="12562" max="12562" width="8.7265625" style="756"/>
    <col min="12563" max="12563" width="8.453125" style="756" bestFit="1" customWidth="1"/>
    <col min="12564" max="12574" width="8.7265625" style="756"/>
    <col min="12575" max="12575" width="16" style="756" customWidth="1"/>
    <col min="12576" max="12814" width="8.7265625" style="756"/>
    <col min="12815" max="12815" width="34.453125" style="756" customWidth="1"/>
    <col min="12816" max="12816" width="4.1796875" style="756" customWidth="1"/>
    <col min="12817" max="12817" width="8.54296875" style="756" customWidth="1"/>
    <col min="12818" max="12818" width="8.7265625" style="756"/>
    <col min="12819" max="12819" width="8.453125" style="756" bestFit="1" customWidth="1"/>
    <col min="12820" max="12830" width="8.7265625" style="756"/>
    <col min="12831" max="12831" width="16" style="756" customWidth="1"/>
    <col min="12832" max="13070" width="8.7265625" style="756"/>
    <col min="13071" max="13071" width="34.453125" style="756" customWidth="1"/>
    <col min="13072" max="13072" width="4.1796875" style="756" customWidth="1"/>
    <col min="13073" max="13073" width="8.54296875" style="756" customWidth="1"/>
    <col min="13074" max="13074" width="8.7265625" style="756"/>
    <col min="13075" max="13075" width="8.453125" style="756" bestFit="1" customWidth="1"/>
    <col min="13076" max="13086" width="8.7265625" style="756"/>
    <col min="13087" max="13087" width="16" style="756" customWidth="1"/>
    <col min="13088" max="13326" width="8.7265625" style="756"/>
    <col min="13327" max="13327" width="34.453125" style="756" customWidth="1"/>
    <col min="13328" max="13328" width="4.1796875" style="756" customWidth="1"/>
    <col min="13329" max="13329" width="8.54296875" style="756" customWidth="1"/>
    <col min="13330" max="13330" width="8.7265625" style="756"/>
    <col min="13331" max="13331" width="8.453125" style="756" bestFit="1" customWidth="1"/>
    <col min="13332" max="13342" width="8.7265625" style="756"/>
    <col min="13343" max="13343" width="16" style="756" customWidth="1"/>
    <col min="13344" max="13582" width="8.7265625" style="756"/>
    <col min="13583" max="13583" width="34.453125" style="756" customWidth="1"/>
    <col min="13584" max="13584" width="4.1796875" style="756" customWidth="1"/>
    <col min="13585" max="13585" width="8.54296875" style="756" customWidth="1"/>
    <col min="13586" max="13586" width="8.7265625" style="756"/>
    <col min="13587" max="13587" width="8.453125" style="756" bestFit="1" customWidth="1"/>
    <col min="13588" max="13598" width="8.7265625" style="756"/>
    <col min="13599" max="13599" width="16" style="756" customWidth="1"/>
    <col min="13600" max="13838" width="8.7265625" style="756"/>
    <col min="13839" max="13839" width="34.453125" style="756" customWidth="1"/>
    <col min="13840" max="13840" width="4.1796875" style="756" customWidth="1"/>
    <col min="13841" max="13841" width="8.54296875" style="756" customWidth="1"/>
    <col min="13842" max="13842" width="8.7265625" style="756"/>
    <col min="13843" max="13843" width="8.453125" style="756" bestFit="1" customWidth="1"/>
    <col min="13844" max="13854" width="8.7265625" style="756"/>
    <col min="13855" max="13855" width="16" style="756" customWidth="1"/>
    <col min="13856" max="14094" width="8.7265625" style="756"/>
    <col min="14095" max="14095" width="34.453125" style="756" customWidth="1"/>
    <col min="14096" max="14096" width="4.1796875" style="756" customWidth="1"/>
    <col min="14097" max="14097" width="8.54296875" style="756" customWidth="1"/>
    <col min="14098" max="14098" width="8.7265625" style="756"/>
    <col min="14099" max="14099" width="8.453125" style="756" bestFit="1" customWidth="1"/>
    <col min="14100" max="14110" width="8.7265625" style="756"/>
    <col min="14111" max="14111" width="16" style="756" customWidth="1"/>
    <col min="14112" max="14350" width="8.7265625" style="756"/>
    <col min="14351" max="14351" width="34.453125" style="756" customWidth="1"/>
    <col min="14352" max="14352" width="4.1796875" style="756" customWidth="1"/>
    <col min="14353" max="14353" width="8.54296875" style="756" customWidth="1"/>
    <col min="14354" max="14354" width="8.7265625" style="756"/>
    <col min="14355" max="14355" width="8.453125" style="756" bestFit="1" customWidth="1"/>
    <col min="14356" max="14366" width="8.7265625" style="756"/>
    <col min="14367" max="14367" width="16" style="756" customWidth="1"/>
    <col min="14368" max="14606" width="8.7265625" style="756"/>
    <col min="14607" max="14607" width="34.453125" style="756" customWidth="1"/>
    <col min="14608" max="14608" width="4.1796875" style="756" customWidth="1"/>
    <col min="14609" max="14609" width="8.54296875" style="756" customWidth="1"/>
    <col min="14610" max="14610" width="8.7265625" style="756"/>
    <col min="14611" max="14611" width="8.453125" style="756" bestFit="1" customWidth="1"/>
    <col min="14612" max="14622" width="8.7265625" style="756"/>
    <col min="14623" max="14623" width="16" style="756" customWidth="1"/>
    <col min="14624" max="14862" width="8.7265625" style="756"/>
    <col min="14863" max="14863" width="34.453125" style="756" customWidth="1"/>
    <col min="14864" max="14864" width="4.1796875" style="756" customWidth="1"/>
    <col min="14865" max="14865" width="8.54296875" style="756" customWidth="1"/>
    <col min="14866" max="14866" width="8.7265625" style="756"/>
    <col min="14867" max="14867" width="8.453125" style="756" bestFit="1" customWidth="1"/>
    <col min="14868" max="14878" width="8.7265625" style="756"/>
    <col min="14879" max="14879" width="16" style="756" customWidth="1"/>
    <col min="14880" max="15118" width="8.7265625" style="756"/>
    <col min="15119" max="15119" width="34.453125" style="756" customWidth="1"/>
    <col min="15120" max="15120" width="4.1796875" style="756" customWidth="1"/>
    <col min="15121" max="15121" width="8.54296875" style="756" customWidth="1"/>
    <col min="15122" max="15122" width="8.7265625" style="756"/>
    <col min="15123" max="15123" width="8.453125" style="756" bestFit="1" customWidth="1"/>
    <col min="15124" max="15134" width="8.7265625" style="756"/>
    <col min="15135" max="15135" width="16" style="756" customWidth="1"/>
    <col min="15136" max="15374" width="8.7265625" style="756"/>
    <col min="15375" max="15375" width="34.453125" style="756" customWidth="1"/>
    <col min="15376" max="15376" width="4.1796875" style="756" customWidth="1"/>
    <col min="15377" max="15377" width="8.54296875" style="756" customWidth="1"/>
    <col min="15378" max="15378" width="8.7265625" style="756"/>
    <col min="15379" max="15379" width="8.453125" style="756" bestFit="1" customWidth="1"/>
    <col min="15380" max="15390" width="8.7265625" style="756"/>
    <col min="15391" max="15391" width="16" style="756" customWidth="1"/>
    <col min="15392" max="15630" width="8.7265625" style="756"/>
    <col min="15631" max="15631" width="34.453125" style="756" customWidth="1"/>
    <col min="15632" max="15632" width="4.1796875" style="756" customWidth="1"/>
    <col min="15633" max="15633" width="8.54296875" style="756" customWidth="1"/>
    <col min="15634" max="15634" width="8.7265625" style="756"/>
    <col min="15635" max="15635" width="8.453125" style="756" bestFit="1" customWidth="1"/>
    <col min="15636" max="15646" width="8.7265625" style="756"/>
    <col min="15647" max="15647" width="16" style="756" customWidth="1"/>
    <col min="15648" max="15886" width="8.7265625" style="756"/>
    <col min="15887" max="15887" width="34.453125" style="756" customWidth="1"/>
    <col min="15888" max="15888" width="4.1796875" style="756" customWidth="1"/>
    <col min="15889" max="15889" width="8.54296875" style="756" customWidth="1"/>
    <col min="15890" max="15890" width="8.7265625" style="756"/>
    <col min="15891" max="15891" width="8.453125" style="756" bestFit="1" customWidth="1"/>
    <col min="15892" max="15902" width="8.7265625" style="756"/>
    <col min="15903" max="15903" width="16" style="756" customWidth="1"/>
    <col min="15904" max="16142" width="8.7265625" style="756"/>
    <col min="16143" max="16143" width="34.453125" style="756" customWidth="1"/>
    <col min="16144" max="16144" width="4.1796875" style="756" customWidth="1"/>
    <col min="16145" max="16145" width="8.54296875" style="756" customWidth="1"/>
    <col min="16146" max="16146" width="8.7265625" style="756"/>
    <col min="16147" max="16147" width="8.453125" style="756" bestFit="1" customWidth="1"/>
    <col min="16148" max="16158" width="8.7265625" style="756"/>
    <col min="16159" max="16159" width="16" style="756" customWidth="1"/>
    <col min="16160" max="16384" width="8.7265625" style="756"/>
  </cols>
  <sheetData>
    <row r="1" spans="1:32" ht="14.5" x14ac:dyDescent="0.35">
      <c r="A1" s="759" t="s">
        <v>1489</v>
      </c>
      <c r="M1" s="1362" t="s">
        <v>1</v>
      </c>
      <c r="N1" s="1363"/>
      <c r="O1" s="1363"/>
      <c r="P1" s="757"/>
      <c r="Q1" s="757"/>
      <c r="R1" s="757"/>
      <c r="S1" s="757"/>
      <c r="T1" s="757"/>
      <c r="U1" s="757"/>
      <c r="V1" s="757"/>
      <c r="W1" s="757"/>
      <c r="X1" s="1040"/>
      <c r="Y1" s="1040"/>
      <c r="Z1" s="1552">
        <v>45657</v>
      </c>
      <c r="AA1" s="757"/>
      <c r="AF1" s="757"/>
    </row>
    <row r="2" spans="1:32" x14ac:dyDescent="0.3">
      <c r="A2" s="1038" t="s">
        <v>2</v>
      </c>
      <c r="C2" s="1041"/>
      <c r="D2" s="1041"/>
      <c r="E2" s="1041"/>
      <c r="F2" s="1041"/>
      <c r="G2" s="1041"/>
      <c r="H2" s="1041"/>
      <c r="I2" s="1041"/>
      <c r="AB2" s="1042"/>
      <c r="AC2" s="1042"/>
      <c r="AD2" s="1042"/>
      <c r="AE2" s="1042"/>
      <c r="AF2" s="1042"/>
    </row>
    <row r="3" spans="1:32" ht="14.5" x14ac:dyDescent="0.35">
      <c r="A3" s="1043" t="s">
        <v>3</v>
      </c>
      <c r="B3" s="1044"/>
      <c r="J3" s="1044"/>
      <c r="K3" s="1044"/>
      <c r="L3" s="1044"/>
      <c r="M3" s="1044"/>
      <c r="N3" s="1044"/>
      <c r="O3" s="1044"/>
      <c r="P3" s="1044"/>
      <c r="Q3" s="1044"/>
      <c r="R3" s="1044"/>
      <c r="S3" s="1044"/>
      <c r="T3" s="1044"/>
      <c r="U3" s="1044"/>
      <c r="V3" s="1044"/>
      <c r="W3" s="1044"/>
      <c r="X3" s="1044"/>
      <c r="Y3" s="1044"/>
      <c r="Z3" s="1044"/>
      <c r="AA3" s="1045"/>
      <c r="AB3" s="1046"/>
      <c r="AC3" s="1046"/>
      <c r="AD3" s="1046"/>
      <c r="AE3" s="1046"/>
      <c r="AF3" s="1046"/>
    </row>
    <row r="4" spans="1:32" ht="14.5" x14ac:dyDescent="0.35">
      <c r="A4" s="758"/>
      <c r="E4" s="1047"/>
      <c r="F4" s="1047"/>
      <c r="G4" s="1047"/>
      <c r="H4" s="1047">
        <f ca="1">TODAY()</f>
        <v>45797</v>
      </c>
      <c r="I4" s="1047"/>
      <c r="J4" s="1047"/>
      <c r="K4" s="1047"/>
      <c r="L4" s="1047"/>
      <c r="M4" s="1047"/>
      <c r="N4" s="1047"/>
      <c r="O4" s="1047">
        <f>+Z1</f>
        <v>45657</v>
      </c>
      <c r="P4" s="1047">
        <v>46234</v>
      </c>
      <c r="Q4" s="1047">
        <v>46599</v>
      </c>
      <c r="R4" s="1047">
        <v>46965</v>
      </c>
      <c r="S4" s="1047">
        <v>47330</v>
      </c>
      <c r="T4" s="1047">
        <v>47695</v>
      </c>
      <c r="U4" s="1047">
        <v>48060</v>
      </c>
      <c r="V4" s="1047">
        <v>48426</v>
      </c>
      <c r="W4" s="1047">
        <v>48791</v>
      </c>
      <c r="X4" s="1047">
        <v>49156</v>
      </c>
      <c r="Y4" s="1047">
        <v>49521</v>
      </c>
      <c r="Z4" s="1047">
        <v>49887</v>
      </c>
      <c r="AA4" s="1048"/>
      <c r="AB4" s="1042"/>
      <c r="AC4" s="1042"/>
      <c r="AD4" s="1042"/>
      <c r="AE4" s="1042"/>
      <c r="AF4" s="1042"/>
    </row>
    <row r="5" spans="1:32" ht="17" x14ac:dyDescent="0.6">
      <c r="A5" s="758"/>
      <c r="D5" s="1049"/>
      <c r="E5" s="1049"/>
      <c r="F5" s="1050"/>
      <c r="G5" s="1051"/>
      <c r="H5" s="1050"/>
      <c r="I5" s="1049" t="str">
        <f>+'Historicals and forecast'!E4</f>
        <v>FYE July 31st</v>
      </c>
      <c r="J5" s="1050"/>
      <c r="K5" s="1050"/>
      <c r="L5" s="1050"/>
      <c r="M5" s="1050"/>
      <c r="N5" s="1050"/>
      <c r="O5" s="1050"/>
      <c r="P5" s="1050"/>
      <c r="Q5" s="1050"/>
      <c r="R5" s="1050"/>
      <c r="S5" s="1050"/>
      <c r="T5" s="1050"/>
      <c r="U5" s="1050"/>
      <c r="V5" s="1050"/>
      <c r="W5" s="1050"/>
      <c r="X5" s="1050"/>
      <c r="Y5" s="1050"/>
      <c r="Z5" s="1050"/>
      <c r="AA5" s="1048"/>
      <c r="AB5" s="1052" t="s">
        <v>4</v>
      </c>
      <c r="AC5" s="1053"/>
      <c r="AD5" s="1054"/>
      <c r="AE5" s="1053" t="s">
        <v>5</v>
      </c>
      <c r="AF5" s="1054"/>
    </row>
    <row r="6" spans="1:32" ht="17" x14ac:dyDescent="0.6">
      <c r="C6" s="1055" t="s">
        <v>6</v>
      </c>
      <c r="D6" s="1055" t="s">
        <v>7</v>
      </c>
      <c r="E6" s="1055" t="s">
        <v>8</v>
      </c>
      <c r="F6" s="1055" t="s">
        <v>9</v>
      </c>
      <c r="G6" s="1055" t="s">
        <v>10</v>
      </c>
      <c r="H6" s="1055" t="s">
        <v>11</v>
      </c>
      <c r="I6" s="1055" t="s">
        <v>12</v>
      </c>
      <c r="J6" s="1055" t="s">
        <v>13</v>
      </c>
      <c r="K6" s="1055" t="s">
        <v>14</v>
      </c>
      <c r="L6" s="1055" t="s">
        <v>15</v>
      </c>
      <c r="M6" s="1055" t="s">
        <v>16</v>
      </c>
      <c r="N6" s="1055" t="s">
        <v>17</v>
      </c>
      <c r="O6" s="1447" t="s">
        <v>18</v>
      </c>
      <c r="P6" s="1055" t="s">
        <v>19</v>
      </c>
      <c r="Q6" s="1055" t="s">
        <v>20</v>
      </c>
      <c r="R6" s="1055" t="s">
        <v>21</v>
      </c>
      <c r="S6" s="1055" t="s">
        <v>22</v>
      </c>
      <c r="T6" s="1055" t="s">
        <v>23</v>
      </c>
      <c r="U6" s="1055" t="s">
        <v>24</v>
      </c>
      <c r="V6" s="1055" t="s">
        <v>25</v>
      </c>
      <c r="W6" s="1055" t="s">
        <v>26</v>
      </c>
      <c r="X6" s="1055" t="s">
        <v>27</v>
      </c>
      <c r="Y6" s="1055" t="s">
        <v>28</v>
      </c>
      <c r="Z6" s="1055" t="s">
        <v>29</v>
      </c>
      <c r="AA6" s="1056" t="s">
        <v>30</v>
      </c>
      <c r="AB6" s="1057" t="s">
        <v>31</v>
      </c>
      <c r="AC6" s="1055" t="s">
        <v>32</v>
      </c>
      <c r="AD6" s="1058" t="s">
        <v>33</v>
      </c>
      <c r="AE6" s="1055" t="s">
        <v>34</v>
      </c>
      <c r="AF6" s="1058" t="s">
        <v>35</v>
      </c>
    </row>
    <row r="7" spans="1:32" ht="17" x14ac:dyDescent="0.6">
      <c r="E7" s="1055"/>
      <c r="F7" s="1055"/>
      <c r="G7" s="1055"/>
      <c r="H7" s="1055"/>
      <c r="I7" s="1055"/>
      <c r="J7" s="1055"/>
      <c r="K7" s="1055"/>
      <c r="L7" s="1055"/>
      <c r="M7" s="1055"/>
      <c r="N7" s="1055"/>
      <c r="O7" s="1447"/>
      <c r="P7" s="1055"/>
      <c r="Q7" s="1055"/>
      <c r="R7" s="1055"/>
      <c r="S7" s="1055"/>
      <c r="T7" s="1055"/>
      <c r="U7" s="1055"/>
      <c r="V7" s="1055"/>
      <c r="W7" s="1055"/>
      <c r="X7" s="1055"/>
      <c r="Y7" s="1055"/>
      <c r="Z7" s="1055"/>
      <c r="AA7" s="1048"/>
      <c r="AB7" s="1059"/>
      <c r="AC7" s="1042"/>
      <c r="AD7" s="1060"/>
      <c r="AE7" s="1042"/>
      <c r="AF7" s="1060"/>
    </row>
    <row r="8" spans="1:32" x14ac:dyDescent="0.3">
      <c r="A8" s="756" t="str">
        <f>+'Historicals and forecast'!A9</f>
        <v>Gross Invoiced Income</v>
      </c>
      <c r="B8" s="1065"/>
      <c r="C8" s="1066">
        <f>'Historicals and forecast'!AM9</f>
        <v>395.75599999999997</v>
      </c>
      <c r="D8" s="1066">
        <f>'Historicals and forecast'!AN9</f>
        <v>504.79700000000003</v>
      </c>
      <c r="E8" s="1066">
        <f>'Historicals and forecast'!AO9</f>
        <v>596.08400000000006</v>
      </c>
      <c r="F8" s="1066">
        <f>'Historicals and forecast'!AP9</f>
        <v>672.351</v>
      </c>
      <c r="G8" s="1066">
        <f>'Historicals and forecast'!AQ9</f>
        <v>832.476</v>
      </c>
      <c r="H8" s="1066">
        <f>'Historicals and forecast'!AR9</f>
        <v>1081.6780000000001</v>
      </c>
      <c r="I8" s="1066">
        <f>'Historicals and forecast'!AS9</f>
        <v>1414.0640000000001</v>
      </c>
      <c r="J8" s="1066">
        <f>'Historicals and forecast'!AT9</f>
        <v>1646.191</v>
      </c>
      <c r="K8" s="1066">
        <f>'Historicals and forecast'!AU9</f>
        <v>1938.44</v>
      </c>
      <c r="L8" s="1066">
        <f>'Historicals and forecast'!AV9</f>
        <v>2507.5369999999998</v>
      </c>
      <c r="M8" s="1420">
        <f>'Historicals and forecast'!AW9</f>
        <v>2563</v>
      </c>
      <c r="N8" s="1420">
        <f>'Historicals and forecast'!AX9</f>
        <v>2852.2</v>
      </c>
      <c r="O8" s="1448">
        <f>'Historicals and forecast'!AY9</f>
        <v>3194.4639999999999</v>
      </c>
      <c r="P8" s="903">
        <f t="shared" ref="P8:Y8" si="0">+O8+P11</f>
        <v>3577.7996800000001</v>
      </c>
      <c r="Q8" s="903">
        <f t="shared" si="0"/>
        <v>4007.1356415999999</v>
      </c>
      <c r="R8" s="903">
        <f t="shared" si="0"/>
        <v>4487.9919185919998</v>
      </c>
      <c r="S8" s="903">
        <f t="shared" si="0"/>
        <v>5026.55094882304</v>
      </c>
      <c r="T8" s="903">
        <f t="shared" si="0"/>
        <v>5629.7370626818047</v>
      </c>
      <c r="U8" s="903">
        <f t="shared" si="0"/>
        <v>6305.3055102036215</v>
      </c>
      <c r="V8" s="903">
        <f t="shared" si="0"/>
        <v>7061.9421714280561</v>
      </c>
      <c r="W8" s="903">
        <f t="shared" si="0"/>
        <v>7909.3752319994228</v>
      </c>
      <c r="X8" s="903">
        <f t="shared" si="0"/>
        <v>8858.500259839353</v>
      </c>
      <c r="Y8" s="903">
        <f t="shared" si="0"/>
        <v>9921.5202910200751</v>
      </c>
      <c r="Z8" s="903">
        <f t="shared" ref="Z8" si="1">+Y8+Z11</f>
        <v>11112.102725942485</v>
      </c>
      <c r="AA8" s="1048" t="s">
        <v>36</v>
      </c>
      <c r="AB8" s="910">
        <f>'Historicals and forecast'!BC9</f>
        <v>0.2061124051602603</v>
      </c>
      <c r="AC8" s="911">
        <f>'Historicals and forecast'!BD9</f>
        <v>0.32537552163540839</v>
      </c>
      <c r="AD8" s="912">
        <f>'Historicals and forecast'!BE9</f>
        <v>0.26433850615261134</v>
      </c>
      <c r="AE8" s="911">
        <f>(L8/G8)^(1/5)-1</f>
        <v>0.24673779578090915</v>
      </c>
      <c r="AF8" s="912">
        <f>(Q8/G8)^(1/10)-1</f>
        <v>0.17016265072508596</v>
      </c>
    </row>
    <row r="9" spans="1:32" ht="14.5" x14ac:dyDescent="0.35">
      <c r="A9" s="1026" t="s">
        <v>37</v>
      </c>
      <c r="C9" s="1067"/>
      <c r="D9" s="1067">
        <f>D8/C8-1</f>
        <v>0.27552582904618017</v>
      </c>
      <c r="E9" s="1067">
        <f>E8/D8-1</f>
        <v>0.18083903034289039</v>
      </c>
      <c r="F9" s="916">
        <f>F8/E8-1</f>
        <v>0.12794673233973719</v>
      </c>
      <c r="G9" s="1067">
        <f t="shared" ref="G9:Y9" si="2">+G8/F8-1</f>
        <v>0.2381568555709741</v>
      </c>
      <c r="H9" s="1067">
        <f t="shared" si="2"/>
        <v>0.29935037166236644</v>
      </c>
      <c r="I9" s="1067">
        <f t="shared" si="2"/>
        <v>0.30728738127243038</v>
      </c>
      <c r="J9" s="1067">
        <f t="shared" si="2"/>
        <v>0.16415593636497361</v>
      </c>
      <c r="K9" s="1067">
        <f t="shared" si="2"/>
        <v>0.17753043237388622</v>
      </c>
      <c r="L9" s="1067">
        <f t="shared" si="2"/>
        <v>0.29358504777037187</v>
      </c>
      <c r="M9" s="1067">
        <f t="shared" si="2"/>
        <v>2.211851709466317E-2</v>
      </c>
      <c r="N9" s="1067">
        <f t="shared" si="2"/>
        <v>0.11283651970347242</v>
      </c>
      <c r="O9" s="1449">
        <f t="shared" ref="O9" si="3">+O8/N8-1</f>
        <v>0.12000000000000011</v>
      </c>
      <c r="P9" s="1067">
        <f t="shared" si="2"/>
        <v>0.12000000000000011</v>
      </c>
      <c r="Q9" s="1067">
        <f t="shared" si="2"/>
        <v>0.11999999999999988</v>
      </c>
      <c r="R9" s="1067">
        <f t="shared" si="2"/>
        <v>0.11999999999999988</v>
      </c>
      <c r="S9" s="1067">
        <f t="shared" si="2"/>
        <v>0.12000000000000011</v>
      </c>
      <c r="T9" s="1067">
        <f t="shared" si="2"/>
        <v>0.11999999999999988</v>
      </c>
      <c r="U9" s="1067">
        <f t="shared" si="2"/>
        <v>0.12000000000000011</v>
      </c>
      <c r="V9" s="1067">
        <f t="shared" si="2"/>
        <v>0.12000000000000011</v>
      </c>
      <c r="W9" s="1067">
        <f t="shared" si="2"/>
        <v>0.11999999999999988</v>
      </c>
      <c r="X9" s="1067">
        <f t="shared" si="2"/>
        <v>0.11999999999999988</v>
      </c>
      <c r="Y9" s="1067">
        <f t="shared" si="2"/>
        <v>0.11999999999999988</v>
      </c>
      <c r="Z9" s="1067">
        <f t="shared" ref="Z9" si="4">+Z8/Y8-1</f>
        <v>0.12000000000000011</v>
      </c>
      <c r="AA9" s="1048"/>
      <c r="AB9" s="1062"/>
      <c r="AC9" s="1063"/>
      <c r="AD9" s="1064"/>
      <c r="AE9" s="1063"/>
      <c r="AF9" s="1064"/>
    </row>
    <row r="10" spans="1:32" ht="14.5" x14ac:dyDescent="0.35">
      <c r="A10" s="1026" t="s">
        <v>1488</v>
      </c>
      <c r="C10" s="1067"/>
      <c r="D10" s="1067"/>
      <c r="E10" s="1067"/>
      <c r="F10" s="916"/>
      <c r="G10" s="1067"/>
      <c r="H10" s="1067"/>
      <c r="I10" s="1067">
        <f>+I9</f>
        <v>0.30728738127243038</v>
      </c>
      <c r="J10" s="1067">
        <f t="shared" ref="J10:Z10" si="5">+J9</f>
        <v>0.16415593636497361</v>
      </c>
      <c r="K10" s="1067">
        <f t="shared" si="5"/>
        <v>0.17753043237388622</v>
      </c>
      <c r="L10" s="1067">
        <f t="shared" si="5"/>
        <v>0.29358504777037187</v>
      </c>
      <c r="M10" s="1067">
        <f t="shared" si="5"/>
        <v>2.211851709466317E-2</v>
      </c>
      <c r="N10" s="1067">
        <f t="shared" si="5"/>
        <v>0.11283651970347242</v>
      </c>
      <c r="O10" s="1449">
        <f t="shared" si="5"/>
        <v>0.12000000000000011</v>
      </c>
      <c r="P10" s="1067">
        <f t="shared" si="5"/>
        <v>0.12000000000000011</v>
      </c>
      <c r="Q10" s="1067">
        <f t="shared" si="5"/>
        <v>0.11999999999999988</v>
      </c>
      <c r="R10" s="1067">
        <f t="shared" si="5"/>
        <v>0.11999999999999988</v>
      </c>
      <c r="S10" s="1067">
        <f t="shared" si="5"/>
        <v>0.12000000000000011</v>
      </c>
      <c r="T10" s="1067">
        <f t="shared" si="5"/>
        <v>0.11999999999999988</v>
      </c>
      <c r="U10" s="1067">
        <f t="shared" si="5"/>
        <v>0.12000000000000011</v>
      </c>
      <c r="V10" s="1067">
        <f t="shared" si="5"/>
        <v>0.12000000000000011</v>
      </c>
      <c r="W10" s="1067">
        <f t="shared" si="5"/>
        <v>0.11999999999999988</v>
      </c>
      <c r="X10" s="1067">
        <f t="shared" si="5"/>
        <v>0.11999999999999988</v>
      </c>
      <c r="Y10" s="1067">
        <f t="shared" si="5"/>
        <v>0.11999999999999988</v>
      </c>
      <c r="Z10" s="1067">
        <f t="shared" si="5"/>
        <v>0.12000000000000011</v>
      </c>
      <c r="AA10" s="1048"/>
      <c r="AB10" s="1062"/>
      <c r="AC10" s="1063"/>
      <c r="AD10" s="1064"/>
      <c r="AE10" s="1063"/>
      <c r="AF10" s="1064"/>
    </row>
    <row r="11" spans="1:32" ht="14.5" x14ac:dyDescent="0.35">
      <c r="A11" s="1026" t="s">
        <v>38</v>
      </c>
      <c r="C11" s="1067"/>
      <c r="D11" s="1067"/>
      <c r="E11" s="1067"/>
      <c r="F11" s="916"/>
      <c r="G11" s="1067"/>
      <c r="H11" s="1067"/>
      <c r="I11" s="1068">
        <f t="shared" ref="I11:N11" si="6">+I8-H8</f>
        <v>332.38599999999997</v>
      </c>
      <c r="J11" s="1068">
        <f t="shared" si="6"/>
        <v>232.12699999999995</v>
      </c>
      <c r="K11" s="1068">
        <f t="shared" si="6"/>
        <v>292.24900000000002</v>
      </c>
      <c r="L11" s="1068">
        <f t="shared" si="6"/>
        <v>569.09699999999975</v>
      </c>
      <c r="M11" s="931">
        <f t="shared" si="6"/>
        <v>55.463000000000193</v>
      </c>
      <c r="N11" s="931">
        <f t="shared" si="6"/>
        <v>289.19999999999982</v>
      </c>
      <c r="O11" s="1450">
        <f t="shared" ref="O11" si="7">+O8-N8</f>
        <v>342.26400000000012</v>
      </c>
      <c r="P11" s="1069">
        <f>O8*12%</f>
        <v>383.33567999999997</v>
      </c>
      <c r="Q11" s="1069">
        <f t="shared" ref="Q11:Y11" si="8">P8*12%</f>
        <v>429.33596160000002</v>
      </c>
      <c r="R11" s="1069">
        <f t="shared" si="8"/>
        <v>480.85627699199995</v>
      </c>
      <c r="S11" s="1069">
        <f t="shared" si="8"/>
        <v>538.55903023103997</v>
      </c>
      <c r="T11" s="1069">
        <f t="shared" si="8"/>
        <v>603.18611385876477</v>
      </c>
      <c r="U11" s="1069">
        <f t="shared" si="8"/>
        <v>675.56844752181655</v>
      </c>
      <c r="V11" s="1069">
        <f t="shared" si="8"/>
        <v>756.63666122443453</v>
      </c>
      <c r="W11" s="1069">
        <f t="shared" si="8"/>
        <v>847.4330605713667</v>
      </c>
      <c r="X11" s="1069">
        <f t="shared" si="8"/>
        <v>949.12502783993068</v>
      </c>
      <c r="Y11" s="1069">
        <f t="shared" si="8"/>
        <v>1063.0200311807223</v>
      </c>
      <c r="Z11" s="1069">
        <f t="shared" ref="Z11" si="9">Y8*12%</f>
        <v>1190.582434922409</v>
      </c>
      <c r="AA11" s="1048"/>
      <c r="AB11" s="1062"/>
      <c r="AC11" s="1063"/>
      <c r="AD11" s="1064"/>
      <c r="AE11" s="1063"/>
      <c r="AF11" s="1064"/>
    </row>
    <row r="12" spans="1:32" x14ac:dyDescent="0.3">
      <c r="C12" s="759"/>
      <c r="D12" s="759"/>
      <c r="E12" s="759"/>
      <c r="F12" s="759"/>
      <c r="G12" s="759"/>
      <c r="H12" s="759"/>
      <c r="I12" s="759"/>
      <c r="J12" s="759"/>
      <c r="K12" s="759"/>
      <c r="L12" s="759"/>
      <c r="M12" s="759"/>
      <c r="N12" s="759"/>
      <c r="O12" s="1409"/>
      <c r="P12" s="759"/>
      <c r="Q12" s="759"/>
      <c r="R12" s="759"/>
      <c r="S12" s="759"/>
      <c r="T12" s="759"/>
      <c r="U12" s="759"/>
      <c r="V12" s="759"/>
      <c r="W12" s="759"/>
      <c r="X12" s="759"/>
      <c r="Y12" s="759"/>
      <c r="Z12" s="759"/>
      <c r="AA12" s="1048"/>
      <c r="AB12" s="1062"/>
      <c r="AC12" s="1063"/>
      <c r="AD12" s="1064"/>
      <c r="AE12" s="1063"/>
      <c r="AF12" s="1064"/>
    </row>
    <row r="13" spans="1:32" hidden="1" outlineLevel="1" x14ac:dyDescent="0.3">
      <c r="A13" s="756" t="s">
        <v>39</v>
      </c>
      <c r="C13" s="1066"/>
      <c r="D13" s="1066"/>
      <c r="E13" s="1066"/>
      <c r="F13" s="1066"/>
      <c r="G13" s="1066"/>
      <c r="H13" s="1066">
        <f>+'Historicals and forecast'!AR15</f>
        <v>0</v>
      </c>
      <c r="I13" s="1066">
        <f>+'Historicals and forecast'!AS15</f>
        <v>0</v>
      </c>
      <c r="J13" s="1066">
        <f>+'Historicals and forecast'!AT15</f>
        <v>0</v>
      </c>
      <c r="K13" s="1066">
        <f>+'Historicals and forecast'!AU15</f>
        <v>0</v>
      </c>
      <c r="L13" s="1066">
        <f>+'Historicals and forecast'!AV15</f>
        <v>0</v>
      </c>
      <c r="M13" s="1420">
        <f>+'Historicals and forecast'!AW15</f>
        <v>0</v>
      </c>
      <c r="N13" s="902"/>
      <c r="O13" s="1407"/>
      <c r="P13" s="903"/>
      <c r="Q13" s="903"/>
      <c r="R13" s="903"/>
      <c r="S13" s="903"/>
      <c r="T13" s="759"/>
      <c r="U13" s="759"/>
      <c r="V13" s="759"/>
      <c r="W13" s="759"/>
      <c r="X13" s="759"/>
      <c r="Y13" s="759"/>
      <c r="Z13" s="759"/>
      <c r="AA13" s="1048"/>
      <c r="AB13" s="1062"/>
      <c r="AC13" s="1063"/>
      <c r="AD13" s="1064"/>
      <c r="AE13" s="1063"/>
      <c r="AF13" s="1064"/>
    </row>
    <row r="14" spans="1:32" ht="14.5" hidden="1" outlineLevel="1" x14ac:dyDescent="0.35">
      <c r="A14" s="1026" t="s">
        <v>37</v>
      </c>
      <c r="C14" s="1067"/>
      <c r="D14" s="1067"/>
      <c r="E14" s="1067"/>
      <c r="F14" s="916"/>
      <c r="G14" s="1067"/>
      <c r="H14" s="1067"/>
      <c r="I14" s="1067" t="e">
        <f t="shared" ref="I14:M14" si="10">+I13/H13-1</f>
        <v>#DIV/0!</v>
      </c>
      <c r="J14" s="1067" t="e">
        <f t="shared" si="10"/>
        <v>#DIV/0!</v>
      </c>
      <c r="K14" s="1067" t="e">
        <f t="shared" si="10"/>
        <v>#DIV/0!</v>
      </c>
      <c r="L14" s="1067" t="e">
        <f t="shared" si="10"/>
        <v>#DIV/0!</v>
      </c>
      <c r="M14" s="1067" t="e">
        <f t="shared" si="10"/>
        <v>#DIV/0!</v>
      </c>
      <c r="N14" s="1067"/>
      <c r="O14" s="1449"/>
      <c r="P14" s="1067"/>
      <c r="Q14" s="1067"/>
      <c r="R14" s="1067"/>
      <c r="S14" s="1067"/>
      <c r="T14" s="1067"/>
      <c r="U14" s="1067"/>
      <c r="V14" s="1067"/>
      <c r="W14" s="1067"/>
      <c r="X14" s="1067"/>
      <c r="Y14" s="1067"/>
      <c r="Z14" s="1067"/>
      <c r="AA14" s="1048"/>
      <c r="AB14" s="1062"/>
      <c r="AC14" s="1063"/>
      <c r="AD14" s="1064"/>
      <c r="AE14" s="1063"/>
      <c r="AF14" s="1064"/>
    </row>
    <row r="15" spans="1:32" ht="14.5" hidden="1" outlineLevel="1" x14ac:dyDescent="0.35">
      <c r="A15" s="1026" t="s">
        <v>40</v>
      </c>
      <c r="C15" s="1067"/>
      <c r="D15" s="1067"/>
      <c r="E15" s="1067"/>
      <c r="F15" s="916"/>
      <c r="G15" s="1067"/>
      <c r="H15" s="1067">
        <f>+H13/H8</f>
        <v>0</v>
      </c>
      <c r="I15" s="1067">
        <f>+I13/I8</f>
        <v>0</v>
      </c>
      <c r="J15" s="1067">
        <f>+J13/J8</f>
        <v>0</v>
      </c>
      <c r="K15" s="1067">
        <f>+K13/K8</f>
        <v>0</v>
      </c>
      <c r="L15" s="1067">
        <f>+L13/L8</f>
        <v>0</v>
      </c>
      <c r="M15" s="1067">
        <f t="shared" ref="M15" si="11">+M13/M8</f>
        <v>0</v>
      </c>
      <c r="N15" s="1067"/>
      <c r="O15" s="1449"/>
      <c r="P15" s="1067"/>
      <c r="Q15" s="1067"/>
      <c r="R15" s="1067"/>
      <c r="S15" s="1067"/>
      <c r="T15" s="1067"/>
      <c r="U15" s="1067"/>
      <c r="V15" s="1067"/>
      <c r="W15" s="1067"/>
      <c r="X15" s="1067"/>
      <c r="Y15" s="1067"/>
      <c r="Z15" s="1067"/>
      <c r="AA15" s="1048"/>
      <c r="AB15" s="1062"/>
      <c r="AC15" s="1063"/>
      <c r="AD15" s="1064"/>
      <c r="AE15" s="1063"/>
      <c r="AF15" s="1064"/>
    </row>
    <row r="16" spans="1:32" hidden="1" outlineLevel="1" x14ac:dyDescent="0.3">
      <c r="C16" s="759"/>
      <c r="D16" s="759"/>
      <c r="E16" s="759"/>
      <c r="F16" s="759"/>
      <c r="G16" s="759"/>
      <c r="H16" s="759"/>
      <c r="I16" s="759"/>
      <c r="J16" s="759"/>
      <c r="K16" s="759"/>
      <c r="L16" s="759"/>
      <c r="M16" s="759"/>
      <c r="N16" s="759"/>
      <c r="O16" s="1409"/>
      <c r="P16" s="759"/>
      <c r="Q16" s="759"/>
      <c r="R16" s="759"/>
      <c r="S16" s="759"/>
      <c r="T16" s="759"/>
      <c r="U16" s="759"/>
      <c r="V16" s="759"/>
      <c r="W16" s="759"/>
      <c r="X16" s="759"/>
      <c r="Y16" s="759"/>
      <c r="Z16" s="759"/>
      <c r="AA16" s="1048"/>
      <c r="AB16" s="1062"/>
      <c r="AC16" s="1063"/>
      <c r="AD16" s="1064"/>
      <c r="AE16" s="1063"/>
      <c r="AF16" s="1064"/>
    </row>
    <row r="17" spans="1:32" ht="14.5" collapsed="1" x14ac:dyDescent="0.35">
      <c r="C17" s="759"/>
      <c r="D17" s="759"/>
      <c r="E17" s="759"/>
      <c r="F17" s="759"/>
      <c r="G17" s="759"/>
      <c r="H17" s="759"/>
      <c r="I17" s="759"/>
      <c r="J17" s="759"/>
      <c r="K17" s="759"/>
      <c r="L17" s="759"/>
      <c r="M17" s="1446"/>
      <c r="N17" s="1266"/>
      <c r="O17" s="1451" t="s">
        <v>41</v>
      </c>
      <c r="Q17" s="759"/>
      <c r="R17" s="759"/>
      <c r="S17" s="759"/>
      <c r="T17" s="759"/>
      <c r="U17" s="759"/>
      <c r="V17" s="759"/>
      <c r="W17" s="759"/>
      <c r="X17" s="759"/>
      <c r="Y17" s="759"/>
      <c r="Z17" s="759"/>
      <c r="AA17" s="1048"/>
      <c r="AB17" s="1062"/>
      <c r="AC17" s="1063"/>
      <c r="AD17" s="1064"/>
      <c r="AE17" s="1063"/>
      <c r="AF17" s="1064"/>
    </row>
    <row r="18" spans="1:32" x14ac:dyDescent="0.3">
      <c r="A18" s="756" t="s">
        <v>42</v>
      </c>
      <c r="C18" s="1066">
        <f>+'Historicals and forecast'!AM22</f>
        <v>70.510999999999967</v>
      </c>
      <c r="D18" s="1066">
        <f>+'Historicals and forecast'!AN22</f>
        <v>88.521000000000015</v>
      </c>
      <c r="E18" s="1066">
        <f>+'Historicals and forecast'!AO22</f>
        <v>102.77500000000001</v>
      </c>
      <c r="F18" s="1066">
        <f>+'Historicals and forecast'!AP22</f>
        <v>120.71699999999998</v>
      </c>
      <c r="G18" s="1066">
        <f>+'Historicals and forecast'!AQ22</f>
        <v>136.303</v>
      </c>
      <c r="H18" s="1066">
        <f>+'Historicals and forecast'!AR22</f>
        <v>175.16300000000001</v>
      </c>
      <c r="I18" s="1066">
        <f>+'Historicals and forecast'!AS22</f>
        <v>211.14300000000003</v>
      </c>
      <c r="J18" s="1066">
        <f>+'Historicals and forecast'!AT22</f>
        <v>235.70499999999993</v>
      </c>
      <c r="K18" s="1066">
        <f>+'Historicals and forecast'!AU22</f>
        <v>276.35799999999995</v>
      </c>
      <c r="L18" s="1066">
        <f>+'Historicals and forecast'!AV22</f>
        <v>327.20999999999992</v>
      </c>
      <c r="M18" s="1420">
        <f>+'Historicals and forecast'!AW22</f>
        <v>373.83</v>
      </c>
      <c r="N18" s="1420">
        <f>+'Historicals and forecast'!AX22</f>
        <v>417.75299999999999</v>
      </c>
      <c r="O18" s="1448">
        <f>+'Historicals and forecast'!AY22</f>
        <v>467.88336000000004</v>
      </c>
      <c r="P18" s="903">
        <f t="shared" ref="P18:Y18" si="12">+P23*P8</f>
        <v>524.02936320000003</v>
      </c>
      <c r="Q18" s="903">
        <f t="shared" si="12"/>
        <v>586.91288678400008</v>
      </c>
      <c r="R18" s="903">
        <f t="shared" si="12"/>
        <v>657.34243319808002</v>
      </c>
      <c r="S18" s="903">
        <f t="shared" si="12"/>
        <v>736.22352518184971</v>
      </c>
      <c r="T18" s="903">
        <f t="shared" si="12"/>
        <v>824.57034820367164</v>
      </c>
      <c r="U18" s="903">
        <f t="shared" si="12"/>
        <v>923.5187899881123</v>
      </c>
      <c r="V18" s="903">
        <f t="shared" si="12"/>
        <v>1034.3410447866856</v>
      </c>
      <c r="W18" s="903">
        <f t="shared" si="12"/>
        <v>1158.4619701610879</v>
      </c>
      <c r="X18" s="903">
        <f t="shared" si="12"/>
        <v>1297.4774065804186</v>
      </c>
      <c r="Y18" s="903">
        <f t="shared" si="12"/>
        <v>1453.1746953700688</v>
      </c>
      <c r="Z18" s="903">
        <f t="shared" ref="Z18" si="13">+Z23*Z8</f>
        <v>1627.5556588144771</v>
      </c>
      <c r="AA18" s="1048"/>
      <c r="AB18" s="910"/>
      <c r="AC18" s="911"/>
      <c r="AD18" s="912"/>
      <c r="AE18" s="911"/>
      <c r="AF18" s="912"/>
    </row>
    <row r="19" spans="1:32" ht="14.5" x14ac:dyDescent="0.35">
      <c r="A19" s="1026" t="str">
        <f>+A14</f>
        <v>% Growth</v>
      </c>
      <c r="C19" s="759"/>
      <c r="D19" s="1067">
        <f>D18/C18-1</f>
        <v>0.25542113996397808</v>
      </c>
      <c r="E19" s="1067">
        <f>E18/D18-1</f>
        <v>0.16102393782266344</v>
      </c>
      <c r="F19" s="916">
        <f>F18/E18-1</f>
        <v>0.17457552906835305</v>
      </c>
      <c r="G19" s="1067">
        <f t="shared" ref="G19:Y19" si="14">+G18/F18-1</f>
        <v>0.12911188979182731</v>
      </c>
      <c r="H19" s="1067">
        <f t="shared" si="14"/>
        <v>0.28510010784795647</v>
      </c>
      <c r="I19" s="1067">
        <f t="shared" si="14"/>
        <v>0.20540867648989813</v>
      </c>
      <c r="J19" s="1067">
        <f t="shared" si="14"/>
        <v>0.11632874402655968</v>
      </c>
      <c r="K19" s="1067">
        <f t="shared" si="14"/>
        <v>0.17247406716022162</v>
      </c>
      <c r="L19" s="1067">
        <f t="shared" si="14"/>
        <v>0.1840077001570426</v>
      </c>
      <c r="M19" s="1067">
        <f t="shared" si="14"/>
        <v>0.14247730815072912</v>
      </c>
      <c r="N19" s="1067">
        <f t="shared" si="14"/>
        <v>0.11749458309926974</v>
      </c>
      <c r="O19" s="1449">
        <f t="shared" ref="O19" si="15">+O18/N18-1</f>
        <v>0.12000000000000011</v>
      </c>
      <c r="P19" s="1067">
        <f t="shared" si="14"/>
        <v>0.11999999999999988</v>
      </c>
      <c r="Q19" s="1067">
        <f t="shared" si="14"/>
        <v>0.12000000000000011</v>
      </c>
      <c r="R19" s="1067">
        <f t="shared" si="14"/>
        <v>0.11999999999999988</v>
      </c>
      <c r="S19" s="1067">
        <f t="shared" si="14"/>
        <v>0.12000000000000011</v>
      </c>
      <c r="T19" s="1067">
        <f t="shared" si="14"/>
        <v>0.11999999999999988</v>
      </c>
      <c r="U19" s="1067">
        <f t="shared" si="14"/>
        <v>0.12000000000000011</v>
      </c>
      <c r="V19" s="1067">
        <f t="shared" si="14"/>
        <v>0.11999999999999988</v>
      </c>
      <c r="W19" s="1067">
        <f t="shared" si="14"/>
        <v>0.12000000000000011</v>
      </c>
      <c r="X19" s="1067">
        <f t="shared" si="14"/>
        <v>0.12000000000000011</v>
      </c>
      <c r="Y19" s="1067">
        <f t="shared" si="14"/>
        <v>0.11999999999999988</v>
      </c>
      <c r="Z19" s="1067">
        <f t="shared" ref="Z19" si="16">+Z18/Y18-1</f>
        <v>0.12000000000000011</v>
      </c>
      <c r="AA19" s="1048"/>
      <c r="AB19" s="1062"/>
      <c r="AC19" s="1063"/>
      <c r="AD19" s="1064"/>
      <c r="AE19" s="1063"/>
      <c r="AF19" s="1064"/>
    </row>
    <row r="20" spans="1:32" ht="14.5" x14ac:dyDescent="0.35">
      <c r="A20" s="1026" t="s">
        <v>1488</v>
      </c>
      <c r="C20" s="759"/>
      <c r="D20" s="1067"/>
      <c r="E20" s="1067"/>
      <c r="F20" s="916"/>
      <c r="G20" s="1067"/>
      <c r="H20" s="1067"/>
      <c r="I20" s="1067">
        <f>+I19</f>
        <v>0.20540867648989813</v>
      </c>
      <c r="J20" s="1067">
        <f t="shared" ref="J20" si="17">+J19</f>
        <v>0.11632874402655968</v>
      </c>
      <c r="K20" s="1067">
        <f t="shared" ref="K20" si="18">+K19</f>
        <v>0.17247406716022162</v>
      </c>
      <c r="L20" s="1067">
        <f t="shared" ref="L20" si="19">+L19</f>
        <v>0.1840077001570426</v>
      </c>
      <c r="M20" s="1067">
        <f t="shared" ref="M20" si="20">+M19</f>
        <v>0.14247730815072912</v>
      </c>
      <c r="N20" s="1067">
        <f t="shared" ref="N20" si="21">+N19</f>
        <v>0.11749458309926974</v>
      </c>
      <c r="O20" s="1449">
        <f t="shared" ref="O20" si="22">+O19</f>
        <v>0.12000000000000011</v>
      </c>
      <c r="P20" s="1067">
        <f t="shared" ref="P20" si="23">+P19</f>
        <v>0.11999999999999988</v>
      </c>
      <c r="Q20" s="1067">
        <f t="shared" ref="Q20" si="24">+Q19</f>
        <v>0.12000000000000011</v>
      </c>
      <c r="R20" s="1067">
        <f t="shared" ref="R20" si="25">+R19</f>
        <v>0.11999999999999988</v>
      </c>
      <c r="S20" s="1067">
        <f t="shared" ref="S20" si="26">+S19</f>
        <v>0.12000000000000011</v>
      </c>
      <c r="T20" s="1067">
        <f t="shared" ref="T20" si="27">+T19</f>
        <v>0.11999999999999988</v>
      </c>
      <c r="U20" s="1067">
        <f t="shared" ref="U20" si="28">+U19</f>
        <v>0.12000000000000011</v>
      </c>
      <c r="V20" s="1067">
        <f t="shared" ref="V20" si="29">+V19</f>
        <v>0.11999999999999988</v>
      </c>
      <c r="W20" s="1067">
        <f t="shared" ref="W20" si="30">+W19</f>
        <v>0.12000000000000011</v>
      </c>
      <c r="X20" s="1067">
        <f t="shared" ref="X20" si="31">+X19</f>
        <v>0.12000000000000011</v>
      </c>
      <c r="Y20" s="1067">
        <f t="shared" ref="Y20" si="32">+Y19</f>
        <v>0.11999999999999988</v>
      </c>
      <c r="Z20" s="1067">
        <f t="shared" ref="Z20" si="33">+Z19</f>
        <v>0.12000000000000011</v>
      </c>
      <c r="AA20" s="1048"/>
      <c r="AB20" s="1062"/>
      <c r="AC20" s="1063"/>
      <c r="AD20" s="1064"/>
      <c r="AE20" s="1063"/>
      <c r="AF20" s="1064"/>
    </row>
    <row r="21" spans="1:32" ht="14.5" x14ac:dyDescent="0.35">
      <c r="A21" s="1026" t="s">
        <v>38</v>
      </c>
      <c r="C21" s="1067"/>
      <c r="D21" s="1067"/>
      <c r="E21" s="1067"/>
      <c r="F21" s="916"/>
      <c r="G21" s="1067"/>
      <c r="H21" s="1067"/>
      <c r="I21" s="1068">
        <f t="shared" ref="I21:Y21" si="34">+I18-H18</f>
        <v>35.980000000000018</v>
      </c>
      <c r="J21" s="1068">
        <f t="shared" si="34"/>
        <v>24.561999999999898</v>
      </c>
      <c r="K21" s="1068">
        <f t="shared" si="34"/>
        <v>40.65300000000002</v>
      </c>
      <c r="L21" s="1068">
        <f t="shared" si="34"/>
        <v>50.851999999999975</v>
      </c>
      <c r="M21" s="931">
        <f t="shared" si="34"/>
        <v>46.620000000000061</v>
      </c>
      <c r="N21" s="931">
        <f t="shared" si="34"/>
        <v>43.923000000000002</v>
      </c>
      <c r="O21" s="1450">
        <f t="shared" ref="O21" si="35">+O18-N18</f>
        <v>50.130360000000053</v>
      </c>
      <c r="P21" s="1068">
        <f t="shared" si="34"/>
        <v>56.146003199999996</v>
      </c>
      <c r="Q21" s="1068">
        <f t="shared" si="34"/>
        <v>62.883523584000045</v>
      </c>
      <c r="R21" s="1068">
        <f t="shared" si="34"/>
        <v>70.429546414079937</v>
      </c>
      <c r="S21" s="1068">
        <f t="shared" si="34"/>
        <v>78.881091983769693</v>
      </c>
      <c r="T21" s="1068">
        <f t="shared" si="34"/>
        <v>88.346823021821933</v>
      </c>
      <c r="U21" s="1068">
        <f t="shared" si="34"/>
        <v>98.948441784440661</v>
      </c>
      <c r="V21" s="1068">
        <f t="shared" si="34"/>
        <v>110.82225479857334</v>
      </c>
      <c r="W21" s="1068">
        <f t="shared" si="34"/>
        <v>124.1209253744023</v>
      </c>
      <c r="X21" s="1068">
        <f t="shared" si="34"/>
        <v>139.01543641933063</v>
      </c>
      <c r="Y21" s="1068">
        <f t="shared" si="34"/>
        <v>155.6972887896502</v>
      </c>
      <c r="Z21" s="1068">
        <f t="shared" ref="Z21" si="36">+Z18-Y18</f>
        <v>174.38096344440828</v>
      </c>
      <c r="AA21" s="1048"/>
      <c r="AB21" s="1062"/>
      <c r="AC21" s="1063"/>
      <c r="AD21" s="1064"/>
      <c r="AE21" s="1063"/>
      <c r="AF21" s="1064"/>
    </row>
    <row r="22" spans="1:32" ht="14.5" hidden="1" outlineLevel="1" x14ac:dyDescent="0.35">
      <c r="A22" s="1026" t="s">
        <v>43</v>
      </c>
      <c r="C22" s="759"/>
      <c r="D22" s="1067"/>
      <c r="E22" s="1067"/>
      <c r="F22" s="916"/>
      <c r="G22" s="1067"/>
      <c r="H22" s="1067" t="e">
        <f>+H18/H13</f>
        <v>#DIV/0!</v>
      </c>
      <c r="I22" s="1067" t="e">
        <f t="shared" ref="I22:N22" si="37">+I18/I13</f>
        <v>#DIV/0!</v>
      </c>
      <c r="J22" s="1067" t="e">
        <f t="shared" si="37"/>
        <v>#DIV/0!</v>
      </c>
      <c r="K22" s="1067" t="e">
        <f t="shared" si="37"/>
        <v>#DIV/0!</v>
      </c>
      <c r="L22" s="1067" t="e">
        <f t="shared" si="37"/>
        <v>#DIV/0!</v>
      </c>
      <c r="M22" s="1067" t="e">
        <f t="shared" si="37"/>
        <v>#DIV/0!</v>
      </c>
      <c r="N22" s="1067" t="e">
        <f t="shared" si="37"/>
        <v>#DIV/0!</v>
      </c>
      <c r="O22" s="1449" t="e">
        <f t="shared" ref="O22" si="38">+O18/O13</f>
        <v>#DIV/0!</v>
      </c>
      <c r="P22" s="1067"/>
      <c r="Q22" s="1067"/>
      <c r="R22" s="1067"/>
      <c r="S22" s="1067"/>
      <c r="T22" s="1067"/>
      <c r="U22" s="1067"/>
      <c r="V22" s="1067"/>
      <c r="W22" s="1067"/>
      <c r="X22" s="1067"/>
      <c r="Y22" s="1067"/>
      <c r="Z22" s="1067"/>
      <c r="AA22" s="1048"/>
      <c r="AB22" s="1062"/>
      <c r="AC22" s="1063"/>
      <c r="AD22" s="1064"/>
      <c r="AE22" s="1063"/>
      <c r="AF22" s="1064"/>
    </row>
    <row r="23" spans="1:32" ht="14.5" collapsed="1" x14ac:dyDescent="0.35">
      <c r="A23" s="1026" t="str">
        <f>+A15</f>
        <v>% of Invoiced Income</v>
      </c>
      <c r="C23" s="1067">
        <f t="shared" ref="C23:N23" si="39">+C18/C8</f>
        <v>0.1781678610052658</v>
      </c>
      <c r="D23" s="1067">
        <f t="shared" si="39"/>
        <v>0.17535959999762282</v>
      </c>
      <c r="E23" s="1067">
        <f t="shared" si="39"/>
        <v>0.17241697478878815</v>
      </c>
      <c r="F23" s="916">
        <f t="shared" si="39"/>
        <v>0.17954461285846229</v>
      </c>
      <c r="G23" s="1067">
        <f t="shared" si="39"/>
        <v>0.16373204753049939</v>
      </c>
      <c r="H23" s="1067">
        <f t="shared" si="39"/>
        <v>0.16193636183781124</v>
      </c>
      <c r="I23" s="1067">
        <f t="shared" si="39"/>
        <v>0.14931643829416491</v>
      </c>
      <c r="J23" s="1067">
        <f t="shared" si="39"/>
        <v>0.14318204874161014</v>
      </c>
      <c r="K23" s="1067">
        <f t="shared" si="39"/>
        <v>0.14256721900084601</v>
      </c>
      <c r="L23" s="1067">
        <f t="shared" si="39"/>
        <v>0.13049059694832019</v>
      </c>
      <c r="M23" s="1067">
        <f t="shared" si="39"/>
        <v>0.14585641825985174</v>
      </c>
      <c r="N23" s="1067">
        <f t="shared" si="39"/>
        <v>0.14646693780239814</v>
      </c>
      <c r="O23" s="1449">
        <f t="shared" ref="O23" si="40">+O18/O8</f>
        <v>0.14646693780239817</v>
      </c>
      <c r="P23" s="1070">
        <f t="shared" ref="P23:Y23" si="41">O23</f>
        <v>0.14646693780239817</v>
      </c>
      <c r="Q23" s="1070">
        <f t="shared" si="41"/>
        <v>0.14646693780239817</v>
      </c>
      <c r="R23" s="1070">
        <f t="shared" si="41"/>
        <v>0.14646693780239817</v>
      </c>
      <c r="S23" s="1070">
        <f t="shared" si="41"/>
        <v>0.14646693780239817</v>
      </c>
      <c r="T23" s="1070">
        <f t="shared" si="41"/>
        <v>0.14646693780239817</v>
      </c>
      <c r="U23" s="1070">
        <f t="shared" si="41"/>
        <v>0.14646693780239817</v>
      </c>
      <c r="V23" s="1070">
        <f t="shared" si="41"/>
        <v>0.14646693780239817</v>
      </c>
      <c r="W23" s="1070">
        <f t="shared" si="41"/>
        <v>0.14646693780239817</v>
      </c>
      <c r="X23" s="1070">
        <f t="shared" si="41"/>
        <v>0.14646693780239817</v>
      </c>
      <c r="Y23" s="1070">
        <f t="shared" si="41"/>
        <v>0.14646693780239817</v>
      </c>
      <c r="Z23" s="1070">
        <f t="shared" ref="Z23" si="42">Y23</f>
        <v>0.14646693780239817</v>
      </c>
      <c r="AA23" s="1048"/>
      <c r="AB23" s="1062"/>
      <c r="AC23" s="1063"/>
      <c r="AD23" s="1064"/>
      <c r="AE23" s="1063"/>
      <c r="AF23" s="1064"/>
    </row>
    <row r="24" spans="1:32" x14ac:dyDescent="0.3">
      <c r="C24" s="759"/>
      <c r="D24" s="759"/>
      <c r="E24" s="759"/>
      <c r="F24" s="759"/>
      <c r="G24" s="759"/>
      <c r="H24" s="759"/>
      <c r="I24" s="759"/>
      <c r="J24" s="759"/>
      <c r="K24" s="759"/>
      <c r="L24" s="759"/>
      <c r="M24" s="759"/>
      <c r="N24" s="759"/>
      <c r="O24" s="1409"/>
      <c r="P24" s="759"/>
      <c r="Q24" s="759"/>
      <c r="R24" s="759"/>
      <c r="S24" s="759"/>
      <c r="T24" s="759"/>
      <c r="U24" s="759"/>
      <c r="V24" s="759"/>
      <c r="W24" s="759"/>
      <c r="X24" s="759"/>
      <c r="Y24" s="759"/>
      <c r="Z24" s="759"/>
      <c r="AA24" s="1048"/>
      <c r="AB24" s="1062"/>
      <c r="AC24" s="1063"/>
      <c r="AD24" s="1064"/>
      <c r="AE24" s="1063"/>
      <c r="AF24" s="1064"/>
    </row>
    <row r="25" spans="1:32" s="759" customFormat="1" x14ac:dyDescent="0.3">
      <c r="A25" s="759" t="s">
        <v>44</v>
      </c>
      <c r="C25" s="903">
        <f t="shared" ref="C25:K25" si="43">+C18-C31</f>
        <v>43.143000000000001</v>
      </c>
      <c r="D25" s="903">
        <f t="shared" si="43"/>
        <v>52.993000000000002</v>
      </c>
      <c r="E25" s="903">
        <f t="shared" si="43"/>
        <v>62.194000000000081</v>
      </c>
      <c r="F25" s="903">
        <f t="shared" si="43"/>
        <v>74.853999999999999</v>
      </c>
      <c r="G25" s="903">
        <f t="shared" si="43"/>
        <v>86.15100000000001</v>
      </c>
      <c r="H25" s="903">
        <f t="shared" si="43"/>
        <v>107.14100000000001</v>
      </c>
      <c r="I25" s="903">
        <f t="shared" si="43"/>
        <v>127.40999999999998</v>
      </c>
      <c r="J25" s="903">
        <f t="shared" si="43"/>
        <v>142.49900000000002</v>
      </c>
      <c r="K25" s="903">
        <f t="shared" si="43"/>
        <v>157.16000000000003</v>
      </c>
      <c r="L25" s="903">
        <f>+L18-L31</f>
        <v>191.00900000000004</v>
      </c>
      <c r="M25" s="902">
        <f t="shared" ref="M25:Y25" si="44">+M18-M31</f>
        <v>232.92999999999998</v>
      </c>
      <c r="N25" s="902">
        <f t="shared" si="44"/>
        <v>263.68899999999996</v>
      </c>
      <c r="O25" s="1407">
        <f t="shared" si="44"/>
        <v>296.42381723069201</v>
      </c>
      <c r="P25" s="903">
        <f t="shared" si="44"/>
        <v>330.87315132143181</v>
      </c>
      <c r="Q25" s="903">
        <f t="shared" si="44"/>
        <v>369.32182262582734</v>
      </c>
      <c r="R25" s="903">
        <f t="shared" si="44"/>
        <v>412.23360166424902</v>
      </c>
      <c r="S25" s="903">
        <f t="shared" si="44"/>
        <v>460.12597342608018</v>
      </c>
      <c r="T25" s="903">
        <f t="shared" si="44"/>
        <v>513.57635054678553</v>
      </c>
      <c r="U25" s="903">
        <f t="shared" si="44"/>
        <v>573.22900415912454</v>
      </c>
      <c r="V25" s="903">
        <f t="shared" si="44"/>
        <v>639.80279519055125</v>
      </c>
      <c r="W25" s="903">
        <f t="shared" si="44"/>
        <v>714.09979840962899</v>
      </c>
      <c r="X25" s="903">
        <f t="shared" si="44"/>
        <v>797.01492215054145</v>
      </c>
      <c r="Y25" s="903">
        <f t="shared" si="44"/>
        <v>889.54663849217422</v>
      </c>
      <c r="Z25" s="903">
        <f t="shared" ref="Z25" si="45">+Z18-Z31</f>
        <v>992.80895187683097</v>
      </c>
      <c r="AA25" s="937"/>
      <c r="AB25" s="910"/>
      <c r="AC25" s="911"/>
      <c r="AD25" s="912"/>
      <c r="AE25" s="911"/>
      <c r="AF25" s="912"/>
    </row>
    <row r="26" spans="1:32" ht="14.5" x14ac:dyDescent="0.35">
      <c r="A26" s="1026" t="s">
        <v>37</v>
      </c>
      <c r="C26" s="759"/>
      <c r="D26" s="1067">
        <f>D25/C25-1</f>
        <v>0.22831050228310512</v>
      </c>
      <c r="E26" s="1067">
        <f>E25/D25-1</f>
        <v>0.173626705413924</v>
      </c>
      <c r="F26" s="916">
        <f>F25/E25-1</f>
        <v>0.20355661317811857</v>
      </c>
      <c r="G26" s="1067">
        <f t="shared" ref="G26:Y26" si="46">+G25/F25-1</f>
        <v>0.15092045849253233</v>
      </c>
      <c r="H26" s="1067">
        <f t="shared" si="46"/>
        <v>0.24364197745818372</v>
      </c>
      <c r="I26" s="1067">
        <f t="shared" si="46"/>
        <v>0.18918061246394924</v>
      </c>
      <c r="J26" s="1067">
        <f t="shared" si="46"/>
        <v>0.11842869476493245</v>
      </c>
      <c r="K26" s="1067">
        <f t="shared" si="46"/>
        <v>0.1028849325258423</v>
      </c>
      <c r="L26" s="1067">
        <f t="shared" si="46"/>
        <v>0.21537923135657944</v>
      </c>
      <c r="M26" s="1067">
        <f t="shared" si="46"/>
        <v>0.21947133381149531</v>
      </c>
      <c r="N26" s="1067">
        <f t="shared" si="46"/>
        <v>0.13205254797578658</v>
      </c>
      <c r="O26" s="1449">
        <f t="shared" si="46"/>
        <v>0.12414176257140808</v>
      </c>
      <c r="P26" s="1067">
        <f t="shared" si="46"/>
        <v>0.1162164849389602</v>
      </c>
      <c r="Q26" s="1067">
        <f t="shared" si="46"/>
        <v>0.11620366037812468</v>
      </c>
      <c r="R26" s="1067">
        <f t="shared" si="46"/>
        <v>0.11619074858161604</v>
      </c>
      <c r="S26" s="1067">
        <f t="shared" si="46"/>
        <v>0.11617774865630182</v>
      </c>
      <c r="T26" s="1067">
        <f t="shared" si="46"/>
        <v>0.11616465969681289</v>
      </c>
      <c r="U26" s="1067">
        <f t="shared" si="46"/>
        <v>0.1161514807853381</v>
      </c>
      <c r="V26" s="1067">
        <f t="shared" si="46"/>
        <v>0.11613821099140731</v>
      </c>
      <c r="W26" s="1067">
        <f t="shared" si="46"/>
        <v>0.11612484937167245</v>
      </c>
      <c r="X26" s="1067">
        <f t="shared" si="46"/>
        <v>0.11611139496968437</v>
      </c>
      <c r="Y26" s="1067">
        <f t="shared" si="46"/>
        <v>0.11609784681566504</v>
      </c>
      <c r="Z26" s="1067">
        <f t="shared" ref="Z26" si="47">+Z25/Y25-1</f>
        <v>0.11608420392627372</v>
      </c>
      <c r="AA26" s="1048"/>
      <c r="AB26" s="1062"/>
      <c r="AC26" s="1063"/>
      <c r="AD26" s="1064"/>
      <c r="AE26" s="1063"/>
      <c r="AF26" s="1064"/>
    </row>
    <row r="27" spans="1:32" ht="14.5" x14ac:dyDescent="0.35">
      <c r="A27" s="1026" t="s">
        <v>1488</v>
      </c>
      <c r="C27" s="759"/>
      <c r="D27" s="1067"/>
      <c r="E27" s="1067"/>
      <c r="F27" s="916"/>
      <c r="G27" s="1067"/>
      <c r="H27" s="1067"/>
      <c r="I27" s="1067">
        <f>+I26</f>
        <v>0.18918061246394924</v>
      </c>
      <c r="J27" s="1067">
        <f t="shared" ref="J27" si="48">+J26</f>
        <v>0.11842869476493245</v>
      </c>
      <c r="K27" s="1067">
        <f t="shared" ref="K27" si="49">+K26</f>
        <v>0.1028849325258423</v>
      </c>
      <c r="L27" s="1067">
        <f t="shared" ref="L27" si="50">+L26</f>
        <v>0.21537923135657944</v>
      </c>
      <c r="M27" s="1067">
        <f t="shared" ref="M27" si="51">+M26</f>
        <v>0.21947133381149531</v>
      </c>
      <c r="N27" s="1067">
        <f t="shared" ref="N27" si="52">+N26</f>
        <v>0.13205254797578658</v>
      </c>
      <c r="O27" s="1449">
        <f t="shared" ref="O27" si="53">+O26</f>
        <v>0.12414176257140808</v>
      </c>
      <c r="P27" s="1067">
        <f t="shared" ref="P27" si="54">+P26</f>
        <v>0.1162164849389602</v>
      </c>
      <c r="Q27" s="1067">
        <f t="shared" ref="Q27" si="55">+Q26</f>
        <v>0.11620366037812468</v>
      </c>
      <c r="R27" s="1067">
        <f t="shared" ref="R27" si="56">+R26</f>
        <v>0.11619074858161604</v>
      </c>
      <c r="S27" s="1067">
        <f t="shared" ref="S27" si="57">+S26</f>
        <v>0.11617774865630182</v>
      </c>
      <c r="T27" s="1067">
        <f t="shared" ref="T27" si="58">+T26</f>
        <v>0.11616465969681289</v>
      </c>
      <c r="U27" s="1067">
        <f t="shared" ref="U27" si="59">+U26</f>
        <v>0.1161514807853381</v>
      </c>
      <c r="V27" s="1067">
        <f t="shared" ref="V27" si="60">+V26</f>
        <v>0.11613821099140731</v>
      </c>
      <c r="W27" s="1067">
        <f t="shared" ref="W27" si="61">+W26</f>
        <v>0.11612484937167245</v>
      </c>
      <c r="X27" s="1067">
        <f t="shared" ref="X27" si="62">+X26</f>
        <v>0.11611139496968437</v>
      </c>
      <c r="Y27" s="1067">
        <f t="shared" ref="Y27" si="63">+Y26</f>
        <v>0.11609784681566504</v>
      </c>
      <c r="Z27" s="1067">
        <f t="shared" ref="Z27" si="64">+Z26</f>
        <v>0.11608420392627372</v>
      </c>
      <c r="AA27" s="1048"/>
      <c r="AB27" s="1062"/>
      <c r="AC27" s="1063"/>
      <c r="AD27" s="1064"/>
      <c r="AE27" s="1063"/>
      <c r="AF27" s="1064"/>
    </row>
    <row r="28" spans="1:32" ht="14.5" x14ac:dyDescent="0.35">
      <c r="A28" s="1026" t="s">
        <v>45</v>
      </c>
      <c r="C28" s="1067">
        <f t="shared" ref="C28:Y28" si="65">+C25/C18</f>
        <v>0.61186197898200312</v>
      </c>
      <c r="D28" s="1067">
        <f t="shared" si="65"/>
        <v>0.5986489081686831</v>
      </c>
      <c r="E28" s="1067">
        <f t="shared" si="65"/>
        <v>0.60514716613962616</v>
      </c>
      <c r="F28" s="916">
        <f t="shared" si="65"/>
        <v>0.62007836510184988</v>
      </c>
      <c r="G28" s="1067">
        <f t="shared" si="65"/>
        <v>0.63205505381392935</v>
      </c>
      <c r="H28" s="1067">
        <f t="shared" si="65"/>
        <v>0.61166456386337298</v>
      </c>
      <c r="I28" s="1067">
        <f t="shared" si="65"/>
        <v>0.60342990295676369</v>
      </c>
      <c r="J28" s="1067">
        <f t="shared" si="65"/>
        <v>0.6045650283192977</v>
      </c>
      <c r="K28" s="1067">
        <f t="shared" si="65"/>
        <v>0.56868265076458813</v>
      </c>
      <c r="L28" s="1067">
        <f t="shared" si="65"/>
        <v>0.58375049662296408</v>
      </c>
      <c r="M28" s="1067">
        <f t="shared" si="65"/>
        <v>0.62309070968087099</v>
      </c>
      <c r="N28" s="1067">
        <f t="shared" si="65"/>
        <v>0.63120791472472959</v>
      </c>
      <c r="O28" s="1449">
        <f t="shared" si="65"/>
        <v>0.63354212304257196</v>
      </c>
      <c r="P28" s="1067">
        <f t="shared" si="65"/>
        <v>0.63140193003870171</v>
      </c>
      <c r="Q28" s="1067">
        <f t="shared" si="65"/>
        <v>0.62926173703483157</v>
      </c>
      <c r="R28" s="1067">
        <f t="shared" si="65"/>
        <v>0.62712154403096132</v>
      </c>
      <c r="S28" s="1067">
        <f t="shared" si="65"/>
        <v>0.62498135102709129</v>
      </c>
      <c r="T28" s="1067">
        <f t="shared" si="65"/>
        <v>0.62284115802322115</v>
      </c>
      <c r="U28" s="1067">
        <f t="shared" si="65"/>
        <v>0.6207009650193509</v>
      </c>
      <c r="V28" s="1067">
        <f t="shared" si="65"/>
        <v>0.61856077201548076</v>
      </c>
      <c r="W28" s="1067">
        <f t="shared" si="65"/>
        <v>0.61642057901161063</v>
      </c>
      <c r="X28" s="1067">
        <f t="shared" si="65"/>
        <v>0.61428038600774038</v>
      </c>
      <c r="Y28" s="1067">
        <f t="shared" si="65"/>
        <v>0.61214019300387024</v>
      </c>
      <c r="Z28" s="1067">
        <f t="shared" ref="Z28" si="66">+Z25/Z18</f>
        <v>0.61</v>
      </c>
      <c r="AA28" s="1048"/>
      <c r="AB28" s="1062"/>
      <c r="AC28" s="1063"/>
      <c r="AD28" s="1064"/>
      <c r="AE28" s="1063"/>
      <c r="AF28" s="1064"/>
    </row>
    <row r="29" spans="1:32" ht="14.5" x14ac:dyDescent="0.35">
      <c r="A29" s="1026"/>
      <c r="C29" s="759"/>
      <c r="D29" s="759"/>
      <c r="E29" s="759"/>
      <c r="F29" s="759"/>
      <c r="G29" s="759"/>
      <c r="H29" s="759"/>
      <c r="I29" s="759"/>
      <c r="J29" s="759"/>
      <c r="K29" s="759"/>
      <c r="L29" s="759"/>
      <c r="M29" s="759"/>
      <c r="N29" s="759"/>
      <c r="O29" s="1409"/>
      <c r="P29" s="759"/>
      <c r="Q29" s="759"/>
      <c r="R29" s="759"/>
      <c r="S29" s="759"/>
      <c r="T29" s="759"/>
      <c r="U29" s="759"/>
      <c r="V29" s="759"/>
      <c r="W29" s="759"/>
      <c r="X29" s="759"/>
      <c r="Y29" s="759"/>
      <c r="Z29" s="759"/>
      <c r="AA29" s="1048"/>
      <c r="AB29" s="1062"/>
      <c r="AC29" s="1063"/>
      <c r="AD29" s="1064"/>
      <c r="AE29" s="1063"/>
      <c r="AF29" s="1064"/>
    </row>
    <row r="30" spans="1:32" ht="14.5" x14ac:dyDescent="0.35">
      <c r="C30" s="759"/>
      <c r="D30" s="759"/>
      <c r="E30" s="759"/>
      <c r="F30" s="759"/>
      <c r="G30" s="759"/>
      <c r="H30" s="759"/>
      <c r="I30" s="759"/>
      <c r="J30" s="759"/>
      <c r="K30" s="759"/>
      <c r="L30" s="759"/>
      <c r="M30" s="1266"/>
      <c r="N30" s="1266"/>
      <c r="O30" s="1451" t="s">
        <v>46</v>
      </c>
      <c r="P30" s="759"/>
      <c r="Q30" s="759"/>
      <c r="R30" s="759"/>
      <c r="S30" s="759"/>
      <c r="T30" s="759"/>
      <c r="U30" s="759"/>
      <c r="V30" s="759"/>
      <c r="W30" s="759"/>
      <c r="X30" s="759"/>
      <c r="Y30" s="759"/>
      <c r="Z30" s="759"/>
      <c r="AA30" s="937"/>
      <c r="AB30" s="1059"/>
      <c r="AC30" s="1042"/>
      <c r="AD30" s="1060"/>
      <c r="AE30" s="1042"/>
      <c r="AF30" s="1060"/>
    </row>
    <row r="31" spans="1:32" x14ac:dyDescent="0.3">
      <c r="A31" s="756" t="s">
        <v>759</v>
      </c>
      <c r="C31" s="1066">
        <f>+'Historicals and forecast'!AM45</f>
        <v>27.367999999999967</v>
      </c>
      <c r="D31" s="1066">
        <f>+'Historicals and forecast'!AN45</f>
        <v>35.528000000000013</v>
      </c>
      <c r="E31" s="1066">
        <f>+'Historicals and forecast'!AO45</f>
        <v>40.580999999999925</v>
      </c>
      <c r="F31" s="1066">
        <f>+'Historicals and forecast'!AP45</f>
        <v>45.862999999999985</v>
      </c>
      <c r="G31" s="1066">
        <f>+'Historicals and forecast'!AQ45</f>
        <v>50.151999999999994</v>
      </c>
      <c r="H31" s="1066">
        <f>+'Historicals and forecast'!AR45</f>
        <v>68.022000000000006</v>
      </c>
      <c r="I31" s="1066">
        <f>+'Historicals and forecast'!AS45</f>
        <v>83.733000000000047</v>
      </c>
      <c r="J31" s="1066">
        <f>+'Historicals and forecast'!AT45</f>
        <v>93.205999999999918</v>
      </c>
      <c r="K31" s="1066">
        <f>+'Historicals and forecast'!AU45</f>
        <v>119.19799999999992</v>
      </c>
      <c r="L31" s="1066">
        <f>+'Historicals and forecast'!AV45</f>
        <v>136.20099999999988</v>
      </c>
      <c r="M31" s="1420">
        <f>+'Historicals and forecast'!AW45</f>
        <v>140.9</v>
      </c>
      <c r="N31" s="1420">
        <f>+'Historicals and forecast'!AX45</f>
        <v>154.06399999999999</v>
      </c>
      <c r="O31" s="1448">
        <f>+'Historicals and forecast'!AY45</f>
        <v>171.45954276930803</v>
      </c>
      <c r="P31" s="903">
        <f t="shared" ref="P31:Y31" si="67">+P39-P36</f>
        <v>193.1562118785682</v>
      </c>
      <c r="Q31" s="903">
        <f t="shared" si="67"/>
        <v>217.59106415817274</v>
      </c>
      <c r="R31" s="903">
        <f t="shared" si="67"/>
        <v>245.10883153383097</v>
      </c>
      <c r="S31" s="903">
        <f t="shared" si="67"/>
        <v>276.09755175576953</v>
      </c>
      <c r="T31" s="903">
        <f t="shared" si="67"/>
        <v>310.99399765688617</v>
      </c>
      <c r="U31" s="903">
        <f t="shared" si="67"/>
        <v>350.2897858289877</v>
      </c>
      <c r="V31" s="903">
        <f t="shared" si="67"/>
        <v>394.53824959613439</v>
      </c>
      <c r="W31" s="903">
        <f t="shared" si="67"/>
        <v>444.36217175145896</v>
      </c>
      <c r="X31" s="903">
        <f t="shared" si="67"/>
        <v>500.46248442987707</v>
      </c>
      <c r="Y31" s="903">
        <f t="shared" si="67"/>
        <v>563.62805687789455</v>
      </c>
      <c r="Z31" s="903">
        <f t="shared" ref="Z31" si="68">+Z39-Z36</f>
        <v>634.74670693764608</v>
      </c>
      <c r="AA31" s="937"/>
      <c r="AB31" s="1059"/>
      <c r="AC31" s="1042"/>
      <c r="AD31" s="1060"/>
      <c r="AE31" s="1042"/>
      <c r="AF31" s="1060"/>
    </row>
    <row r="32" spans="1:32" ht="14.5" x14ac:dyDescent="0.35">
      <c r="A32" s="1026" t="s">
        <v>37</v>
      </c>
      <c r="C32" s="759"/>
      <c r="D32" s="1067">
        <f>D31/C31-1</f>
        <v>0.29815843320666668</v>
      </c>
      <c r="E32" s="1067">
        <f>E31/D31-1</f>
        <v>0.14222585003377364</v>
      </c>
      <c r="F32" s="916">
        <f>F31/E31-1</f>
        <v>0.13015943421798548</v>
      </c>
      <c r="G32" s="1067">
        <f t="shared" ref="G32:Y32" si="69">+G31/F31-1</f>
        <v>9.3517650393563745E-2</v>
      </c>
      <c r="H32" s="1067">
        <f t="shared" si="69"/>
        <v>0.35631679693731089</v>
      </c>
      <c r="I32" s="1067">
        <f t="shared" si="69"/>
        <v>0.23096939225544744</v>
      </c>
      <c r="J32" s="1067">
        <f t="shared" si="69"/>
        <v>0.11313341215530159</v>
      </c>
      <c r="K32" s="1067">
        <f t="shared" si="69"/>
        <v>0.2788661674141153</v>
      </c>
      <c r="L32" s="1067">
        <f t="shared" si="69"/>
        <v>0.14264501082232894</v>
      </c>
      <c r="M32" s="1067">
        <f t="shared" si="69"/>
        <v>3.4500480906895836E-2</v>
      </c>
      <c r="N32" s="1067">
        <f t="shared" si="69"/>
        <v>9.3427963094393052E-2</v>
      </c>
      <c r="O32" s="1449">
        <f t="shared" ref="O32" si="70">+O31/N31-1</f>
        <v>0.11291114581802386</v>
      </c>
      <c r="P32" s="1067">
        <f t="shared" si="69"/>
        <v>0.12654104145403089</v>
      </c>
      <c r="Q32" s="1067">
        <f t="shared" si="69"/>
        <v>0.12650306216900775</v>
      </c>
      <c r="R32" s="1067">
        <f t="shared" si="69"/>
        <v>0.12646552137662614</v>
      </c>
      <c r="S32" s="1067">
        <f t="shared" si="69"/>
        <v>0.12642841152649931</v>
      </c>
      <c r="T32" s="1067">
        <f t="shared" si="69"/>
        <v>0.12639172524059661</v>
      </c>
      <c r="U32" s="1067">
        <f t="shared" si="69"/>
        <v>0.12635545530835568</v>
      </c>
      <c r="V32" s="1067">
        <f t="shared" si="69"/>
        <v>0.12631959468195531</v>
      </c>
      <c r="W32" s="1067">
        <f t="shared" si="69"/>
        <v>0.12628413647175241</v>
      </c>
      <c r="X32" s="1067">
        <f t="shared" si="69"/>
        <v>0.12624907394186602</v>
      </c>
      <c r="Y32" s="1067">
        <f t="shared" si="69"/>
        <v>0.12621440050591448</v>
      </c>
      <c r="Z32" s="1067">
        <f t="shared" ref="Z32" si="71">+Z31/Y31-1</f>
        <v>0.12618010972288918</v>
      </c>
      <c r="AA32" s="1048"/>
      <c r="AB32" s="1062"/>
      <c r="AC32" s="1063"/>
      <c r="AD32" s="1064"/>
      <c r="AE32" s="1063"/>
      <c r="AF32" s="1064"/>
    </row>
    <row r="33" spans="1:32" ht="14.5" x14ac:dyDescent="0.35">
      <c r="A33" s="1026" t="s">
        <v>1488</v>
      </c>
      <c r="C33" s="759"/>
      <c r="D33" s="1067"/>
      <c r="E33" s="1067"/>
      <c r="F33" s="916"/>
      <c r="G33" s="1067"/>
      <c r="H33" s="1067"/>
      <c r="I33" s="1067">
        <f>+I32</f>
        <v>0.23096939225544744</v>
      </c>
      <c r="J33" s="1067">
        <f t="shared" ref="J33" si="72">+J32</f>
        <v>0.11313341215530159</v>
      </c>
      <c r="K33" s="1067">
        <f t="shared" ref="K33" si="73">+K32</f>
        <v>0.2788661674141153</v>
      </c>
      <c r="L33" s="1067">
        <f t="shared" ref="L33" si="74">+L32</f>
        <v>0.14264501082232894</v>
      </c>
      <c r="M33" s="1067">
        <f t="shared" ref="M33" si="75">+M32</f>
        <v>3.4500480906895836E-2</v>
      </c>
      <c r="N33" s="1067">
        <f t="shared" ref="N33" si="76">+N32</f>
        <v>9.3427963094393052E-2</v>
      </c>
      <c r="O33" s="1449">
        <f t="shared" ref="O33" si="77">+O32</f>
        <v>0.11291114581802386</v>
      </c>
      <c r="P33" s="1067">
        <f t="shared" ref="P33" si="78">+P32</f>
        <v>0.12654104145403089</v>
      </c>
      <c r="Q33" s="1067">
        <f t="shared" ref="Q33" si="79">+Q32</f>
        <v>0.12650306216900775</v>
      </c>
      <c r="R33" s="1067">
        <f t="shared" ref="R33" si="80">+R32</f>
        <v>0.12646552137662614</v>
      </c>
      <c r="S33" s="1067">
        <f t="shared" ref="S33" si="81">+S32</f>
        <v>0.12642841152649931</v>
      </c>
      <c r="T33" s="1067">
        <f t="shared" ref="T33" si="82">+T32</f>
        <v>0.12639172524059661</v>
      </c>
      <c r="U33" s="1067">
        <f t="shared" ref="U33" si="83">+U32</f>
        <v>0.12635545530835568</v>
      </c>
      <c r="V33" s="1067">
        <f t="shared" ref="V33" si="84">+V32</f>
        <v>0.12631959468195531</v>
      </c>
      <c r="W33" s="1067">
        <f t="shared" ref="W33" si="85">+W32</f>
        <v>0.12628413647175241</v>
      </c>
      <c r="X33" s="1067">
        <f t="shared" ref="X33" si="86">+X32</f>
        <v>0.12624907394186602</v>
      </c>
      <c r="Y33" s="1067">
        <f t="shared" ref="Y33" si="87">+Y32</f>
        <v>0.12621440050591448</v>
      </c>
      <c r="Z33" s="1067">
        <f t="shared" ref="Z33" si="88">+Z32</f>
        <v>0.12618010972288918</v>
      </c>
      <c r="AA33" s="1048"/>
      <c r="AB33" s="1062"/>
      <c r="AC33" s="1063"/>
      <c r="AD33" s="1064"/>
      <c r="AE33" s="1063"/>
      <c r="AF33" s="1064"/>
    </row>
    <row r="34" spans="1:32" ht="14.5" x14ac:dyDescent="0.35">
      <c r="A34" s="1026" t="s">
        <v>45</v>
      </c>
      <c r="B34" s="1067"/>
      <c r="C34" s="1067">
        <f t="shared" ref="C34:Y34" si="89">+C31/C18</f>
        <v>0.38813802101799688</v>
      </c>
      <c r="D34" s="1067">
        <f t="shared" si="89"/>
        <v>0.40135109183131695</v>
      </c>
      <c r="E34" s="1067">
        <f t="shared" si="89"/>
        <v>0.39485283386037384</v>
      </c>
      <c r="F34" s="1067">
        <f t="shared" si="89"/>
        <v>0.37992163489815017</v>
      </c>
      <c r="G34" s="1067">
        <f t="shared" si="89"/>
        <v>0.36794494618607071</v>
      </c>
      <c r="H34" s="1067">
        <f t="shared" si="89"/>
        <v>0.38833543613662702</v>
      </c>
      <c r="I34" s="1067">
        <f t="shared" si="89"/>
        <v>0.39657009704323626</v>
      </c>
      <c r="J34" s="1067">
        <f t="shared" si="89"/>
        <v>0.39543497168070235</v>
      </c>
      <c r="K34" s="1067">
        <f t="shared" si="89"/>
        <v>0.43131734923541182</v>
      </c>
      <c r="L34" s="1067">
        <f t="shared" si="89"/>
        <v>0.41624950337703587</v>
      </c>
      <c r="M34" s="1067">
        <f t="shared" si="89"/>
        <v>0.37690929031912906</v>
      </c>
      <c r="N34" s="1067">
        <f t="shared" si="89"/>
        <v>0.3687920852752703</v>
      </c>
      <c r="O34" s="1449">
        <f t="shared" ref="O34" si="90">+O31/O18</f>
        <v>0.36645787695742804</v>
      </c>
      <c r="P34" s="1067">
        <f t="shared" si="89"/>
        <v>0.36859806996129829</v>
      </c>
      <c r="Q34" s="1067">
        <f t="shared" si="89"/>
        <v>0.37073826296516843</v>
      </c>
      <c r="R34" s="1067">
        <f t="shared" si="89"/>
        <v>0.37287845596903857</v>
      </c>
      <c r="S34" s="1067">
        <f t="shared" si="89"/>
        <v>0.37501864897290871</v>
      </c>
      <c r="T34" s="1067">
        <f t="shared" si="89"/>
        <v>0.3771588419767789</v>
      </c>
      <c r="U34" s="1067">
        <f t="shared" si="89"/>
        <v>0.37929903498064904</v>
      </c>
      <c r="V34" s="1067">
        <f t="shared" si="89"/>
        <v>0.38143922798451924</v>
      </c>
      <c r="W34" s="1067">
        <f t="shared" si="89"/>
        <v>0.38357942098838943</v>
      </c>
      <c r="X34" s="1067">
        <f t="shared" si="89"/>
        <v>0.38571961399225957</v>
      </c>
      <c r="Y34" s="1067">
        <f t="shared" si="89"/>
        <v>0.38785980699612976</v>
      </c>
      <c r="Z34" s="1067">
        <f t="shared" ref="Z34" si="91">+Z31/Z18</f>
        <v>0.39</v>
      </c>
      <c r="AA34" s="1048"/>
      <c r="AB34" s="1062"/>
      <c r="AC34" s="1063"/>
      <c r="AD34" s="1064"/>
      <c r="AE34" s="1063"/>
      <c r="AF34" s="1064"/>
    </row>
    <row r="35" spans="1:32" x14ac:dyDescent="0.3">
      <c r="C35" s="759"/>
      <c r="D35" s="759"/>
      <c r="E35" s="759"/>
      <c r="F35" s="759"/>
      <c r="G35" s="759"/>
      <c r="H35" s="759"/>
      <c r="I35" s="759"/>
      <c r="J35" s="759"/>
      <c r="K35" s="759"/>
      <c r="L35" s="759"/>
      <c r="M35" s="759"/>
      <c r="N35" s="759"/>
      <c r="O35" s="1409"/>
      <c r="P35" s="759"/>
      <c r="Q35" s="759"/>
      <c r="R35" s="759"/>
      <c r="S35" s="759"/>
      <c r="T35" s="759"/>
      <c r="U35" s="759"/>
      <c r="V35" s="759"/>
      <c r="W35" s="759"/>
      <c r="X35" s="759"/>
      <c r="Y35" s="759"/>
      <c r="Z35" s="759"/>
      <c r="AA35" s="937"/>
      <c r="AB35" s="1059"/>
      <c r="AC35" s="1042"/>
      <c r="AD35" s="1060"/>
      <c r="AE35" s="1042"/>
      <c r="AF35" s="1060"/>
    </row>
    <row r="36" spans="1:32" x14ac:dyDescent="0.3">
      <c r="A36" s="756" t="s">
        <v>48</v>
      </c>
      <c r="C36" s="1066">
        <f>+'Historicals and forecast'!AM53</f>
        <v>1.1660000000000001</v>
      </c>
      <c r="D36" s="1066">
        <f>+'Historicals and forecast'!AN53</f>
        <v>1.778</v>
      </c>
      <c r="E36" s="1066">
        <f>+'Historicals and forecast'!AO53</f>
        <v>2.1470000000000002</v>
      </c>
      <c r="F36" s="1066">
        <f>+'Historicals and forecast'!AP53</f>
        <v>2.1230000000000002</v>
      </c>
      <c r="G36" s="1066">
        <f>+'Historicals and forecast'!AQ53</f>
        <v>2.008</v>
      </c>
      <c r="H36" s="1066">
        <f>+'Historicals and forecast'!AR53</f>
        <v>1.7589999999999999</v>
      </c>
      <c r="I36" s="1066">
        <f>+'Historicals and forecast'!AS53</f>
        <v>1.52</v>
      </c>
      <c r="J36" s="1066">
        <f>+'Historicals and forecast'!AT53</f>
        <v>1.6139999999999999</v>
      </c>
      <c r="K36" s="1066">
        <f>+'Historicals and forecast'!AU53</f>
        <v>2.6289999999999996</v>
      </c>
      <c r="L36" s="1066">
        <f>+'Historicals and forecast'!AV53</f>
        <v>2.931</v>
      </c>
      <c r="M36" s="1420">
        <f>+'Historicals and forecast'!AW53</f>
        <v>3.9910000000000001</v>
      </c>
      <c r="N36" s="1420">
        <f>+'Historicals and forecast'!AX53</f>
        <v>4.1950000000000003</v>
      </c>
      <c r="O36" s="1448">
        <f>+'Historicals and forecast'!AY53</f>
        <v>4.8984000000000005</v>
      </c>
      <c r="P36" s="903">
        <f t="shared" ref="P36:Y36" si="92">P37*P18</f>
        <v>6.071263418181819</v>
      </c>
      <c r="Q36" s="903">
        <f t="shared" si="92"/>
        <v>7.4550770967272753</v>
      </c>
      <c r="R36" s="903">
        <f t="shared" si="92"/>
        <v>9.0835798649018198</v>
      </c>
      <c r="S36" s="903">
        <f t="shared" si="92"/>
        <v>10.995570187245386</v>
      </c>
      <c r="T36" s="903">
        <f t="shared" si="92"/>
        <v>13.235634636896821</v>
      </c>
      <c r="U36" s="903">
        <f t="shared" si="92"/>
        <v>15.854978343768266</v>
      </c>
      <c r="V36" s="903">
        <f t="shared" si="92"/>
        <v>18.912371401517543</v>
      </c>
      <c r="W36" s="903">
        <f t="shared" si="92"/>
        <v>22.475227104976383</v>
      </c>
      <c r="X36" s="903">
        <f t="shared" si="92"/>
        <v>26.620830029083493</v>
      </c>
      <c r="Y36" s="903">
        <f t="shared" si="92"/>
        <v>31.437734384664651</v>
      </c>
      <c r="Z36" s="903">
        <f t="shared" ref="Z36" si="93">Z37*Z18</f>
        <v>37.027355833166467</v>
      </c>
      <c r="AA36" s="1048"/>
      <c r="AB36" s="910">
        <f>'Historicals and forecast'!BC53</f>
        <v>4.7614474785190541E-2</v>
      </c>
      <c r="AC36" s="911">
        <f>'Historicals and forecast'!BD53</f>
        <v>0.51114291618070196</v>
      </c>
      <c r="AD36" s="912">
        <f>'Historicals and forecast'!BE53</f>
        <v>0.25821110806573611</v>
      </c>
      <c r="AE36" s="911">
        <f>(L36/G36)^(1/5)-1</f>
        <v>7.8575179605875567E-2</v>
      </c>
      <c r="AF36" s="912">
        <f>(Q36/G36)^(1/10)-1</f>
        <v>0.14016798725851842</v>
      </c>
    </row>
    <row r="37" spans="1:32" ht="14.5" x14ac:dyDescent="0.35">
      <c r="A37" s="1026" t="s">
        <v>45</v>
      </c>
      <c r="C37" s="1067">
        <f t="shared" ref="C37:N37" si="94">+C36/C18</f>
        <v>1.6536426940477383E-2</v>
      </c>
      <c r="D37" s="1067">
        <f t="shared" si="94"/>
        <v>2.0085629398673758E-2</v>
      </c>
      <c r="E37" s="1067">
        <f t="shared" si="94"/>
        <v>2.0890294332279253E-2</v>
      </c>
      <c r="F37" s="1067">
        <f t="shared" si="94"/>
        <v>1.7586586810474088E-2</v>
      </c>
      <c r="G37" s="1067">
        <f t="shared" si="94"/>
        <v>1.4731884111134751E-2</v>
      </c>
      <c r="H37" s="1067">
        <f t="shared" si="94"/>
        <v>1.0042075095767941E-2</v>
      </c>
      <c r="I37" s="1067">
        <f t="shared" si="94"/>
        <v>7.1989125853094815E-3</v>
      </c>
      <c r="J37" s="1067">
        <f t="shared" si="94"/>
        <v>6.8475424789461422E-3</v>
      </c>
      <c r="K37" s="1067">
        <f t="shared" si="94"/>
        <v>9.5130229629683243E-3</v>
      </c>
      <c r="L37" s="1067">
        <f t="shared" si="94"/>
        <v>8.9575501971211179E-3</v>
      </c>
      <c r="M37" s="1067">
        <f t="shared" si="94"/>
        <v>1.0675975710884628E-2</v>
      </c>
      <c r="N37" s="1067">
        <f t="shared" si="94"/>
        <v>1.0041818969582506E-2</v>
      </c>
      <c r="O37" s="1449">
        <f t="shared" ref="O37" si="95">+O36/O18</f>
        <v>1.0469275932360578E-2</v>
      </c>
      <c r="P37" s="1067">
        <f>($Z$37-$O$37)/11+O37</f>
        <v>1.1585731343578685E-2</v>
      </c>
      <c r="Q37" s="1067">
        <f t="shared" ref="Q37:Y37" si="96">($Z$37-$O$37)/11+P37</f>
        <v>1.2702186754796792E-2</v>
      </c>
      <c r="R37" s="1067">
        <f t="shared" si="96"/>
        <v>1.3818642166014899E-2</v>
      </c>
      <c r="S37" s="1067">
        <f t="shared" si="96"/>
        <v>1.4935097577233006E-2</v>
      </c>
      <c r="T37" s="1067">
        <f t="shared" si="96"/>
        <v>1.6051552988451113E-2</v>
      </c>
      <c r="U37" s="1067">
        <f t="shared" si="96"/>
        <v>1.716800839966922E-2</v>
      </c>
      <c r="V37" s="1067">
        <f t="shared" si="96"/>
        <v>1.8284463810887327E-2</v>
      </c>
      <c r="W37" s="1067">
        <f t="shared" si="96"/>
        <v>1.9400919222105434E-2</v>
      </c>
      <c r="X37" s="1067">
        <f t="shared" si="96"/>
        <v>2.0517374633323541E-2</v>
      </c>
      <c r="Y37" s="1067">
        <f t="shared" si="96"/>
        <v>2.1633830044541648E-2</v>
      </c>
      <c r="Z37" s="1070">
        <f t="shared" ref="Z37" si="97">Z45</f>
        <v>2.2750285455759744E-2</v>
      </c>
      <c r="AA37" s="1048"/>
      <c r="AB37" s="1059"/>
      <c r="AC37" s="1042"/>
      <c r="AD37" s="1060"/>
      <c r="AE37" s="1042"/>
      <c r="AF37" s="1060"/>
    </row>
    <row r="38" spans="1:32" ht="14.5" x14ac:dyDescent="0.35">
      <c r="A38" s="1026"/>
      <c r="C38" s="1067"/>
      <c r="D38" s="1067"/>
      <c r="E38" s="1067"/>
      <c r="F38" s="1067"/>
      <c r="G38" s="1067"/>
      <c r="H38" s="1067"/>
      <c r="I38" s="1067"/>
      <c r="J38" s="1067"/>
      <c r="K38" s="1067"/>
      <c r="L38" s="1067"/>
      <c r="M38" s="1067"/>
      <c r="N38" s="1067"/>
      <c r="O38" s="1449"/>
      <c r="P38" s="1067"/>
      <c r="Q38" s="1067"/>
      <c r="R38" s="1067"/>
      <c r="S38" s="1067"/>
      <c r="T38" s="1067"/>
      <c r="U38" s="1067"/>
      <c r="V38" s="1067"/>
      <c r="W38" s="1067"/>
      <c r="X38" s="1070"/>
      <c r="Y38" s="1070"/>
      <c r="Z38" s="1070"/>
      <c r="AA38" s="1048"/>
      <c r="AB38" s="1059"/>
      <c r="AC38" s="1042"/>
      <c r="AD38" s="1060"/>
      <c r="AE38" s="1042"/>
      <c r="AF38" s="1060"/>
    </row>
    <row r="39" spans="1:32" x14ac:dyDescent="0.3">
      <c r="A39" s="1159" t="s">
        <v>49</v>
      </c>
      <c r="C39" s="1066">
        <f>'Historicals and forecast'!AM54</f>
        <v>28.533999999999967</v>
      </c>
      <c r="D39" s="1066">
        <f>'Historicals and forecast'!AN54</f>
        <v>37.306000000000012</v>
      </c>
      <c r="E39" s="1066">
        <f>'Historicals and forecast'!AO54</f>
        <v>42.727999999999923</v>
      </c>
      <c r="F39" s="1066">
        <f>'Historicals and forecast'!AP54</f>
        <v>47.985999999999983</v>
      </c>
      <c r="G39" s="1066">
        <f>'Historicals and forecast'!AQ54</f>
        <v>52.16</v>
      </c>
      <c r="H39" s="1066">
        <f>'Historicals and forecast'!AR54</f>
        <v>69.781000000000006</v>
      </c>
      <c r="I39" s="1066">
        <f>'Historicals and forecast'!AS54</f>
        <v>85.253000000000043</v>
      </c>
      <c r="J39" s="1066">
        <f>'Historicals and forecast'!AT54</f>
        <v>94.819999999999922</v>
      </c>
      <c r="K39" s="1066">
        <f>'Historicals and forecast'!AU54</f>
        <v>121.82699999999993</v>
      </c>
      <c r="L39" s="1066">
        <f>'Historicals and forecast'!AV54</f>
        <v>139.13199999999989</v>
      </c>
      <c r="M39" s="1420">
        <f>'Historicals and forecast'!AW54</f>
        <v>144.89100000000002</v>
      </c>
      <c r="N39" s="1420">
        <f>'Historicals and forecast'!AX54</f>
        <v>158.25899999999999</v>
      </c>
      <c r="O39" s="1448">
        <f>'Historicals and forecast'!AY54</f>
        <v>176.35794276930804</v>
      </c>
      <c r="P39" s="903">
        <f t="shared" ref="P39:Y39" si="98">P42*P18</f>
        <v>199.22747529675001</v>
      </c>
      <c r="Q39" s="903">
        <f t="shared" si="98"/>
        <v>225.04614125490002</v>
      </c>
      <c r="R39" s="903">
        <f t="shared" si="98"/>
        <v>254.19241139873279</v>
      </c>
      <c r="S39" s="903">
        <f t="shared" si="98"/>
        <v>287.09312194301492</v>
      </c>
      <c r="T39" s="903">
        <f t="shared" si="98"/>
        <v>324.22963229378297</v>
      </c>
      <c r="U39" s="903">
        <f t="shared" si="98"/>
        <v>366.14476417275597</v>
      </c>
      <c r="V39" s="903">
        <f t="shared" si="98"/>
        <v>413.45062099765192</v>
      </c>
      <c r="W39" s="903">
        <f t="shared" si="98"/>
        <v>466.83739885643536</v>
      </c>
      <c r="X39" s="903">
        <f t="shared" si="98"/>
        <v>527.08331445896056</v>
      </c>
      <c r="Y39" s="903">
        <f t="shared" si="98"/>
        <v>595.06579126255917</v>
      </c>
      <c r="Z39" s="903">
        <f t="shared" ref="Z39" si="99">Z42*Z18</f>
        <v>671.77406277081252</v>
      </c>
      <c r="AA39" s="1048" t="s">
        <v>50</v>
      </c>
      <c r="AB39" s="910">
        <f>'Historicals and forecast'!BC30</f>
        <v>0.20044578023713999</v>
      </c>
      <c r="AC39" s="911">
        <f>'Historicals and forecast'!BD30</f>
        <v>0.27462115497225548</v>
      </c>
      <c r="AD39" s="912">
        <f>'Historicals and forecast'!BE30</f>
        <v>0.23697760161105341</v>
      </c>
      <c r="AE39" s="911">
        <f>(L39/G39)^(1/5)-1</f>
        <v>0.21679632414091166</v>
      </c>
      <c r="AF39" s="912">
        <f>(Q39/G39)^(1/10)-1</f>
        <v>0.15742643927971134</v>
      </c>
    </row>
    <row r="40" spans="1:32" ht="14.5" x14ac:dyDescent="0.35">
      <c r="A40" s="1026" t="str">
        <f>+A19</f>
        <v>% Growth</v>
      </c>
      <c r="C40" s="1067"/>
      <c r="D40" s="1067">
        <f>+D39/C39-1</f>
        <v>0.30742272376813817</v>
      </c>
      <c r="E40" s="1067">
        <f>+E39/D39-1</f>
        <v>0.1453385514394443</v>
      </c>
      <c r="F40" s="1067">
        <f>+F39/E39-1</f>
        <v>0.12305747987268467</v>
      </c>
      <c r="G40" s="1067">
        <f>+G39/F39-1</f>
        <v>8.6983703580211236E-2</v>
      </c>
      <c r="H40" s="1067">
        <f t="shared" ref="H40:Y40" si="100">+H39/G39-1</f>
        <v>0.33782592024539904</v>
      </c>
      <c r="I40" s="1067">
        <f t="shared" si="100"/>
        <v>0.22172224531032847</v>
      </c>
      <c r="J40" s="1067">
        <f t="shared" si="100"/>
        <v>0.11221892484721807</v>
      </c>
      <c r="K40" s="1067">
        <f t="shared" si="100"/>
        <v>0.28482387681923682</v>
      </c>
      <c r="L40" s="1067">
        <f t="shared" si="100"/>
        <v>0.14204568773752935</v>
      </c>
      <c r="M40" s="1067">
        <f t="shared" si="100"/>
        <v>4.1392346836099048E-2</v>
      </c>
      <c r="N40" s="1067">
        <f t="shared" si="100"/>
        <v>9.2262459366005967E-2</v>
      </c>
      <c r="O40" s="1449">
        <f t="shared" ref="O40" si="101">+O39/N39-1</f>
        <v>0.11436280255346021</v>
      </c>
      <c r="P40" s="1067">
        <f t="shared" si="100"/>
        <v>0.12967679350488548</v>
      </c>
      <c r="Q40" s="1067">
        <f t="shared" si="100"/>
        <v>0.12959390224512468</v>
      </c>
      <c r="R40" s="1067">
        <f t="shared" si="100"/>
        <v>0.12951241901464128</v>
      </c>
      <c r="S40" s="1067">
        <f t="shared" si="100"/>
        <v>0.12943230823941954</v>
      </c>
      <c r="T40" s="1067">
        <f t="shared" si="100"/>
        <v>0.12935353553380935</v>
      </c>
      <c r="U40" s="1067">
        <f t="shared" si="100"/>
        <v>0.12927606765131783</v>
      </c>
      <c r="V40" s="1067">
        <f t="shared" si="100"/>
        <v>0.1291998724378205</v>
      </c>
      <c r="W40" s="1067">
        <f t="shared" si="100"/>
        <v>0.12912491878706511</v>
      </c>
      <c r="X40" s="1067">
        <f t="shared" si="100"/>
        <v>0.12905117659832643</v>
      </c>
      <c r="Y40" s="1067">
        <f t="shared" si="100"/>
        <v>0.12897861673610578</v>
      </c>
      <c r="Z40" s="1067">
        <f t="shared" ref="Z40" si="102">+Z39/Y39-1</f>
        <v>0.12890721099174662</v>
      </c>
      <c r="AA40" s="1048"/>
      <c r="AB40" s="1062"/>
      <c r="AC40" s="1063"/>
      <c r="AD40" s="1064"/>
      <c r="AE40" s="1063"/>
      <c r="AF40" s="1064"/>
    </row>
    <row r="41" spans="1:32" ht="14.5" x14ac:dyDescent="0.35">
      <c r="A41" s="1026" t="s">
        <v>1488</v>
      </c>
      <c r="C41" s="1067"/>
      <c r="D41" s="1067"/>
      <c r="E41" s="1067"/>
      <c r="F41" s="1067"/>
      <c r="G41" s="1067"/>
      <c r="H41" s="1067"/>
      <c r="I41" s="1067">
        <f>+I40</f>
        <v>0.22172224531032847</v>
      </c>
      <c r="J41" s="1067">
        <f t="shared" ref="J41" si="103">+J40</f>
        <v>0.11221892484721807</v>
      </c>
      <c r="K41" s="1067">
        <f t="shared" ref="K41" si="104">+K40</f>
        <v>0.28482387681923682</v>
      </c>
      <c r="L41" s="1067">
        <f t="shared" ref="L41" si="105">+L40</f>
        <v>0.14204568773752935</v>
      </c>
      <c r="M41" s="1067">
        <f t="shared" ref="M41" si="106">+M40</f>
        <v>4.1392346836099048E-2</v>
      </c>
      <c r="N41" s="1067">
        <f t="shared" ref="N41" si="107">+N40</f>
        <v>9.2262459366005967E-2</v>
      </c>
      <c r="O41" s="1449">
        <f t="shared" ref="O41" si="108">+O40</f>
        <v>0.11436280255346021</v>
      </c>
      <c r="P41" s="1067">
        <f t="shared" ref="P41" si="109">+P40</f>
        <v>0.12967679350488548</v>
      </c>
      <c r="Q41" s="1067">
        <f t="shared" ref="Q41" si="110">+Q40</f>
        <v>0.12959390224512468</v>
      </c>
      <c r="R41" s="1067">
        <f t="shared" ref="R41" si="111">+R40</f>
        <v>0.12951241901464128</v>
      </c>
      <c r="S41" s="1067">
        <f t="shared" ref="S41" si="112">+S40</f>
        <v>0.12943230823941954</v>
      </c>
      <c r="T41" s="1067">
        <f t="shared" ref="T41" si="113">+T40</f>
        <v>0.12935353553380935</v>
      </c>
      <c r="U41" s="1067">
        <f t="shared" ref="U41" si="114">+U40</f>
        <v>0.12927606765131783</v>
      </c>
      <c r="V41" s="1067">
        <f t="shared" ref="V41" si="115">+V40</f>
        <v>0.1291998724378205</v>
      </c>
      <c r="W41" s="1067">
        <f t="shared" ref="W41" si="116">+W40</f>
        <v>0.12912491878706511</v>
      </c>
      <c r="X41" s="1067">
        <f t="shared" ref="X41" si="117">+X40</f>
        <v>0.12905117659832643</v>
      </c>
      <c r="Y41" s="1067">
        <f t="shared" ref="Y41" si="118">+Y40</f>
        <v>0.12897861673610578</v>
      </c>
      <c r="Z41" s="1067">
        <f t="shared" ref="Z41" si="119">+Z40</f>
        <v>0.12890721099174662</v>
      </c>
      <c r="AA41" s="1048"/>
      <c r="AB41" s="1062"/>
      <c r="AC41" s="1063"/>
      <c r="AD41" s="1064"/>
      <c r="AE41" s="1063"/>
      <c r="AF41" s="1064"/>
    </row>
    <row r="42" spans="1:32" ht="14.5" x14ac:dyDescent="0.35">
      <c r="A42" s="1026" t="str">
        <f>+A28</f>
        <v>% of GP</v>
      </c>
      <c r="C42" s="1067">
        <f t="shared" ref="C42:N42" si="120">+C39/C18</f>
        <v>0.40467444795847429</v>
      </c>
      <c r="D42" s="1067">
        <f t="shared" si="120"/>
        <v>0.42143672122999071</v>
      </c>
      <c r="E42" s="1067">
        <f t="shared" si="120"/>
        <v>0.41574312819265308</v>
      </c>
      <c r="F42" s="1067">
        <f t="shared" si="120"/>
        <v>0.39750822170862421</v>
      </c>
      <c r="G42" s="1067">
        <f t="shared" si="120"/>
        <v>0.38267683029720545</v>
      </c>
      <c r="H42" s="1067">
        <f t="shared" si="120"/>
        <v>0.39837751123239495</v>
      </c>
      <c r="I42" s="1067">
        <f t="shared" si="120"/>
        <v>0.40376900962854573</v>
      </c>
      <c r="J42" s="1067">
        <f t="shared" si="120"/>
        <v>0.4022825141596485</v>
      </c>
      <c r="K42" s="1067">
        <f t="shared" si="120"/>
        <v>0.44083037219838017</v>
      </c>
      <c r="L42" s="1067">
        <f t="shared" si="120"/>
        <v>0.42520705357415706</v>
      </c>
      <c r="M42" s="1067">
        <f t="shared" si="120"/>
        <v>0.3875852660300137</v>
      </c>
      <c r="N42" s="1067">
        <f t="shared" si="120"/>
        <v>0.3788339042448528</v>
      </c>
      <c r="O42" s="1449">
        <f t="shared" ref="O42" si="121">+O39/O18</f>
        <v>0.37692715288978867</v>
      </c>
      <c r="P42" s="1067">
        <f>($Z$42-$O$42)/11+O42</f>
        <v>0.38018380130487694</v>
      </c>
      <c r="Q42" s="1067">
        <f t="shared" ref="Q42:Y42" si="122">($Z$42-$O$42)/11+P42</f>
        <v>0.38344044971996522</v>
      </c>
      <c r="R42" s="1067">
        <f t="shared" si="122"/>
        <v>0.38669709813505349</v>
      </c>
      <c r="S42" s="1067">
        <f t="shared" si="122"/>
        <v>0.38995374655014176</v>
      </c>
      <c r="T42" s="1067">
        <f t="shared" si="122"/>
        <v>0.39321039496523003</v>
      </c>
      <c r="U42" s="1067">
        <f t="shared" si="122"/>
        <v>0.3964670433803183</v>
      </c>
      <c r="V42" s="1067">
        <f t="shared" si="122"/>
        <v>0.39972369179540657</v>
      </c>
      <c r="W42" s="1067">
        <f t="shared" si="122"/>
        <v>0.40298034021049484</v>
      </c>
      <c r="X42" s="1067">
        <f t="shared" si="122"/>
        <v>0.40623698862558311</v>
      </c>
      <c r="Y42" s="1067">
        <f t="shared" si="122"/>
        <v>0.40949363704067138</v>
      </c>
      <c r="Z42" s="1070">
        <f t="shared" ref="Z42" si="123">39%+Z45</f>
        <v>0.41275028545575976</v>
      </c>
      <c r="AA42" s="1048"/>
      <c r="AB42" s="1062"/>
      <c r="AC42" s="1063"/>
      <c r="AD42" s="1064"/>
      <c r="AE42" s="1063"/>
      <c r="AF42" s="1064"/>
    </row>
    <row r="43" spans="1:32" ht="14.5" x14ac:dyDescent="0.35">
      <c r="A43" s="1026"/>
      <c r="C43" s="1067"/>
      <c r="D43" s="916"/>
      <c r="E43" s="916"/>
      <c r="F43" s="916"/>
      <c r="G43" s="1067"/>
      <c r="H43" s="1067"/>
      <c r="I43" s="1158"/>
      <c r="J43" s="1158"/>
      <c r="K43" s="1158"/>
      <c r="L43" s="1158"/>
      <c r="M43" s="1067"/>
      <c r="N43" s="1067"/>
      <c r="O43" s="1449"/>
      <c r="P43" s="1067"/>
      <c r="Q43" s="1067"/>
      <c r="R43" s="1067"/>
      <c r="S43" s="1067"/>
      <c r="T43" s="1067"/>
      <c r="U43" s="1067"/>
      <c r="V43" s="1067"/>
      <c r="W43" s="1067"/>
      <c r="X43" s="1067"/>
      <c r="Y43" s="1067"/>
      <c r="Z43" s="1067"/>
      <c r="AA43" s="937"/>
      <c r="AB43" s="1062"/>
      <c r="AC43" s="1063"/>
      <c r="AD43" s="1064"/>
      <c r="AE43" s="1063"/>
      <c r="AF43" s="1064"/>
    </row>
    <row r="44" spans="1:32" x14ac:dyDescent="0.3">
      <c r="A44" s="756" t="s">
        <v>51</v>
      </c>
      <c r="C44" s="1066">
        <f>+'Historicals and forecast'!AM66</f>
        <v>3.097</v>
      </c>
      <c r="D44" s="1066">
        <f>+'Historicals and forecast'!AN66</f>
        <v>2.1520000000000001</v>
      </c>
      <c r="E44" s="1066">
        <f>+'Historicals and forecast'!AO66</f>
        <v>2.5049999999999999</v>
      </c>
      <c r="F44" s="1066">
        <f>+'Historicals and forecast'!AP66</f>
        <v>1.726</v>
      </c>
      <c r="G44" s="1066">
        <f>+'Historicals and forecast'!AQ66</f>
        <v>1.4609999999999999</v>
      </c>
      <c r="H44" s="1066">
        <f>+'Historicals and forecast'!AR66</f>
        <v>1.0840000000000001</v>
      </c>
      <c r="I44" s="1066">
        <f>+'Historicals and forecast'!AS66</f>
        <v>2.3290000000000002</v>
      </c>
      <c r="J44" s="1066">
        <f>+'Historicals and forecast'!AT66</f>
        <v>11.154999999999999</v>
      </c>
      <c r="K44" s="1066">
        <f>+'Historicals and forecast'!AU66</f>
        <v>8.8800000000000008</v>
      </c>
      <c r="L44" s="1066">
        <f>+'Historicals and forecast'!AV66</f>
        <v>7.8460000000000001</v>
      </c>
      <c r="M44" s="1420">
        <f>+'Historicals and forecast'!AW66</f>
        <v>6.2889999999999997</v>
      </c>
      <c r="N44" s="1420">
        <f>+'Historicals and forecast'!AX66</f>
        <v>9.5040000000000013</v>
      </c>
      <c r="O44" s="1448">
        <f>+'Historicals and forecast'!AY66</f>
        <v>10.644480000000001</v>
      </c>
      <c r="P44" s="903">
        <f t="shared" ref="P44:Y44" si="124">+P45*P18</f>
        <v>11.921817600000001</v>
      </c>
      <c r="Q44" s="903">
        <f t="shared" si="124"/>
        <v>13.352435712000002</v>
      </c>
      <c r="R44" s="903">
        <f t="shared" si="124"/>
        <v>14.954727997440001</v>
      </c>
      <c r="S44" s="903">
        <f t="shared" si="124"/>
        <v>16.749295357132805</v>
      </c>
      <c r="T44" s="903">
        <f t="shared" si="124"/>
        <v>18.75921079998874</v>
      </c>
      <c r="U44" s="903">
        <f t="shared" si="124"/>
        <v>21.010316095987388</v>
      </c>
      <c r="V44" s="903">
        <f t="shared" si="124"/>
        <v>23.531554027505873</v>
      </c>
      <c r="W44" s="903">
        <f t="shared" si="124"/>
        <v>26.355340510806577</v>
      </c>
      <c r="X44" s="903">
        <f t="shared" si="124"/>
        <v>29.517981372103371</v>
      </c>
      <c r="Y44" s="903">
        <f t="shared" si="124"/>
        <v>33.060139136755772</v>
      </c>
      <c r="Z44" s="903">
        <f t="shared" ref="Z44" si="125">+Z45*Z18</f>
        <v>37.027355833166467</v>
      </c>
      <c r="AA44" s="1048"/>
      <c r="AB44" s="910" t="s">
        <v>52</v>
      </c>
      <c r="AC44" s="911" t="s">
        <v>52</v>
      </c>
      <c r="AD44" s="912" t="s">
        <v>52</v>
      </c>
      <c r="AE44" s="911">
        <f>(L44/G44)^(1/5)-1</f>
        <v>0.39958609013383417</v>
      </c>
      <c r="AF44" s="912">
        <f>(Q44/G44)^(1/10)-1</f>
        <v>0.24764499279270002</v>
      </c>
    </row>
    <row r="45" spans="1:32" ht="14.5" x14ac:dyDescent="0.35">
      <c r="A45" s="1026" t="s">
        <v>45</v>
      </c>
      <c r="C45" s="1067">
        <f t="shared" ref="C45:N45" si="126">+C44/C18</f>
        <v>4.3922224901079283E-2</v>
      </c>
      <c r="D45" s="1067">
        <f t="shared" si="126"/>
        <v>2.4310615560149566E-2</v>
      </c>
      <c r="E45" s="1067">
        <f t="shared" si="126"/>
        <v>2.4373631719776207E-2</v>
      </c>
      <c r="F45" s="1067">
        <f t="shared" si="126"/>
        <v>1.4297903360752836E-2</v>
      </c>
      <c r="G45" s="1067">
        <f t="shared" si="126"/>
        <v>1.0718766278071648E-2</v>
      </c>
      <c r="H45" s="1067">
        <f t="shared" si="126"/>
        <v>6.1885215485005399E-3</v>
      </c>
      <c r="I45" s="1067">
        <f t="shared" si="126"/>
        <v>1.1030439086306435E-2</v>
      </c>
      <c r="J45" s="1067">
        <f t="shared" si="126"/>
        <v>4.7326106786024918E-2</v>
      </c>
      <c r="K45" s="1067">
        <f t="shared" si="126"/>
        <v>3.2132234275830632E-2</v>
      </c>
      <c r="L45" s="1067">
        <f t="shared" si="126"/>
        <v>2.3978484765135546E-2</v>
      </c>
      <c r="M45" s="1067">
        <f t="shared" si="126"/>
        <v>1.6823154909985823E-2</v>
      </c>
      <c r="N45" s="1067">
        <f t="shared" si="126"/>
        <v>2.2750285455759748E-2</v>
      </c>
      <c r="O45" s="1449">
        <f t="shared" ref="O45" si="127">+O44/O18</f>
        <v>2.2750285455759744E-2</v>
      </c>
      <c r="P45" s="1070">
        <f t="shared" ref="P45:Y45" si="128">O45</f>
        <v>2.2750285455759744E-2</v>
      </c>
      <c r="Q45" s="1070">
        <f t="shared" si="128"/>
        <v>2.2750285455759744E-2</v>
      </c>
      <c r="R45" s="1070">
        <f t="shared" si="128"/>
        <v>2.2750285455759744E-2</v>
      </c>
      <c r="S45" s="1070">
        <f t="shared" si="128"/>
        <v>2.2750285455759744E-2</v>
      </c>
      <c r="T45" s="1070">
        <f t="shared" si="128"/>
        <v>2.2750285455759744E-2</v>
      </c>
      <c r="U45" s="1070">
        <f t="shared" si="128"/>
        <v>2.2750285455759744E-2</v>
      </c>
      <c r="V45" s="1070">
        <f t="shared" si="128"/>
        <v>2.2750285455759744E-2</v>
      </c>
      <c r="W45" s="1070">
        <f t="shared" si="128"/>
        <v>2.2750285455759744E-2</v>
      </c>
      <c r="X45" s="1070">
        <f t="shared" si="128"/>
        <v>2.2750285455759744E-2</v>
      </c>
      <c r="Y45" s="1070">
        <f t="shared" si="128"/>
        <v>2.2750285455759744E-2</v>
      </c>
      <c r="Z45" s="1070">
        <f t="shared" ref="Z45" si="129">Y45</f>
        <v>2.2750285455759744E-2</v>
      </c>
      <c r="AA45" s="1048"/>
      <c r="AB45" s="1059"/>
      <c r="AC45" s="1042"/>
      <c r="AD45" s="1060"/>
      <c r="AE45" s="1042"/>
      <c r="AF45" s="1060"/>
    </row>
    <row r="46" spans="1:32" x14ac:dyDescent="0.3">
      <c r="C46" s="759"/>
      <c r="D46" s="759"/>
      <c r="E46" s="759"/>
      <c r="F46" s="759"/>
      <c r="G46" s="759"/>
      <c r="H46" s="759"/>
      <c r="I46" s="759"/>
      <c r="J46" s="759"/>
      <c r="K46" s="759"/>
      <c r="L46" s="759"/>
      <c r="M46" s="759"/>
      <c r="N46" s="759"/>
      <c r="O46" s="1409"/>
      <c r="P46" s="759"/>
      <c r="Q46" s="759"/>
      <c r="R46" s="759"/>
      <c r="S46" s="759"/>
      <c r="T46" s="759"/>
      <c r="U46" s="759"/>
      <c r="V46" s="759"/>
      <c r="W46" s="759"/>
      <c r="X46" s="759"/>
      <c r="Y46" s="759"/>
      <c r="Z46" s="759"/>
      <c r="AA46" s="1048"/>
      <c r="AB46" s="1059"/>
      <c r="AC46" s="1042"/>
      <c r="AD46" s="1060"/>
      <c r="AE46" s="1042"/>
      <c r="AF46" s="1060"/>
    </row>
    <row r="47" spans="1:32" s="759" customFormat="1" x14ac:dyDescent="0.3">
      <c r="A47" s="759" t="s">
        <v>53</v>
      </c>
      <c r="C47" s="903">
        <f t="shared" ref="C47:N47" si="130">+C39-C44</f>
        <v>25.436999999999966</v>
      </c>
      <c r="D47" s="903">
        <f t="shared" si="130"/>
        <v>35.154000000000011</v>
      </c>
      <c r="E47" s="903">
        <f t="shared" si="130"/>
        <v>40.222999999999921</v>
      </c>
      <c r="F47" s="903">
        <f t="shared" si="130"/>
        <v>46.259999999999984</v>
      </c>
      <c r="G47" s="903">
        <f t="shared" si="130"/>
        <v>50.698999999999998</v>
      </c>
      <c r="H47" s="903">
        <f t="shared" si="130"/>
        <v>68.697000000000003</v>
      </c>
      <c r="I47" s="903">
        <f t="shared" si="130"/>
        <v>82.924000000000049</v>
      </c>
      <c r="J47" s="903">
        <f t="shared" si="130"/>
        <v>83.664999999999921</v>
      </c>
      <c r="K47" s="903">
        <f t="shared" si="130"/>
        <v>112.94699999999993</v>
      </c>
      <c r="L47" s="903">
        <f t="shared" si="130"/>
        <v>131.28599999999989</v>
      </c>
      <c r="M47" s="902">
        <f t="shared" si="130"/>
        <v>138.60200000000003</v>
      </c>
      <c r="N47" s="902">
        <f t="shared" si="130"/>
        <v>148.755</v>
      </c>
      <c r="O47" s="1407">
        <f t="shared" ref="O47" si="131">+O39-O44</f>
        <v>165.71346276930802</v>
      </c>
      <c r="P47" s="903">
        <f t="shared" ref="P47:Y47" si="132">+P39-P44</f>
        <v>187.30565769675002</v>
      </c>
      <c r="Q47" s="903">
        <f t="shared" si="132"/>
        <v>211.69370554290003</v>
      </c>
      <c r="R47" s="903">
        <f t="shared" si="132"/>
        <v>239.2376834012928</v>
      </c>
      <c r="S47" s="903">
        <f t="shared" si="132"/>
        <v>270.34382658588214</v>
      </c>
      <c r="T47" s="903">
        <f t="shared" si="132"/>
        <v>305.47042149379422</v>
      </c>
      <c r="U47" s="903">
        <f t="shared" si="132"/>
        <v>345.13444807676859</v>
      </c>
      <c r="V47" s="903">
        <f t="shared" si="132"/>
        <v>389.91906697014605</v>
      </c>
      <c r="W47" s="903">
        <f t="shared" si="132"/>
        <v>440.48205834562879</v>
      </c>
      <c r="X47" s="903">
        <f t="shared" si="132"/>
        <v>497.56533308685721</v>
      </c>
      <c r="Y47" s="903">
        <f t="shared" si="132"/>
        <v>562.00565212580341</v>
      </c>
      <c r="Z47" s="903">
        <f t="shared" ref="Z47" si="133">+Z39-Z44</f>
        <v>634.74670693764608</v>
      </c>
      <c r="AA47" s="937"/>
      <c r="AB47" s="910">
        <f>'Historicals and forecast'!BC69</f>
        <v>0.55637771088367183</v>
      </c>
      <c r="AC47" s="911">
        <f>'Historicals and forecast'!BD69</f>
        <v>0.31904134432659204</v>
      </c>
      <c r="AD47" s="912">
        <f>'Historicals and forecast'!BE69</f>
        <v>0.43280373674971373</v>
      </c>
      <c r="AE47" s="911">
        <f>(L47/G47)^(1/5)-1</f>
        <v>0.20960564420615135</v>
      </c>
      <c r="AF47" s="912">
        <f>(Q47/G47)^(1/10)-1</f>
        <v>0.15364145914090321</v>
      </c>
    </row>
    <row r="48" spans="1:32" ht="14.5" x14ac:dyDescent="0.35">
      <c r="A48" s="1026" t="s">
        <v>37</v>
      </c>
      <c r="C48" s="1067"/>
      <c r="D48" s="1067">
        <f>+D47/C47-1</f>
        <v>0.38200259464559738</v>
      </c>
      <c r="E48" s="1067">
        <f>+E47/D47-1</f>
        <v>0.14419411731239418</v>
      </c>
      <c r="F48" s="1067">
        <f>+F47/E47-1</f>
        <v>0.15008825796186454</v>
      </c>
      <c r="G48" s="1067">
        <f t="shared" ref="G48:Y48" si="134">+G47/F47-1</f>
        <v>9.5957630782533831E-2</v>
      </c>
      <c r="H48" s="1067">
        <f t="shared" si="134"/>
        <v>0.35499713998303717</v>
      </c>
      <c r="I48" s="1067">
        <f t="shared" si="134"/>
        <v>0.20709783542221705</v>
      </c>
      <c r="J48" s="1067">
        <f t="shared" si="134"/>
        <v>8.9358931069396519E-3</v>
      </c>
      <c r="K48" s="1067">
        <f t="shared" si="134"/>
        <v>0.34999103567800205</v>
      </c>
      <c r="L48" s="1067">
        <f t="shared" si="134"/>
        <v>0.1623681903901828</v>
      </c>
      <c r="M48" s="1067">
        <f t="shared" si="134"/>
        <v>5.5725667626404629E-2</v>
      </c>
      <c r="N48" s="1067">
        <f t="shared" si="134"/>
        <v>7.3252911213402161E-2</v>
      </c>
      <c r="O48" s="1449">
        <f t="shared" ref="O48" si="135">+O47/N47-1</f>
        <v>0.11400264037718411</v>
      </c>
      <c r="P48" s="1067">
        <f t="shared" si="134"/>
        <v>0.13029837507831687</v>
      </c>
      <c r="Q48" s="1067">
        <f t="shared" si="134"/>
        <v>0.13020454451853536</v>
      </c>
      <c r="R48" s="1067">
        <f t="shared" si="134"/>
        <v>0.13011240833899484</v>
      </c>
      <c r="S48" s="1067">
        <f t="shared" si="134"/>
        <v>0.13002192105502242</v>
      </c>
      <c r="T48" s="1067">
        <f t="shared" si="134"/>
        <v>0.12993303879551754</v>
      </c>
      <c r="U48" s="1067">
        <f t="shared" si="134"/>
        <v>0.12984571923203436</v>
      </c>
      <c r="V48" s="1067">
        <f t="shared" si="134"/>
        <v>0.12975992151156102</v>
      </c>
      <c r="W48" s="1067">
        <f t="shared" si="134"/>
        <v>0.12967560619279506</v>
      </c>
      <c r="X48" s="1067">
        <f t="shared" si="134"/>
        <v>0.12959273518568026</v>
      </c>
      <c r="Y48" s="1067">
        <f t="shared" si="134"/>
        <v>0.12951127169403742</v>
      </c>
      <c r="Z48" s="1067">
        <f t="shared" ref="Z48" si="136">+Z47/Y47-1</f>
        <v>0.12943118016108457</v>
      </c>
      <c r="AA48" s="937"/>
      <c r="AB48" s="1059"/>
      <c r="AC48" s="1042"/>
      <c r="AD48" s="1060"/>
      <c r="AE48" s="1042"/>
      <c r="AF48" s="1060"/>
    </row>
    <row r="49" spans="1:32" ht="14.5" x14ac:dyDescent="0.35">
      <c r="A49" s="1026" t="s">
        <v>1488</v>
      </c>
      <c r="C49" s="1067"/>
      <c r="D49" s="1067"/>
      <c r="E49" s="1067"/>
      <c r="F49" s="1067"/>
      <c r="G49" s="1067"/>
      <c r="H49" s="1067"/>
      <c r="I49" s="1067">
        <f>+I48</f>
        <v>0.20709783542221705</v>
      </c>
      <c r="J49" s="1067">
        <f t="shared" ref="J49" si="137">+J48</f>
        <v>8.9358931069396519E-3</v>
      </c>
      <c r="K49" s="1067">
        <f t="shared" ref="K49" si="138">+K48</f>
        <v>0.34999103567800205</v>
      </c>
      <c r="L49" s="1067">
        <f t="shared" ref="L49" si="139">+L48</f>
        <v>0.1623681903901828</v>
      </c>
      <c r="M49" s="1067">
        <f t="shared" ref="M49" si="140">+M48</f>
        <v>5.5725667626404629E-2</v>
      </c>
      <c r="N49" s="1067">
        <f t="shared" ref="N49" si="141">+N48</f>
        <v>7.3252911213402161E-2</v>
      </c>
      <c r="O49" s="1449">
        <f t="shared" ref="O49" si="142">+O48</f>
        <v>0.11400264037718411</v>
      </c>
      <c r="P49" s="1067">
        <f t="shared" ref="P49" si="143">+P48</f>
        <v>0.13029837507831687</v>
      </c>
      <c r="Q49" s="1067">
        <f t="shared" ref="Q49" si="144">+Q48</f>
        <v>0.13020454451853536</v>
      </c>
      <c r="R49" s="1067">
        <f t="shared" ref="R49" si="145">+R48</f>
        <v>0.13011240833899484</v>
      </c>
      <c r="S49" s="1067">
        <f t="shared" ref="S49" si="146">+S48</f>
        <v>0.13002192105502242</v>
      </c>
      <c r="T49" s="1067">
        <f t="shared" ref="T49" si="147">+T48</f>
        <v>0.12993303879551754</v>
      </c>
      <c r="U49" s="1067">
        <f t="shared" ref="U49" si="148">+U48</f>
        <v>0.12984571923203436</v>
      </c>
      <c r="V49" s="1067">
        <f t="shared" ref="V49" si="149">+V48</f>
        <v>0.12975992151156102</v>
      </c>
      <c r="W49" s="1067">
        <f t="shared" ref="W49" si="150">+W48</f>
        <v>0.12967560619279506</v>
      </c>
      <c r="X49" s="1067">
        <f t="shared" ref="X49" si="151">+X48</f>
        <v>0.12959273518568026</v>
      </c>
      <c r="Y49" s="1067">
        <f t="shared" ref="Y49" si="152">+Y48</f>
        <v>0.12951127169403742</v>
      </c>
      <c r="Z49" s="1067">
        <f t="shared" ref="Z49" si="153">+Z48</f>
        <v>0.12943118016108457</v>
      </c>
      <c r="AA49" s="937"/>
      <c r="AB49" s="1059"/>
      <c r="AC49" s="1042"/>
      <c r="AD49" s="1060"/>
      <c r="AE49" s="1042"/>
      <c r="AF49" s="1060"/>
    </row>
    <row r="50" spans="1:32" ht="14.5" x14ac:dyDescent="0.35">
      <c r="A50" s="1026" t="s">
        <v>45</v>
      </c>
      <c r="C50" s="1067">
        <f t="shared" ref="C50:Y50" si="154">+C47/C18</f>
        <v>0.36075222305739496</v>
      </c>
      <c r="D50" s="1067">
        <f t="shared" si="154"/>
        <v>0.39712610566984113</v>
      </c>
      <c r="E50" s="1067">
        <f t="shared" si="154"/>
        <v>0.39136949647287683</v>
      </c>
      <c r="F50" s="1067">
        <f t="shared" si="154"/>
        <v>0.38321031834787139</v>
      </c>
      <c r="G50" s="1067">
        <f t="shared" si="154"/>
        <v>0.37195806401913384</v>
      </c>
      <c r="H50" s="1067">
        <f t="shared" si="154"/>
        <v>0.39218898968389443</v>
      </c>
      <c r="I50" s="1067">
        <f t="shared" si="154"/>
        <v>0.39273857054223932</v>
      </c>
      <c r="J50" s="1067">
        <f t="shared" si="154"/>
        <v>0.35495640737362361</v>
      </c>
      <c r="K50" s="1067">
        <f t="shared" si="154"/>
        <v>0.40869813792254955</v>
      </c>
      <c r="L50" s="1067">
        <f t="shared" si="154"/>
        <v>0.40122856880902147</v>
      </c>
      <c r="M50" s="1067">
        <f t="shared" si="154"/>
        <v>0.37076211112002794</v>
      </c>
      <c r="N50" s="1067">
        <f t="shared" si="154"/>
        <v>0.35608361878909306</v>
      </c>
      <c r="O50" s="1449">
        <f t="shared" ref="O50" si="155">+O47/O18</f>
        <v>0.35417686743402887</v>
      </c>
      <c r="P50" s="1067">
        <f t="shared" si="154"/>
        <v>0.3574335158491172</v>
      </c>
      <c r="Q50" s="1067">
        <f t="shared" si="154"/>
        <v>0.36069016426420553</v>
      </c>
      <c r="R50" s="1067">
        <f t="shared" si="154"/>
        <v>0.36394681267929374</v>
      </c>
      <c r="S50" s="1067">
        <f t="shared" si="154"/>
        <v>0.36720346109438201</v>
      </c>
      <c r="T50" s="1067">
        <f t="shared" si="154"/>
        <v>0.37046010950947028</v>
      </c>
      <c r="U50" s="1067">
        <f t="shared" si="154"/>
        <v>0.37371675792455855</v>
      </c>
      <c r="V50" s="1067">
        <f t="shared" si="154"/>
        <v>0.37697340633964677</v>
      </c>
      <c r="W50" s="1067">
        <f t="shared" si="154"/>
        <v>0.38023005475473509</v>
      </c>
      <c r="X50" s="1067">
        <f t="shared" si="154"/>
        <v>0.38348670316982336</v>
      </c>
      <c r="Y50" s="1067">
        <f t="shared" si="154"/>
        <v>0.38674335158491169</v>
      </c>
      <c r="Z50" s="1161">
        <f t="shared" ref="Z50" si="156">+Z47/Z18</f>
        <v>0.39</v>
      </c>
      <c r="AA50" s="937"/>
      <c r="AB50" s="1059"/>
      <c r="AC50" s="1042"/>
      <c r="AD50" s="1060"/>
      <c r="AE50" s="1042"/>
      <c r="AF50" s="1060"/>
    </row>
    <row r="51" spans="1:32" x14ac:dyDescent="0.3">
      <c r="C51" s="759"/>
      <c r="D51" s="759"/>
      <c r="E51" s="759"/>
      <c r="F51" s="759"/>
      <c r="G51" s="759"/>
      <c r="H51" s="759"/>
      <c r="I51" s="759"/>
      <c r="J51" s="759"/>
      <c r="K51" s="759"/>
      <c r="L51" s="759"/>
      <c r="M51" s="759"/>
      <c r="N51" s="759"/>
      <c r="O51" s="1409"/>
      <c r="P51" s="759"/>
      <c r="Q51" s="759"/>
      <c r="R51" s="759"/>
      <c r="S51" s="759"/>
      <c r="T51" s="759"/>
      <c r="U51" s="759"/>
      <c r="V51" s="759"/>
      <c r="W51" s="759"/>
      <c r="X51" s="759"/>
      <c r="Y51" s="759"/>
      <c r="Z51" s="759"/>
      <c r="AA51" s="937"/>
      <c r="AB51" s="1059"/>
      <c r="AC51" s="1042"/>
      <c r="AD51" s="1060"/>
      <c r="AE51" s="1042"/>
      <c r="AF51" s="1060"/>
    </row>
    <row r="52" spans="1:32" x14ac:dyDescent="0.3">
      <c r="A52" s="756" t="s">
        <v>54</v>
      </c>
      <c r="C52" s="1066">
        <f>'Historicals and forecast'!AM79</f>
        <v>-8.1000000000000003E-2</v>
      </c>
      <c r="D52" s="1066">
        <f>'Historicals and forecast'!AN79</f>
        <v>-0.10199999999999999</v>
      </c>
      <c r="E52" s="1066">
        <f>'Historicals and forecast'!AO79</f>
        <v>-0.19500000000000001</v>
      </c>
      <c r="F52" s="1066">
        <f>'Historicals and forecast'!AP79</f>
        <v>-0.21199999999999999</v>
      </c>
      <c r="G52" s="1066">
        <f>'Historicals and forecast'!AQ79</f>
        <v>-0.14199999999999999</v>
      </c>
      <c r="H52" s="1066">
        <f>'Historicals and forecast'!AR79</f>
        <v>-0.11700000000000001</v>
      </c>
      <c r="I52" s="1066">
        <f>'Historicals and forecast'!AS79</f>
        <v>-0.33300000000000002</v>
      </c>
      <c r="J52" s="1066">
        <f>'Historicals and forecast'!AT79</f>
        <v>0.11599999999999999</v>
      </c>
      <c r="K52" s="1066">
        <f>'Historicals and forecast'!AU79</f>
        <v>0.44899999999999995</v>
      </c>
      <c r="L52" s="1066">
        <f>'Historicals and forecast'!AV79</f>
        <v>1.0000000000000009E-3</v>
      </c>
      <c r="M52" s="1420">
        <f>'Historicals and forecast'!AW79</f>
        <v>-5.1999999999999991E-2</v>
      </c>
      <c r="N52" s="1420">
        <f>'Historicals and forecast'!AX79</f>
        <v>-5.335</v>
      </c>
      <c r="O52" s="1448">
        <f>'Historicals and forecast'!AY79</f>
        <v>0</v>
      </c>
      <c r="P52" s="1071">
        <v>0</v>
      </c>
      <c r="Q52" s="1071">
        <v>0</v>
      </c>
      <c r="R52" s="1071">
        <v>0</v>
      </c>
      <c r="S52" s="1071">
        <v>0</v>
      </c>
      <c r="T52" s="1071">
        <v>0</v>
      </c>
      <c r="U52" s="1071">
        <v>0</v>
      </c>
      <c r="V52" s="1071">
        <v>0</v>
      </c>
      <c r="W52" s="1071">
        <v>0</v>
      </c>
      <c r="X52" s="1071">
        <v>0</v>
      </c>
      <c r="Y52" s="1071">
        <v>0</v>
      </c>
      <c r="Z52" s="1071">
        <v>0</v>
      </c>
      <c r="AA52" s="1048"/>
      <c r="AB52" s="910"/>
      <c r="AC52" s="911"/>
      <c r="AD52" s="912"/>
      <c r="AE52" s="911"/>
      <c r="AF52" s="912"/>
    </row>
    <row r="53" spans="1:32" x14ac:dyDescent="0.3">
      <c r="C53" s="759"/>
      <c r="D53" s="759"/>
      <c r="E53" s="759"/>
      <c r="F53" s="759"/>
      <c r="G53" s="759"/>
      <c r="H53" s="759"/>
      <c r="I53" s="759"/>
      <c r="J53" s="759"/>
      <c r="K53" s="759"/>
      <c r="L53" s="759"/>
      <c r="M53" s="759"/>
      <c r="N53" s="759"/>
      <c r="O53" s="1409"/>
      <c r="P53" s="759"/>
      <c r="Q53" s="759"/>
      <c r="R53" s="759"/>
      <c r="S53" s="759"/>
      <c r="T53" s="759"/>
      <c r="U53" s="759"/>
      <c r="V53" s="759"/>
      <c r="W53" s="759"/>
      <c r="X53" s="759"/>
      <c r="Y53" s="759"/>
      <c r="Z53" s="759"/>
      <c r="AA53" s="1048"/>
      <c r="AB53" s="1059"/>
      <c r="AC53" s="1042"/>
      <c r="AD53" s="1060"/>
      <c r="AE53" s="1042"/>
      <c r="AF53" s="1060"/>
    </row>
    <row r="54" spans="1:32" x14ac:dyDescent="0.3">
      <c r="A54" s="756" t="s">
        <v>55</v>
      </c>
      <c r="C54" s="1066">
        <f>'Historicals and forecast'!AM81</f>
        <v>6.8622499999999915</v>
      </c>
      <c r="D54" s="1066">
        <f>'Historicals and forecast'!AN81</f>
        <v>8.9075000000000024</v>
      </c>
      <c r="E54" s="1066">
        <f>'Historicals and forecast'!AO81</f>
        <v>10.193999999999981</v>
      </c>
      <c r="F54" s="1066">
        <f>'Historicals and forecast'!AP81</f>
        <v>11.518749999999997</v>
      </c>
      <c r="G54" s="1066">
        <f>'Historicals and forecast'!AQ81</f>
        <v>12.573499999999999</v>
      </c>
      <c r="H54" s="1066">
        <f>'Historicals and forecast'!AR81</f>
        <v>17.034750000000003</v>
      </c>
      <c r="I54" s="1066">
        <f>'Historicals and forecast'!AS81</f>
        <v>21.016500000000011</v>
      </c>
      <c r="J54" s="1066">
        <f>'Historicals and forecast'!AT81</f>
        <v>23.27249999999998</v>
      </c>
      <c r="K54" s="1066">
        <f>'Historicals and forecast'!AU81</f>
        <v>29.687249999999981</v>
      </c>
      <c r="L54" s="1066">
        <f>'Historicals and forecast'!AV81</f>
        <v>34.049999999999969</v>
      </c>
      <c r="M54" s="1420">
        <f>'Historicals and forecast'!AW81</f>
        <v>35.238000000000007</v>
      </c>
      <c r="N54" s="1420">
        <f>'Historicals and forecast'!AX81</f>
        <v>39.84975</v>
      </c>
      <c r="O54" s="1448">
        <f>'Historicals and forecast'!AY81</f>
        <v>42.864885692327007</v>
      </c>
      <c r="P54" s="903">
        <f t="shared" ref="P54:Y54" si="157">P55*(P39-P52-P36)</f>
        <v>48.28905296964205</v>
      </c>
      <c r="Q54" s="903">
        <f t="shared" si="157"/>
        <v>54.397766039543185</v>
      </c>
      <c r="R54" s="903">
        <f t="shared" si="157"/>
        <v>61.277207883457741</v>
      </c>
      <c r="S54" s="903">
        <f t="shared" si="157"/>
        <v>69.024387938942382</v>
      </c>
      <c r="T54" s="903">
        <f t="shared" si="157"/>
        <v>77.748499414221541</v>
      </c>
      <c r="U54" s="903">
        <f t="shared" si="157"/>
        <v>87.572446457246926</v>
      </c>
      <c r="V54" s="903">
        <f t="shared" si="157"/>
        <v>98.634562399033598</v>
      </c>
      <c r="W54" s="903">
        <f t="shared" si="157"/>
        <v>111.09054293786474</v>
      </c>
      <c r="X54" s="903">
        <f t="shared" si="157"/>
        <v>125.11562110746927</v>
      </c>
      <c r="Y54" s="903">
        <f t="shared" si="157"/>
        <v>140.90701421947364</v>
      </c>
      <c r="Z54" s="903">
        <f t="shared" ref="Z54" si="158">Z55*(Z39-Z52-Z36)</f>
        <v>158.68667673441152</v>
      </c>
      <c r="AA54" s="1048"/>
      <c r="AB54" s="910"/>
      <c r="AC54" s="911"/>
      <c r="AD54" s="912"/>
      <c r="AE54" s="911"/>
      <c r="AF54" s="912"/>
    </row>
    <row r="55" spans="1:32" ht="14.5" x14ac:dyDescent="0.35">
      <c r="A55" s="1026" t="s">
        <v>56</v>
      </c>
      <c r="C55" s="1067">
        <f t="shared" ref="C55:N55" si="159">C54/(C39-C52-C36)</f>
        <v>0.25</v>
      </c>
      <c r="D55" s="1067">
        <f t="shared" si="159"/>
        <v>0.25</v>
      </c>
      <c r="E55" s="1067">
        <f t="shared" si="159"/>
        <v>0.25</v>
      </c>
      <c r="F55" s="916">
        <f t="shared" si="159"/>
        <v>0.25</v>
      </c>
      <c r="G55" s="916">
        <f t="shared" si="159"/>
        <v>0.25</v>
      </c>
      <c r="H55" s="916">
        <f t="shared" si="159"/>
        <v>0.25</v>
      </c>
      <c r="I55" s="916">
        <f t="shared" si="159"/>
        <v>0.25</v>
      </c>
      <c r="J55" s="916">
        <f t="shared" si="159"/>
        <v>0.25</v>
      </c>
      <c r="K55" s="916">
        <f t="shared" si="159"/>
        <v>0.25</v>
      </c>
      <c r="L55" s="916">
        <f t="shared" si="159"/>
        <v>0.25</v>
      </c>
      <c r="M55" s="916">
        <f t="shared" si="159"/>
        <v>0.25000000000000006</v>
      </c>
      <c r="N55" s="916">
        <f t="shared" si="159"/>
        <v>0.25</v>
      </c>
      <c r="O55" s="1408">
        <f t="shared" ref="O55" si="160">O54/(O39-O52-O36)</f>
        <v>0.25</v>
      </c>
      <c r="P55" s="1070">
        <f t="shared" ref="P55:Y55" si="161">O55</f>
        <v>0.25</v>
      </c>
      <c r="Q55" s="1070">
        <f t="shared" si="161"/>
        <v>0.25</v>
      </c>
      <c r="R55" s="1070">
        <f t="shared" si="161"/>
        <v>0.25</v>
      </c>
      <c r="S55" s="1070">
        <f t="shared" si="161"/>
        <v>0.25</v>
      </c>
      <c r="T55" s="1070">
        <f t="shared" si="161"/>
        <v>0.25</v>
      </c>
      <c r="U55" s="1070">
        <f t="shared" si="161"/>
        <v>0.25</v>
      </c>
      <c r="V55" s="1070">
        <f t="shared" si="161"/>
        <v>0.25</v>
      </c>
      <c r="W55" s="1070">
        <f t="shared" si="161"/>
        <v>0.25</v>
      </c>
      <c r="X55" s="1070">
        <f t="shared" si="161"/>
        <v>0.25</v>
      </c>
      <c r="Y55" s="1070">
        <f t="shared" si="161"/>
        <v>0.25</v>
      </c>
      <c r="Z55" s="1070">
        <f t="shared" ref="Z55" si="162">Y55</f>
        <v>0.25</v>
      </c>
      <c r="AA55" s="937" t="s">
        <v>57</v>
      </c>
      <c r="AB55" s="1072"/>
      <c r="AC55" s="1073"/>
      <c r="AD55" s="1074"/>
      <c r="AE55" s="1073"/>
      <c r="AF55" s="1074"/>
    </row>
    <row r="56" spans="1:32" x14ac:dyDescent="0.3">
      <c r="C56" s="759"/>
      <c r="D56" s="759"/>
      <c r="E56" s="759"/>
      <c r="F56" s="759"/>
      <c r="G56" s="759"/>
      <c r="H56" s="759"/>
      <c r="I56" s="759"/>
      <c r="J56" s="1075"/>
      <c r="K56" s="759"/>
      <c r="L56" s="759"/>
      <c r="M56" s="992"/>
      <c r="N56" s="759"/>
      <c r="O56" s="1409"/>
      <c r="P56" s="759"/>
      <c r="Q56" s="759"/>
      <c r="R56" s="759"/>
      <c r="S56" s="759"/>
      <c r="T56" s="759"/>
      <c r="U56" s="759"/>
      <c r="V56" s="759"/>
      <c r="W56" s="759"/>
      <c r="X56" s="759"/>
      <c r="Y56" s="759"/>
      <c r="Z56" s="759"/>
      <c r="AA56" s="1048" t="s">
        <v>58</v>
      </c>
      <c r="AB56" s="1059"/>
      <c r="AC56" s="1042"/>
      <c r="AD56" s="1060"/>
      <c r="AE56" s="1042"/>
      <c r="AF56" s="1060"/>
    </row>
    <row r="57" spans="1:32" hidden="1" outlineLevel="1" x14ac:dyDescent="0.3">
      <c r="A57" s="756" t="s">
        <v>59</v>
      </c>
      <c r="C57" s="1066">
        <f>'Historicals and forecast'!AM92</f>
        <v>0</v>
      </c>
      <c r="D57" s="1066">
        <f>'Historicals and forecast'!AN92</f>
        <v>0</v>
      </c>
      <c r="E57" s="1066">
        <f>'Historicals and forecast'!AO92</f>
        <v>0</v>
      </c>
      <c r="F57" s="1066">
        <f>'Historicals and forecast'!AP92</f>
        <v>0</v>
      </c>
      <c r="G57" s="1066">
        <f>'Historicals and forecast'!AQ92</f>
        <v>0</v>
      </c>
      <c r="H57" s="1066">
        <f>'Historicals and forecast'!AR92</f>
        <v>0</v>
      </c>
      <c r="I57" s="1066">
        <f>'Historicals and forecast'!AS92</f>
        <v>0</v>
      </c>
      <c r="J57" s="1066">
        <f>'Historicals and forecast'!AT92</f>
        <v>0</v>
      </c>
      <c r="K57" s="1066">
        <f>'Historicals and forecast'!AU92</f>
        <v>0</v>
      </c>
      <c r="L57" s="1066">
        <f>'Historicals and forecast'!AV92</f>
        <v>0</v>
      </c>
      <c r="M57" s="974">
        <v>0</v>
      </c>
      <c r="N57" s="974">
        <v>0</v>
      </c>
      <c r="O57" s="1452">
        <v>0</v>
      </c>
      <c r="P57" s="1071">
        <v>0</v>
      </c>
      <c r="Q57" s="1071">
        <v>0</v>
      </c>
      <c r="R57" s="1071">
        <v>0</v>
      </c>
      <c r="S57" s="1071">
        <v>0</v>
      </c>
      <c r="T57" s="1071">
        <v>0</v>
      </c>
      <c r="U57" s="1071">
        <v>0</v>
      </c>
      <c r="V57" s="1071">
        <v>0</v>
      </c>
      <c r="W57" s="1071">
        <v>0</v>
      </c>
      <c r="X57" s="1071">
        <v>0</v>
      </c>
      <c r="Y57" s="1071">
        <v>0</v>
      </c>
      <c r="Z57" s="1071">
        <v>0</v>
      </c>
      <c r="AA57" s="1048"/>
      <c r="AB57" s="910"/>
      <c r="AC57" s="911"/>
      <c r="AD57" s="912"/>
      <c r="AE57" s="911"/>
      <c r="AF57" s="912"/>
    </row>
    <row r="58" spans="1:32" hidden="1" outlineLevel="1" x14ac:dyDescent="0.3">
      <c r="C58" s="759"/>
      <c r="D58" s="759"/>
      <c r="E58" s="759"/>
      <c r="F58" s="759"/>
      <c r="G58" s="759"/>
      <c r="H58" s="759"/>
      <c r="I58" s="759"/>
      <c r="J58" s="1075"/>
      <c r="K58" s="759"/>
      <c r="L58" s="759"/>
      <c r="M58" s="759"/>
      <c r="N58" s="759"/>
      <c r="O58" s="1409"/>
      <c r="P58" s="759"/>
      <c r="Q58" s="759"/>
      <c r="R58" s="759"/>
      <c r="S58" s="759"/>
      <c r="T58" s="759"/>
      <c r="U58" s="759"/>
      <c r="V58" s="759"/>
      <c r="W58" s="759"/>
      <c r="X58" s="759"/>
      <c r="Y58" s="759"/>
      <c r="Z58" s="759"/>
      <c r="AA58" s="1048"/>
      <c r="AB58" s="1059"/>
      <c r="AC58" s="1042"/>
      <c r="AD58" s="1060"/>
      <c r="AE58" s="1042"/>
      <c r="AF58" s="1060"/>
    </row>
    <row r="59" spans="1:32" s="759" customFormat="1" collapsed="1" x14ac:dyDescent="0.3">
      <c r="A59" s="759" t="s">
        <v>60</v>
      </c>
      <c r="C59" s="903">
        <f t="shared" ref="C59:Y59" si="163">+C47-C52-C54-C57</f>
        <v>18.655749999999973</v>
      </c>
      <c r="D59" s="903">
        <f t="shared" si="163"/>
        <v>26.348500000000005</v>
      </c>
      <c r="E59" s="903">
        <f t="shared" si="163"/>
        <v>30.22399999999994</v>
      </c>
      <c r="F59" s="903">
        <f t="shared" si="163"/>
        <v>34.95324999999999</v>
      </c>
      <c r="G59" s="903">
        <f t="shared" si="163"/>
        <v>38.267499999999998</v>
      </c>
      <c r="H59" s="903">
        <f t="shared" si="163"/>
        <v>51.779250000000005</v>
      </c>
      <c r="I59" s="903">
        <f t="shared" si="163"/>
        <v>62.24050000000004</v>
      </c>
      <c r="J59" s="903">
        <f t="shared" si="163"/>
        <v>60.276499999999942</v>
      </c>
      <c r="K59" s="903">
        <f t="shared" si="163"/>
        <v>82.810749999999956</v>
      </c>
      <c r="L59" s="903">
        <f t="shared" si="163"/>
        <v>97.234999999999914</v>
      </c>
      <c r="M59" s="902">
        <f t="shared" si="163"/>
        <v>103.41600000000003</v>
      </c>
      <c r="N59" s="902">
        <f t="shared" si="163"/>
        <v>114.24025</v>
      </c>
      <c r="O59" s="1407">
        <f t="shared" ref="O59" si="164">+O47-O52-O54-O57</f>
        <v>122.84857707698102</v>
      </c>
      <c r="P59" s="903">
        <f t="shared" si="163"/>
        <v>139.01660472710796</v>
      </c>
      <c r="Q59" s="903">
        <f t="shared" si="163"/>
        <v>157.29593950335686</v>
      </c>
      <c r="R59" s="903">
        <f t="shared" si="163"/>
        <v>177.96047551783505</v>
      </c>
      <c r="S59" s="903">
        <f t="shared" si="163"/>
        <v>201.31943864693977</v>
      </c>
      <c r="T59" s="903">
        <f t="shared" si="163"/>
        <v>227.72192207957266</v>
      </c>
      <c r="U59" s="903">
        <f t="shared" si="163"/>
        <v>257.56200161952165</v>
      </c>
      <c r="V59" s="903">
        <f t="shared" si="163"/>
        <v>291.28450457111245</v>
      </c>
      <c r="W59" s="903">
        <f t="shared" si="163"/>
        <v>329.39151540776402</v>
      </c>
      <c r="X59" s="903">
        <f t="shared" si="163"/>
        <v>372.44971197938793</v>
      </c>
      <c r="Y59" s="903">
        <f t="shared" si="163"/>
        <v>421.09863790632977</v>
      </c>
      <c r="Z59" s="903">
        <f t="shared" ref="Z59" si="165">+Z47-Z52-Z54-Z57</f>
        <v>476.06003020323453</v>
      </c>
      <c r="AA59" s="937"/>
      <c r="AB59" s="910">
        <f>'Historicals and forecast'!BC93</f>
        <v>0.52589077604087398</v>
      </c>
      <c r="AC59" s="911">
        <f>'Historicals and forecast'!BD93</f>
        <v>0.31918130629750374</v>
      </c>
      <c r="AD59" s="912">
        <f>'Historicals and forecast'!BE93</f>
        <v>0.41877644017826565</v>
      </c>
      <c r="AE59" s="911">
        <f>(L59/G59)^(1/5)-1</f>
        <v>0.20503179368409441</v>
      </c>
      <c r="AF59" s="912">
        <f>(Q59/G59)^(1/10)-1</f>
        <v>0.15183094503529992</v>
      </c>
    </row>
    <row r="60" spans="1:32" ht="14.5" x14ac:dyDescent="0.35">
      <c r="A60" s="1026" t="s">
        <v>37</v>
      </c>
      <c r="C60" s="1067"/>
      <c r="D60" s="1067">
        <f>+D59/C59-1</f>
        <v>0.41235275987296371</v>
      </c>
      <c r="E60" s="1067">
        <f>+E59/D59-1</f>
        <v>0.14708617188834028</v>
      </c>
      <c r="F60" s="1067">
        <f t="shared" ref="F60:Y60" si="166">+F59/E59-1</f>
        <v>0.15647333245103434</v>
      </c>
      <c r="G60" s="1067">
        <f t="shared" si="166"/>
        <v>9.4819508915480188E-2</v>
      </c>
      <c r="H60" s="1067">
        <f t="shared" si="166"/>
        <v>0.35308682302214689</v>
      </c>
      <c r="I60" s="1067">
        <f t="shared" si="166"/>
        <v>0.20203556443942383</v>
      </c>
      <c r="J60" s="1067">
        <f t="shared" si="166"/>
        <v>-3.1555016428211458E-2</v>
      </c>
      <c r="K60" s="1067">
        <f t="shared" si="166"/>
        <v>0.37384801705474002</v>
      </c>
      <c r="L60" s="1067">
        <f t="shared" si="166"/>
        <v>0.17418330349622435</v>
      </c>
      <c r="M60" s="1067">
        <f t="shared" si="166"/>
        <v>6.3567645395177896E-2</v>
      </c>
      <c r="N60" s="1067">
        <f t="shared" si="166"/>
        <v>0.10466707279337806</v>
      </c>
      <c r="O60" s="1449">
        <f t="shared" ref="O60" si="167">+O59/N59-1</f>
        <v>7.5352838224540086E-2</v>
      </c>
      <c r="P60" s="1067">
        <f t="shared" si="166"/>
        <v>0.13160940105961116</v>
      </c>
      <c r="Q60" s="1067">
        <f t="shared" si="166"/>
        <v>0.13149029795492106</v>
      </c>
      <c r="R60" s="1067">
        <f t="shared" si="166"/>
        <v>0.13137361383722923</v>
      </c>
      <c r="S60" s="1067">
        <f t="shared" si="166"/>
        <v>0.13125927575285501</v>
      </c>
      <c r="T60" s="1067">
        <f t="shared" si="166"/>
        <v>0.13114721365250648</v>
      </c>
      <c r="U60" s="1067">
        <f t="shared" si="166"/>
        <v>0.13103736024818025</v>
      </c>
      <c r="V60" s="1067">
        <f t="shared" si="166"/>
        <v>0.13092965087841923</v>
      </c>
      <c r="W60" s="1067">
        <f t="shared" si="166"/>
        <v>0.13082402338140287</v>
      </c>
      <c r="X60" s="1067">
        <f t="shared" si="166"/>
        <v>0.13072041797531075</v>
      </c>
      <c r="Y60" s="1067">
        <f t="shared" si="166"/>
        <v>0.13061877714550141</v>
      </c>
      <c r="Z60" s="1067">
        <f t="shared" ref="Z60" si="168">+Z59/Y59-1</f>
        <v>0.1305190455380445</v>
      </c>
      <c r="AA60" s="1048"/>
      <c r="AB60" s="1059"/>
      <c r="AC60" s="1042"/>
      <c r="AD60" s="1060"/>
      <c r="AE60" s="1042"/>
      <c r="AF60" s="1060"/>
    </row>
    <row r="61" spans="1:32" x14ac:dyDescent="0.3">
      <c r="C61" s="759"/>
      <c r="D61" s="759"/>
      <c r="E61" s="1075"/>
      <c r="F61" s="759"/>
      <c r="G61" s="759"/>
      <c r="H61" s="759"/>
      <c r="I61" s="759"/>
      <c r="J61" s="759"/>
      <c r="K61" s="759"/>
      <c r="L61" s="759"/>
      <c r="M61" s="759"/>
      <c r="N61" s="759"/>
      <c r="O61" s="1409"/>
      <c r="P61" s="759"/>
      <c r="Q61" s="759"/>
      <c r="R61" s="759"/>
      <c r="S61" s="759"/>
      <c r="T61" s="759"/>
      <c r="U61" s="759"/>
      <c r="V61" s="759"/>
      <c r="W61" s="759"/>
      <c r="X61" s="759"/>
      <c r="Y61" s="759"/>
      <c r="Z61" s="759"/>
      <c r="AA61" s="1048"/>
      <c r="AB61" s="1059"/>
      <c r="AC61" s="1042"/>
      <c r="AD61" s="1060"/>
      <c r="AE61" s="1042"/>
      <c r="AF61" s="1060"/>
    </row>
    <row r="62" spans="1:32" x14ac:dyDescent="0.3">
      <c r="A62" s="756" t="s">
        <v>61</v>
      </c>
      <c r="C62" s="1076">
        <f t="shared" ref="C62:H62" si="169">+C63-C59</f>
        <v>-4.0957499999999722</v>
      </c>
      <c r="D62" s="1076">
        <f t="shared" si="169"/>
        <v>7.1724999999999959</v>
      </c>
      <c r="E62" s="1076">
        <f t="shared" si="169"/>
        <v>14.682000000000059</v>
      </c>
      <c r="F62" s="1076">
        <f t="shared" si="169"/>
        <v>-6.7542499999999919</v>
      </c>
      <c r="G62" s="1076">
        <f t="shared" si="169"/>
        <v>1.2424999999999997</v>
      </c>
      <c r="H62" s="1076">
        <f t="shared" si="169"/>
        <v>4.1877499999999941</v>
      </c>
      <c r="I62" s="1076">
        <f>+I63-I59</f>
        <v>8.9499999999979707E-2</v>
      </c>
      <c r="J62" s="1076">
        <f>+J63-J59</f>
        <v>-7.2614999999999412</v>
      </c>
      <c r="K62" s="1076">
        <f>+K63-K59</f>
        <v>-0.43874999999997044</v>
      </c>
      <c r="L62" s="1076">
        <f>+L63-L59</f>
        <v>-21.436999999999912</v>
      </c>
      <c r="M62" s="1076">
        <f t="shared" ref="M62:N62" si="170">+M63-M59</f>
        <v>-4.9030000000000058</v>
      </c>
      <c r="N62" s="1076">
        <f t="shared" si="170"/>
        <v>-8.136250000000004</v>
      </c>
      <c r="O62" s="1453">
        <f t="shared" ref="O62" si="171">+O63-O59</f>
        <v>-19.999999999999986</v>
      </c>
      <c r="P62" s="1157">
        <f t="shared" ref="P62:Y62" si="172">O62</f>
        <v>-19.999999999999986</v>
      </c>
      <c r="Q62" s="1157">
        <f t="shared" si="172"/>
        <v>-19.999999999999986</v>
      </c>
      <c r="R62" s="1157">
        <f t="shared" si="172"/>
        <v>-19.999999999999986</v>
      </c>
      <c r="S62" s="1157">
        <f t="shared" si="172"/>
        <v>-19.999999999999986</v>
      </c>
      <c r="T62" s="1157">
        <f t="shared" si="172"/>
        <v>-19.999999999999986</v>
      </c>
      <c r="U62" s="1157">
        <f t="shared" si="172"/>
        <v>-19.999999999999986</v>
      </c>
      <c r="V62" s="1157">
        <f t="shared" si="172"/>
        <v>-19.999999999999986</v>
      </c>
      <c r="W62" s="1157">
        <f t="shared" si="172"/>
        <v>-19.999999999999986</v>
      </c>
      <c r="X62" s="1157">
        <f t="shared" si="172"/>
        <v>-19.999999999999986</v>
      </c>
      <c r="Y62" s="1157">
        <f t="shared" si="172"/>
        <v>-19.999999999999986</v>
      </c>
      <c r="Z62" s="1157">
        <f t="shared" ref="Z62" si="173">Y62</f>
        <v>-19.999999999999986</v>
      </c>
      <c r="AA62" s="1048"/>
      <c r="AB62" s="1059"/>
      <c r="AC62" s="1042"/>
      <c r="AD62" s="1060"/>
      <c r="AE62" s="1042"/>
      <c r="AF62" s="1060"/>
    </row>
    <row r="63" spans="1:32" x14ac:dyDescent="0.3">
      <c r="A63" s="1048" t="s">
        <v>62</v>
      </c>
      <c r="B63" s="1077"/>
      <c r="C63" s="1066">
        <f>'Historicals and forecast'!AM98</f>
        <v>14.56</v>
      </c>
      <c r="D63" s="1066">
        <f>'Historicals and forecast'!AN98</f>
        <v>33.521000000000001</v>
      </c>
      <c r="E63" s="1066">
        <f>'Historicals and forecast'!AO98</f>
        <v>44.905999999999999</v>
      </c>
      <c r="F63" s="1066">
        <f>'Historicals and forecast'!AP98</f>
        <v>28.198999999999998</v>
      </c>
      <c r="G63" s="1066">
        <f>'Historicals and forecast'!AQ98</f>
        <v>39.51</v>
      </c>
      <c r="H63" s="1066">
        <f>'Historicals and forecast'!AR98</f>
        <v>55.966999999999999</v>
      </c>
      <c r="I63" s="1066">
        <f>'Historicals and forecast'!AS98</f>
        <v>62.33000000000002</v>
      </c>
      <c r="J63" s="1066">
        <f>'Historicals and forecast'!AT98</f>
        <v>53.015000000000001</v>
      </c>
      <c r="K63" s="1066">
        <f>'Historicals and forecast'!AU98</f>
        <v>82.371999999999986</v>
      </c>
      <c r="L63" s="1066">
        <f>'Historicals and forecast'!AV98</f>
        <v>75.798000000000002</v>
      </c>
      <c r="M63" s="1420">
        <f>'Historicals and forecast'!AW98</f>
        <v>98.513000000000019</v>
      </c>
      <c r="N63" s="1420">
        <f>'Historicals and forecast'!AX98</f>
        <v>106.104</v>
      </c>
      <c r="O63" s="1448">
        <f>'Historicals and forecast'!AY98</f>
        <v>102.84857707698103</v>
      </c>
      <c r="P63" s="903">
        <f t="shared" ref="P63:Y63" si="174">P62+P59</f>
        <v>119.01660472710797</v>
      </c>
      <c r="Q63" s="903">
        <f t="shared" si="174"/>
        <v>137.29593950335686</v>
      </c>
      <c r="R63" s="903">
        <f t="shared" si="174"/>
        <v>157.96047551783505</v>
      </c>
      <c r="S63" s="903">
        <f t="shared" si="174"/>
        <v>181.31943864693977</v>
      </c>
      <c r="T63" s="903">
        <f t="shared" si="174"/>
        <v>207.72192207957266</v>
      </c>
      <c r="U63" s="903">
        <f t="shared" si="174"/>
        <v>237.56200161952165</v>
      </c>
      <c r="V63" s="903">
        <f t="shared" si="174"/>
        <v>271.28450457111245</v>
      </c>
      <c r="W63" s="903">
        <f t="shared" si="174"/>
        <v>309.39151540776402</v>
      </c>
      <c r="X63" s="903">
        <f t="shared" si="174"/>
        <v>352.44971197938793</v>
      </c>
      <c r="Y63" s="903">
        <f t="shared" si="174"/>
        <v>401.09863790632977</v>
      </c>
      <c r="Z63" s="903">
        <f t="shared" ref="Z63" si="175">Z62+Z59</f>
        <v>456.06003020323453</v>
      </c>
      <c r="AA63" s="937" t="s">
        <v>63</v>
      </c>
      <c r="AB63" s="1078" t="str">
        <f>'Historicals and forecast'!BC98</f>
        <v>NA</v>
      </c>
      <c r="AC63" s="1079">
        <f>'Historicals and forecast'!BD98</f>
        <v>0.47405265328402746</v>
      </c>
      <c r="AD63" s="1080" t="str">
        <f>'Historicals and forecast'!BE98</f>
        <v>NA</v>
      </c>
      <c r="AE63" s="1079">
        <f>(L63/G63)^(1/5)-1</f>
        <v>0.13917420749955389</v>
      </c>
      <c r="AF63" s="1080">
        <f>(Q63/G63)^(1/10)-1</f>
        <v>0.13264827097235554</v>
      </c>
    </row>
    <row r="64" spans="1:32" s="758" customFormat="1" ht="14.5" outlineLevel="1" x14ac:dyDescent="0.35">
      <c r="A64" s="1026" t="s">
        <v>64</v>
      </c>
      <c r="B64" s="1081"/>
      <c r="C64" s="1082">
        <f t="shared" ref="C64:Y64" si="176">+C63/(C39-C36-C54-C52)</f>
        <v>0.70725102310952526</v>
      </c>
      <c r="D64" s="1082">
        <f t="shared" si="176"/>
        <v>1.2544110768079328</v>
      </c>
      <c r="E64" s="1082">
        <f t="shared" si="176"/>
        <v>1.4683800928650868</v>
      </c>
      <c r="F64" s="1082">
        <f t="shared" si="176"/>
        <v>0.81603183215771402</v>
      </c>
      <c r="G64" s="1082">
        <f t="shared" si="176"/>
        <v>1.0474410466457234</v>
      </c>
      <c r="H64" s="1082">
        <f t="shared" si="176"/>
        <v>1.0951535341972536</v>
      </c>
      <c r="I64" s="1082">
        <f t="shared" si="176"/>
        <v>0.98858833139041524</v>
      </c>
      <c r="J64" s="1082">
        <f t="shared" si="176"/>
        <v>0.75933684248218636</v>
      </c>
      <c r="K64" s="1082">
        <f t="shared" si="176"/>
        <v>0.9248863850081549</v>
      </c>
      <c r="L64" s="1082">
        <f t="shared" si="176"/>
        <v>0.74202643171806237</v>
      </c>
      <c r="M64" s="1082">
        <f t="shared" si="176"/>
        <v>0.93188224833040101</v>
      </c>
      <c r="N64" s="1082">
        <f t="shared" si="176"/>
        <v>0.88753379883186223</v>
      </c>
      <c r="O64" s="1454">
        <f t="shared" ref="O64" si="177">+O63/(O39-O36-O54-O52)</f>
        <v>0.79978888248376023</v>
      </c>
      <c r="P64" s="1082">
        <f t="shared" si="176"/>
        <v>0.82155683609375074</v>
      </c>
      <c r="Q64" s="1082">
        <f t="shared" si="176"/>
        <v>0.84130868783320245</v>
      </c>
      <c r="R64" s="1082">
        <f t="shared" si="176"/>
        <v>0.85926715100040596</v>
      </c>
      <c r="S64" s="1082">
        <f t="shared" si="176"/>
        <v>0.87562982718191029</v>
      </c>
      <c r="T64" s="1082">
        <f t="shared" si="176"/>
        <v>0.89057205238517545</v>
      </c>
      <c r="U64" s="1082">
        <f t="shared" si="176"/>
        <v>0.90424941950015447</v>
      </c>
      <c r="V64" s="1082">
        <f t="shared" si="176"/>
        <v>0.91680001402081357</v>
      </c>
      <c r="W64" s="1082">
        <f t="shared" si="176"/>
        <v>0.92834639572879196</v>
      </c>
      <c r="X64" s="1082">
        <f t="shared" si="176"/>
        <v>0.93899735529865846</v>
      </c>
      <c r="Y64" s="1082">
        <f t="shared" si="176"/>
        <v>0.94884947147151344</v>
      </c>
      <c r="Z64" s="1082">
        <f t="shared" ref="Z64" si="178">+Z63/(Z39-Z36-Z54-Z52)</f>
        <v>0.95798849151132937</v>
      </c>
      <c r="AA64" s="1083" t="s">
        <v>65</v>
      </c>
      <c r="AB64" s="1084"/>
      <c r="AC64" s="1084"/>
      <c r="AD64" s="1084"/>
      <c r="AE64" s="1084"/>
      <c r="AF64" s="1084"/>
    </row>
    <row r="65" spans="1:32" x14ac:dyDescent="0.3">
      <c r="D65" s="759"/>
      <c r="E65" s="1085"/>
      <c r="F65" s="1085"/>
      <c r="G65" s="759"/>
      <c r="H65" s="759"/>
      <c r="I65" s="759"/>
      <c r="J65" s="759"/>
      <c r="K65" s="759"/>
      <c r="L65" s="759"/>
      <c r="M65" s="759"/>
      <c r="N65" s="759"/>
      <c r="O65" s="1409"/>
      <c r="P65" s="759"/>
      <c r="Q65" s="759"/>
      <c r="R65" s="759"/>
      <c r="S65" s="759"/>
      <c r="T65" s="759"/>
      <c r="U65" s="759"/>
      <c r="V65" s="759"/>
      <c r="W65" s="759"/>
      <c r="X65" s="759"/>
      <c r="Y65" s="759"/>
      <c r="Z65" s="759"/>
      <c r="AA65" s="1086"/>
      <c r="AB65" s="911"/>
      <c r="AC65" s="911"/>
      <c r="AD65" s="911"/>
      <c r="AE65" s="911"/>
      <c r="AF65" s="911"/>
    </row>
    <row r="66" spans="1:32" x14ac:dyDescent="0.3">
      <c r="A66" s="756" t="s">
        <v>66</v>
      </c>
      <c r="B66" s="1077"/>
      <c r="C66" s="1066">
        <f>'Historicals and forecast'!AM108</f>
        <v>-8.6999999999999993</v>
      </c>
      <c r="D66" s="1066">
        <f>'Historicals and forecast'!AN108</f>
        <v>-37.700000000000003</v>
      </c>
      <c r="E66" s="1066">
        <f>'Historicals and forecast'!AO108</f>
        <v>-74.599999999999994</v>
      </c>
      <c r="F66" s="1066">
        <f>'Historicals and forecast'!AP108</f>
        <v>-62.4</v>
      </c>
      <c r="G66" s="1066">
        <f>'Historicals and forecast'!AQ108</f>
        <v>-61.643000000000001</v>
      </c>
      <c r="H66" s="1066">
        <f>'Historicals and forecast'!AR108</f>
        <v>-72.831000000000003</v>
      </c>
      <c r="I66" s="1066">
        <f>'Historicals and forecast'!AS108</f>
        <v>-79.263000000000005</v>
      </c>
      <c r="J66" s="1066">
        <f>'Historicals and forecast'!AT108</f>
        <v>-80.138999999999996</v>
      </c>
      <c r="K66" s="1066">
        <f>'Historicals and forecast'!AU108</f>
        <v>-101.724</v>
      </c>
      <c r="L66" s="1066">
        <f>'Historicals and forecast'!AV108</f>
        <v>-97.316000000000003</v>
      </c>
      <c r="M66" s="1420">
        <f>'Historicals and forecast'!AW108</f>
        <v>-122.621</v>
      </c>
      <c r="N66" s="1420">
        <f>'Historicals and forecast'!AX108</f>
        <v>-158.45400000000001</v>
      </c>
      <c r="O66" s="1448">
        <f>'Historicals and forecast'!AY108</f>
        <v>-261.30257707698104</v>
      </c>
      <c r="P66" s="1071">
        <v>0</v>
      </c>
      <c r="Q66" s="1071">
        <f t="shared" ref="Q66:Y66" si="179">P66</f>
        <v>0</v>
      </c>
      <c r="R66" s="1071">
        <f t="shared" si="179"/>
        <v>0</v>
      </c>
      <c r="S66" s="1071">
        <f t="shared" si="179"/>
        <v>0</v>
      </c>
      <c r="T66" s="1071">
        <f t="shared" si="179"/>
        <v>0</v>
      </c>
      <c r="U66" s="1071">
        <f t="shared" si="179"/>
        <v>0</v>
      </c>
      <c r="V66" s="1071">
        <f t="shared" si="179"/>
        <v>0</v>
      </c>
      <c r="W66" s="1071">
        <f t="shared" si="179"/>
        <v>0</v>
      </c>
      <c r="X66" s="1071">
        <f t="shared" si="179"/>
        <v>0</v>
      </c>
      <c r="Y66" s="1071">
        <f t="shared" si="179"/>
        <v>0</v>
      </c>
      <c r="Z66" s="1071">
        <f t="shared" ref="Z66" si="180">Y66</f>
        <v>0</v>
      </c>
      <c r="AA66" s="1086" t="s">
        <v>67</v>
      </c>
      <c r="AB66" s="911"/>
      <c r="AC66" s="911"/>
      <c r="AD66" s="911"/>
      <c r="AE66" s="911"/>
      <c r="AF66" s="911"/>
    </row>
    <row r="67" spans="1:32" ht="14.5" x14ac:dyDescent="0.35">
      <c r="A67" s="1026" t="s">
        <v>68</v>
      </c>
      <c r="B67" s="758"/>
      <c r="C67" s="1087">
        <f t="shared" ref="C67:Y67" si="181">C66/C39</f>
        <v>-0.30489941823789196</v>
      </c>
      <c r="D67" s="1087">
        <f t="shared" si="181"/>
        <v>-1.0105613038117192</v>
      </c>
      <c r="E67" s="1087">
        <f t="shared" si="181"/>
        <v>-1.7459277288897239</v>
      </c>
      <c r="F67" s="1087">
        <f t="shared" si="181"/>
        <v>-1.3003792772892098</v>
      </c>
      <c r="G67" s="1087">
        <f t="shared" si="181"/>
        <v>-1.1818059815950921</v>
      </c>
      <c r="H67" s="1087">
        <f t="shared" si="181"/>
        <v>-1.0437081727117696</v>
      </c>
      <c r="I67" s="1087">
        <f t="shared" si="181"/>
        <v>-0.92973854292517522</v>
      </c>
      <c r="J67" s="1087">
        <f t="shared" si="181"/>
        <v>-0.84516979540181458</v>
      </c>
      <c r="K67" s="1087">
        <f t="shared" si="181"/>
        <v>-0.83498731808219906</v>
      </c>
      <c r="L67" s="1087">
        <f t="shared" si="181"/>
        <v>-0.69945088117758736</v>
      </c>
      <c r="M67" s="1087">
        <f t="shared" si="181"/>
        <v>-0.84629825178927598</v>
      </c>
      <c r="N67" s="1087">
        <f t="shared" si="181"/>
        <v>-1.0012321574128487</v>
      </c>
      <c r="O67" s="1410">
        <f t="shared" ref="O67" si="182">O66/O39</f>
        <v>-1.4816603832739657</v>
      </c>
      <c r="P67" s="1007">
        <f t="shared" si="181"/>
        <v>0</v>
      </c>
      <c r="Q67" s="1007">
        <f t="shared" si="181"/>
        <v>0</v>
      </c>
      <c r="R67" s="1007">
        <f t="shared" si="181"/>
        <v>0</v>
      </c>
      <c r="S67" s="1007">
        <f t="shared" si="181"/>
        <v>0</v>
      </c>
      <c r="T67" s="1007">
        <f t="shared" si="181"/>
        <v>0</v>
      </c>
      <c r="U67" s="1007">
        <f t="shared" si="181"/>
        <v>0</v>
      </c>
      <c r="V67" s="1007">
        <f t="shared" si="181"/>
        <v>0</v>
      </c>
      <c r="W67" s="1007">
        <f t="shared" si="181"/>
        <v>0</v>
      </c>
      <c r="X67" s="1007">
        <f t="shared" si="181"/>
        <v>0</v>
      </c>
      <c r="Y67" s="1007">
        <f t="shared" si="181"/>
        <v>0</v>
      </c>
      <c r="Z67" s="1007">
        <f t="shared" ref="Z67" si="183">Z66/Z39</f>
        <v>0</v>
      </c>
      <c r="AA67" s="1048"/>
      <c r="AB67" s="911"/>
      <c r="AC67" s="911"/>
      <c r="AD67" s="911"/>
      <c r="AE67" s="911"/>
      <c r="AF67" s="911"/>
    </row>
    <row r="68" spans="1:32" x14ac:dyDescent="0.3">
      <c r="D68" s="759"/>
      <c r="E68" s="759"/>
      <c r="F68" s="759"/>
      <c r="G68" s="759"/>
      <c r="H68" s="759"/>
      <c r="I68" s="759"/>
      <c r="J68" s="759"/>
      <c r="K68" s="759"/>
      <c r="L68" s="759"/>
      <c r="M68" s="759"/>
      <c r="N68" s="759"/>
      <c r="O68" s="1409"/>
      <c r="P68" s="759"/>
      <c r="Q68" s="759"/>
      <c r="R68" s="759"/>
      <c r="S68" s="759"/>
      <c r="T68" s="759"/>
      <c r="U68" s="759"/>
      <c r="V68" s="759"/>
      <c r="W68" s="759"/>
      <c r="X68" s="759"/>
      <c r="Y68" s="759"/>
      <c r="Z68" s="759"/>
      <c r="AA68" s="1086"/>
      <c r="AB68" s="911"/>
      <c r="AC68" s="911"/>
      <c r="AD68" s="911"/>
      <c r="AE68" s="911"/>
      <c r="AF68" s="911"/>
    </row>
    <row r="69" spans="1:32" x14ac:dyDescent="0.3">
      <c r="A69" s="1048" t="s">
        <v>69</v>
      </c>
      <c r="B69" s="1077"/>
      <c r="C69" s="1077"/>
      <c r="D69" s="1077"/>
      <c r="E69" s="759"/>
      <c r="F69" s="1088"/>
      <c r="G69" s="1089"/>
      <c r="H69" s="1089"/>
      <c r="I69" s="1089"/>
      <c r="J69" s="1089"/>
      <c r="K69" s="1089"/>
      <c r="L69" s="1089"/>
      <c r="M69" s="1089"/>
      <c r="N69" s="902"/>
      <c r="O69" s="1407">
        <f t="shared" ref="O69:Y69" si="184">+O63+(O66-N66)</f>
        <v>0</v>
      </c>
      <c r="P69" s="903">
        <f t="shared" si="184"/>
        <v>380.319181804089</v>
      </c>
      <c r="Q69" s="903">
        <f t="shared" si="184"/>
        <v>137.29593950335686</v>
      </c>
      <c r="R69" s="903">
        <f t="shared" si="184"/>
        <v>157.96047551783505</v>
      </c>
      <c r="S69" s="903">
        <f t="shared" si="184"/>
        <v>181.31943864693977</v>
      </c>
      <c r="T69" s="903">
        <f t="shared" si="184"/>
        <v>207.72192207957266</v>
      </c>
      <c r="U69" s="903">
        <f t="shared" si="184"/>
        <v>237.56200161952165</v>
      </c>
      <c r="V69" s="903">
        <f t="shared" si="184"/>
        <v>271.28450457111245</v>
      </c>
      <c r="W69" s="903">
        <f t="shared" si="184"/>
        <v>309.39151540776402</v>
      </c>
      <c r="X69" s="903">
        <f t="shared" si="184"/>
        <v>352.44971197938793</v>
      </c>
      <c r="Y69" s="903">
        <f t="shared" si="184"/>
        <v>401.09863790632977</v>
      </c>
      <c r="Z69" s="903">
        <f t="shared" ref="Z69" si="185">+Z63+(Z66-Y66)</f>
        <v>456.06003020323453</v>
      </c>
      <c r="AA69" s="1086"/>
      <c r="AB69" s="911"/>
      <c r="AC69" s="911"/>
      <c r="AD69" s="911"/>
      <c r="AE69" s="911"/>
      <c r="AF69" s="911"/>
    </row>
    <row r="70" spans="1:32" ht="14.5" x14ac:dyDescent="0.35">
      <c r="A70" s="1090" t="s">
        <v>70</v>
      </c>
      <c r="D70" s="759"/>
      <c r="E70" s="759"/>
      <c r="F70" s="1091"/>
      <c r="G70" s="1067"/>
      <c r="H70" s="1067"/>
      <c r="I70" s="1067"/>
      <c r="J70" s="1067"/>
      <c r="K70" s="1067"/>
      <c r="L70" s="1067"/>
      <c r="M70" s="1067"/>
      <c r="N70" s="1067"/>
      <c r="O70" s="1449">
        <f t="shared" ref="O70:Y70" si="186">+O69/$L$96</f>
        <v>0</v>
      </c>
      <c r="P70" s="1067">
        <f t="shared" si="186"/>
        <v>0.12445553915912988</v>
      </c>
      <c r="Q70" s="1067">
        <f t="shared" si="186"/>
        <v>4.4928683570979018E-2</v>
      </c>
      <c r="R70" s="1067">
        <f t="shared" si="186"/>
        <v>5.1690940365273295E-2</v>
      </c>
      <c r="S70" s="1067">
        <f t="shared" si="186"/>
        <v>5.9334920709994646E-2</v>
      </c>
      <c r="T70" s="1067">
        <f t="shared" si="186"/>
        <v>6.7974861759407659E-2</v>
      </c>
      <c r="U70" s="1067">
        <f t="shared" si="186"/>
        <v>7.7739720765674453E-2</v>
      </c>
      <c r="V70" s="1067">
        <f t="shared" si="186"/>
        <v>8.8775062887328268E-2</v>
      </c>
      <c r="W70" s="1067">
        <f t="shared" si="186"/>
        <v>0.10124519010237185</v>
      </c>
      <c r="X70" s="1067">
        <f t="shared" si="186"/>
        <v>0.11533554190666687</v>
      </c>
      <c r="Y70" s="1067">
        <f t="shared" si="186"/>
        <v>0.13125540236973707</v>
      </c>
      <c r="Z70" s="1067">
        <f t="shared" ref="Z70" si="187">+Z69/$L$96</f>
        <v>0.14924095250370661</v>
      </c>
      <c r="AA70" s="1048"/>
      <c r="AB70" s="1042"/>
      <c r="AC70" s="1042"/>
      <c r="AD70" s="1042"/>
      <c r="AE70" s="1042"/>
      <c r="AF70" s="1042"/>
    </row>
    <row r="71" spans="1:32" x14ac:dyDescent="0.3">
      <c r="D71" s="759"/>
      <c r="E71" s="759"/>
      <c r="F71" s="1092"/>
      <c r="G71" s="759"/>
      <c r="H71" s="759"/>
      <c r="I71" s="759"/>
      <c r="J71" s="759"/>
      <c r="K71" s="759"/>
      <c r="L71" s="759"/>
      <c r="M71" s="759"/>
      <c r="N71" s="759"/>
      <c r="O71" s="1409"/>
      <c r="P71" s="759"/>
      <c r="Q71" s="759"/>
      <c r="R71" s="759"/>
      <c r="S71" s="759"/>
      <c r="T71" s="759"/>
      <c r="U71" s="759"/>
      <c r="V71" s="759"/>
      <c r="W71" s="759"/>
      <c r="X71" s="759"/>
      <c r="Y71" s="759"/>
      <c r="Z71" s="759"/>
      <c r="AA71" s="1048"/>
      <c r="AB71" s="1042"/>
      <c r="AC71" s="1042"/>
      <c r="AD71" s="1042"/>
      <c r="AE71" s="1042"/>
      <c r="AF71" s="1042"/>
    </row>
    <row r="72" spans="1:32" x14ac:dyDescent="0.3">
      <c r="A72" s="1048" t="s">
        <v>71</v>
      </c>
      <c r="B72" s="1077"/>
      <c r="C72" s="1077"/>
      <c r="D72" s="1077"/>
      <c r="E72" s="759"/>
      <c r="F72" s="1088"/>
      <c r="G72" s="1089"/>
      <c r="H72" s="1089"/>
      <c r="I72" s="1089"/>
      <c r="J72" s="1089"/>
      <c r="K72" s="1089"/>
      <c r="L72" s="1089"/>
      <c r="M72" s="1089"/>
      <c r="N72" s="902"/>
      <c r="O72" s="1407">
        <f t="shared" ref="O72:Y72" si="188">O69+N72</f>
        <v>0</v>
      </c>
      <c r="P72" s="903">
        <f t="shared" si="188"/>
        <v>380.319181804089</v>
      </c>
      <c r="Q72" s="903">
        <f t="shared" si="188"/>
        <v>517.61512130744586</v>
      </c>
      <c r="R72" s="903">
        <f t="shared" si="188"/>
        <v>675.57559682528085</v>
      </c>
      <c r="S72" s="903">
        <f t="shared" si="188"/>
        <v>856.89503547222057</v>
      </c>
      <c r="T72" s="903">
        <f t="shared" si="188"/>
        <v>1064.6169575517933</v>
      </c>
      <c r="U72" s="903">
        <f t="shared" si="188"/>
        <v>1302.178959171315</v>
      </c>
      <c r="V72" s="903">
        <f t="shared" si="188"/>
        <v>1573.4634637424274</v>
      </c>
      <c r="W72" s="903">
        <f t="shared" si="188"/>
        <v>1882.8549791501914</v>
      </c>
      <c r="X72" s="903">
        <f t="shared" si="188"/>
        <v>2235.3046911295792</v>
      </c>
      <c r="Y72" s="903">
        <f t="shared" si="188"/>
        <v>2636.4033290359089</v>
      </c>
      <c r="Z72" s="903">
        <f t="shared" ref="Z72" si="189">Z69+Y72</f>
        <v>3092.4633592391433</v>
      </c>
      <c r="AA72" s="1048"/>
      <c r="AB72" s="911"/>
      <c r="AC72" s="911"/>
      <c r="AD72" s="911"/>
      <c r="AE72" s="911"/>
      <c r="AF72" s="911"/>
    </row>
    <row r="73" spans="1:32" ht="14.5" x14ac:dyDescent="0.35">
      <c r="A73" s="1090" t="s">
        <v>70</v>
      </c>
      <c r="D73" s="759"/>
      <c r="F73" s="1091"/>
      <c r="G73" s="1067"/>
      <c r="H73" s="1067"/>
      <c r="I73" s="1067"/>
      <c r="J73" s="1067"/>
      <c r="K73" s="1067"/>
      <c r="L73" s="1067"/>
      <c r="M73" s="1067"/>
      <c r="N73" s="1067"/>
      <c r="O73" s="1449">
        <f t="shared" ref="O73:Y73" si="190">O72/$L$96</f>
        <v>0</v>
      </c>
      <c r="P73" s="1067">
        <f t="shared" si="190"/>
        <v>0.12445553915912988</v>
      </c>
      <c r="Q73" s="1067">
        <f t="shared" si="190"/>
        <v>0.16938422273010889</v>
      </c>
      <c r="R73" s="1067">
        <f t="shared" si="190"/>
        <v>0.22107516309538217</v>
      </c>
      <c r="S73" s="1093">
        <f t="shared" si="190"/>
        <v>0.2804100838053768</v>
      </c>
      <c r="T73" s="1067">
        <f t="shared" si="190"/>
        <v>0.3483849455647845</v>
      </c>
      <c r="U73" s="1067">
        <f t="shared" si="190"/>
        <v>0.42612466633045898</v>
      </c>
      <c r="V73" s="1067">
        <f t="shared" si="190"/>
        <v>0.51489972921778715</v>
      </c>
      <c r="W73" s="1067">
        <f t="shared" si="190"/>
        <v>0.61614491932015902</v>
      </c>
      <c r="X73" s="1067">
        <f t="shared" si="190"/>
        <v>0.73148046122682586</v>
      </c>
      <c r="Y73" s="1067">
        <f t="shared" si="190"/>
        <v>0.86273586359656285</v>
      </c>
      <c r="Z73" s="1067">
        <f t="shared" ref="Z73" si="191">Z72/$L$96</f>
        <v>1.0119768161002696</v>
      </c>
      <c r="AA73" s="1048"/>
      <c r="AB73" s="1042"/>
      <c r="AC73" s="1042"/>
      <c r="AD73" s="1042"/>
      <c r="AE73" s="1042"/>
      <c r="AF73" s="1042"/>
    </row>
    <row r="74" spans="1:32" x14ac:dyDescent="0.3">
      <c r="D74" s="759"/>
      <c r="E74" s="759"/>
      <c r="F74" s="759"/>
      <c r="G74" s="759"/>
      <c r="H74" s="759"/>
      <c r="I74" s="759"/>
      <c r="J74" s="759"/>
      <c r="K74" s="759"/>
      <c r="L74" s="759"/>
      <c r="M74" s="759"/>
      <c r="N74" s="759"/>
      <c r="O74" s="1409"/>
      <c r="P74" s="759"/>
      <c r="Q74" s="759"/>
      <c r="R74" s="759"/>
      <c r="S74" s="759"/>
      <c r="T74" s="759"/>
      <c r="U74" s="759"/>
      <c r="V74" s="759"/>
      <c r="W74" s="759"/>
      <c r="X74" s="759"/>
      <c r="Y74" s="759"/>
      <c r="Z74" s="759"/>
      <c r="AA74" s="1048"/>
      <c r="AB74" s="1042"/>
      <c r="AC74" s="1042"/>
      <c r="AD74" s="1042"/>
      <c r="AE74" s="1042"/>
      <c r="AF74" s="1042"/>
    </row>
    <row r="75" spans="1:32" x14ac:dyDescent="0.3">
      <c r="A75" s="759" t="s">
        <v>72</v>
      </c>
      <c r="B75" s="759"/>
      <c r="C75" s="759"/>
      <c r="D75" s="759"/>
      <c r="E75" s="1094"/>
      <c r="F75" s="1094"/>
      <c r="G75" s="1094"/>
      <c r="H75" s="1095"/>
      <c r="I75" s="1095"/>
      <c r="J75" s="1095"/>
      <c r="K75" s="1095"/>
      <c r="L75" s="1095"/>
      <c r="M75" s="1095"/>
      <c r="N75" s="1095"/>
      <c r="O75" s="1455">
        <f>+L96/SUM('Historicals and forecast'!U98:V98)</f>
        <v>28.80064691246324</v>
      </c>
      <c r="P75" s="1095"/>
      <c r="Q75" s="1095"/>
      <c r="R75" s="1095"/>
      <c r="S75" s="1095"/>
      <c r="T75" s="1095"/>
      <c r="U75" s="1095"/>
      <c r="V75" s="1095"/>
      <c r="W75" s="1095"/>
      <c r="X75" s="1095"/>
      <c r="Y75" s="1095"/>
      <c r="Z75" s="1095"/>
      <c r="AA75" s="937"/>
      <c r="AB75" s="759"/>
      <c r="AC75" s="759"/>
      <c r="AD75" s="759"/>
      <c r="AE75" s="759"/>
      <c r="AF75" s="759"/>
    </row>
    <row r="76" spans="1:32" x14ac:dyDescent="0.3">
      <c r="A76" s="759" t="s">
        <v>73</v>
      </c>
      <c r="B76" s="759"/>
      <c r="C76" s="759"/>
      <c r="D76" s="759"/>
      <c r="E76" s="1095"/>
      <c r="F76" s="1095"/>
      <c r="G76" s="1095"/>
      <c r="H76" s="1095"/>
      <c r="I76" s="1095"/>
      <c r="J76" s="1095"/>
      <c r="K76" s="1095"/>
      <c r="L76" s="1095"/>
      <c r="M76" s="1095"/>
      <c r="N76" s="1095"/>
      <c r="O76" s="1455">
        <f t="shared" ref="O76:Y76" si="192">($L$96+O66-O72)/O47</f>
        <v>16.863815505523327</v>
      </c>
      <c r="P76" s="1095">
        <f t="shared" si="192"/>
        <v>14.284377157083252</v>
      </c>
      <c r="Q76" s="1095">
        <f t="shared" si="192"/>
        <v>11.990194569947544</v>
      </c>
      <c r="R76" s="1095">
        <f t="shared" si="192"/>
        <v>9.9494703732859193</v>
      </c>
      <c r="S76" s="1095">
        <f t="shared" si="192"/>
        <v>8.1339708485232105</v>
      </c>
      <c r="T76" s="1095">
        <f t="shared" si="192"/>
        <v>6.5186242016844824</v>
      </c>
      <c r="U76" s="1095">
        <f t="shared" si="192"/>
        <v>5.0811644291114373</v>
      </c>
      <c r="V76" s="1095">
        <f t="shared" si="192"/>
        <v>3.8018155607944966</v>
      </c>
      <c r="W76" s="1095">
        <f t="shared" si="192"/>
        <v>2.6630116678427687</v>
      </c>
      <c r="X76" s="1095">
        <f t="shared" si="192"/>
        <v>1.6491485525724525</v>
      </c>
      <c r="Y76" s="1095">
        <f t="shared" si="192"/>
        <v>0.74636350965060405</v>
      </c>
      <c r="Z76" s="1095">
        <f t="shared" ref="Z76" si="193">($L$96+Z66-Z72)/Z47</f>
        <v>-5.7660037994870052E-2</v>
      </c>
      <c r="AA76" s="937"/>
      <c r="AB76" s="759"/>
      <c r="AC76" s="759"/>
      <c r="AD76" s="759"/>
      <c r="AE76" s="759"/>
      <c r="AF76" s="759"/>
    </row>
    <row r="77" spans="1:32" x14ac:dyDescent="0.3">
      <c r="A77" s="759"/>
      <c r="B77" s="759"/>
      <c r="C77" s="759"/>
      <c r="D77" s="759"/>
      <c r="E77" s="1095"/>
      <c r="F77" s="1095"/>
      <c r="G77" s="1095"/>
      <c r="H77" s="1095"/>
      <c r="I77" s="1095"/>
      <c r="J77" s="1095"/>
      <c r="K77" s="1095"/>
      <c r="L77" s="1095"/>
      <c r="M77" s="1095"/>
      <c r="N77" s="1095"/>
      <c r="O77" s="1455"/>
      <c r="P77" s="1095"/>
      <c r="Q77" s="1095"/>
      <c r="R77" s="1095"/>
      <c r="S77" s="1095"/>
      <c r="T77" s="1095"/>
      <c r="U77" s="1095"/>
      <c r="V77" s="1095"/>
      <c r="W77" s="1095"/>
      <c r="X77" s="1095"/>
      <c r="Y77" s="1095"/>
      <c r="Z77" s="1095"/>
      <c r="AA77" s="937"/>
      <c r="AB77" s="759"/>
      <c r="AC77" s="759"/>
      <c r="AD77" s="759"/>
      <c r="AE77" s="759"/>
      <c r="AF77" s="759"/>
    </row>
    <row r="78" spans="1:32" x14ac:dyDescent="0.3">
      <c r="A78" s="759" t="s">
        <v>74</v>
      </c>
      <c r="M78" s="1094"/>
      <c r="N78" s="1095"/>
      <c r="O78" s="1455">
        <f t="shared" ref="O78:Y78" si="194">($L$96+O66-O72)/O59</f>
        <v>22.748014909215055</v>
      </c>
      <c r="P78" s="1095">
        <f t="shared" si="194"/>
        <v>19.246223596440526</v>
      </c>
      <c r="Q78" s="1095">
        <f t="shared" si="194"/>
        <v>16.136772040694574</v>
      </c>
      <c r="R78" s="1095">
        <f t="shared" si="194"/>
        <v>13.375375831338284</v>
      </c>
      <c r="S78" s="1095">
        <f t="shared" si="194"/>
        <v>10.922784303924969</v>
      </c>
      <c r="T78" s="1095">
        <f t="shared" si="194"/>
        <v>8.744203738770512</v>
      </c>
      <c r="U78" s="1095">
        <f t="shared" si="194"/>
        <v>6.8087872815155439</v>
      </c>
      <c r="V78" s="1095">
        <f t="shared" si="194"/>
        <v>5.0891837807859366</v>
      </c>
      <c r="W78" s="1095">
        <f t="shared" si="194"/>
        <v>3.5611386632035873</v>
      </c>
      <c r="X78" s="1095">
        <f t="shared" si="194"/>
        <v>2.2031407797566831</v>
      </c>
      <c r="Y78" s="1095">
        <f t="shared" si="194"/>
        <v>0.99610987356695502</v>
      </c>
      <c r="Z78" s="1095">
        <f t="shared" ref="Z78" si="195">($L$96+Z66-Z72)/Z59</f>
        <v>-7.688005065982674E-2</v>
      </c>
      <c r="AA78" s="937"/>
      <c r="AB78" s="759"/>
      <c r="AC78" s="759"/>
      <c r="AD78" s="759"/>
      <c r="AE78" s="759"/>
      <c r="AF78" s="759"/>
    </row>
    <row r="79" spans="1:32" x14ac:dyDescent="0.3">
      <c r="A79" s="759" t="s">
        <v>75</v>
      </c>
      <c r="B79" s="759"/>
      <c r="C79" s="759"/>
      <c r="D79" s="759"/>
      <c r="E79" s="1094">
        <f t="shared" ref="E79:K79" si="196">($L$96-E72)/E59</f>
        <v>101.10719428268945</v>
      </c>
      <c r="F79" s="1094">
        <f t="shared" si="196"/>
        <v>87.427173152711148</v>
      </c>
      <c r="G79" s="1094">
        <f t="shared" si="196"/>
        <v>79.855329979747836</v>
      </c>
      <c r="H79" s="1094">
        <f t="shared" si="196"/>
        <v>59.017151465113912</v>
      </c>
      <c r="I79" s="1094">
        <f t="shared" si="196"/>
        <v>49.097674986544099</v>
      </c>
      <c r="J79" s="1094">
        <f t="shared" si="196"/>
        <v>50.697433328079818</v>
      </c>
      <c r="K79" s="1094">
        <f t="shared" si="196"/>
        <v>36.9017771243468</v>
      </c>
      <c r="L79" s="1094">
        <f t="shared" ref="L79:Y79" si="197">($L$96-L72)/L59</f>
        <v>31.4276118681545</v>
      </c>
      <c r="M79" s="1094">
        <f t="shared" si="197"/>
        <v>29.549236481782309</v>
      </c>
      <c r="N79" s="1094">
        <f t="shared" si="197"/>
        <v>26.749449865524628</v>
      </c>
      <c r="O79" s="1455">
        <f t="shared" si="197"/>
        <v>24.875044650172008</v>
      </c>
      <c r="P79" s="1095">
        <f t="shared" si="197"/>
        <v>19.246223596440526</v>
      </c>
      <c r="Q79" s="1095">
        <f t="shared" si="197"/>
        <v>16.136772040694574</v>
      </c>
      <c r="R79" s="1095">
        <f t="shared" si="197"/>
        <v>13.375375831338284</v>
      </c>
      <c r="S79" s="1095">
        <f t="shared" si="197"/>
        <v>10.922784303924969</v>
      </c>
      <c r="T79" s="1095">
        <f t="shared" si="197"/>
        <v>8.744203738770512</v>
      </c>
      <c r="U79" s="1095">
        <f t="shared" si="197"/>
        <v>6.8087872815155439</v>
      </c>
      <c r="V79" s="1095">
        <f t="shared" si="197"/>
        <v>5.0891837807859366</v>
      </c>
      <c r="W79" s="1095">
        <f t="shared" si="197"/>
        <v>3.5611386632035873</v>
      </c>
      <c r="X79" s="1095">
        <f t="shared" si="197"/>
        <v>2.2031407797566831</v>
      </c>
      <c r="Y79" s="1095">
        <f t="shared" si="197"/>
        <v>0.99610987356695502</v>
      </c>
      <c r="Z79" s="1095">
        <f t="shared" ref="Z79" si="198">($L$96-Z72)/Z59</f>
        <v>-7.688005065982674E-2</v>
      </c>
      <c r="AA79" s="937"/>
      <c r="AB79" s="759"/>
      <c r="AC79" s="759"/>
      <c r="AD79" s="759"/>
      <c r="AE79" s="759"/>
      <c r="AF79" s="759"/>
    </row>
    <row r="80" spans="1:32" x14ac:dyDescent="0.3">
      <c r="A80" s="759"/>
      <c r="B80" s="759"/>
      <c r="C80" s="759"/>
      <c r="D80" s="759"/>
      <c r="E80" s="1094"/>
      <c r="F80" s="1094"/>
      <c r="G80" s="1094"/>
      <c r="H80" s="1094"/>
      <c r="I80" s="1094"/>
      <c r="J80" s="1094"/>
      <c r="K80" s="1094"/>
      <c r="L80" s="1094"/>
      <c r="M80" s="1094"/>
      <c r="N80" s="1095"/>
      <c r="O80" s="1455"/>
      <c r="P80" s="1095"/>
      <c r="Q80" s="1095"/>
      <c r="R80" s="1095"/>
      <c r="S80" s="1095"/>
      <c r="T80" s="1095"/>
      <c r="U80" s="1095"/>
      <c r="V80" s="1095"/>
      <c r="W80" s="1095"/>
      <c r="X80" s="1095"/>
      <c r="Y80" s="1095"/>
      <c r="Z80" s="1095"/>
      <c r="AA80" s="937"/>
      <c r="AB80" s="759"/>
      <c r="AC80" s="759"/>
      <c r="AD80" s="759"/>
      <c r="AE80" s="759"/>
      <c r="AF80" s="759"/>
    </row>
    <row r="81" spans="1:32" x14ac:dyDescent="0.3">
      <c r="A81" s="759" t="s">
        <v>76</v>
      </c>
      <c r="B81" s="759"/>
      <c r="C81" s="759"/>
      <c r="D81" s="759"/>
      <c r="E81" s="1095"/>
      <c r="F81" s="1095"/>
      <c r="G81" s="1095"/>
      <c r="H81" s="1095"/>
      <c r="I81" s="1095"/>
      <c r="J81" s="1095"/>
      <c r="K81" s="1095"/>
      <c r="L81" s="1095"/>
      <c r="M81" s="1095"/>
      <c r="N81" s="1095"/>
      <c r="O81" s="1455">
        <f>($L$96+O66-O72)/(O39-O36-O52-O54)</f>
        <v>21.731550333775544</v>
      </c>
      <c r="P81" s="1095">
        <f t="shared" ref="P81:Y81" si="199">($L$96+P66-P72)/(P39-P36-P52-P54)</f>
        <v>18.468952372276103</v>
      </c>
      <c r="Q81" s="1095">
        <f t="shared" si="199"/>
        <v>15.553633316776486</v>
      </c>
      <c r="R81" s="1095">
        <f t="shared" si="199"/>
        <v>12.948197899300265</v>
      </c>
      <c r="S81" s="1095">
        <f t="shared" si="199"/>
        <v>10.619284334076935</v>
      </c>
      <c r="T81" s="1095">
        <f t="shared" si="199"/>
        <v>8.5371288940228442</v>
      </c>
      <c r="U81" s="1095">
        <f t="shared" si="199"/>
        <v>6.6751775311916104</v>
      </c>
      <c r="V81" s="1095">
        <f t="shared" si="199"/>
        <v>5.0097394537370157</v>
      </c>
      <c r="W81" s="1095">
        <f t="shared" si="199"/>
        <v>3.5196781226940166</v>
      </c>
      <c r="X81" s="1095">
        <f t="shared" si="199"/>
        <v>2.1861356229466975</v>
      </c>
      <c r="Y81" s="1095">
        <f t="shared" si="199"/>
        <v>0.99228680059590868</v>
      </c>
      <c r="Z81" s="1095">
        <f t="shared" ref="Z81" si="200">($L$96+Z66-Z72)/(Z39-Z36-Z52-Z54)</f>
        <v>-7.688005065982674E-2</v>
      </c>
      <c r="AA81" s="937"/>
      <c r="AB81" s="759"/>
      <c r="AC81" s="759"/>
      <c r="AD81" s="759"/>
      <c r="AE81" s="759"/>
      <c r="AF81" s="759"/>
    </row>
    <row r="82" spans="1:32" x14ac:dyDescent="0.3">
      <c r="A82" s="759" t="s">
        <v>77</v>
      </c>
      <c r="B82" s="759"/>
      <c r="C82" s="759"/>
      <c r="D82" s="759"/>
      <c r="E82" s="1095"/>
      <c r="F82" s="1095"/>
      <c r="G82" s="1095"/>
      <c r="H82" s="1095"/>
      <c r="I82" s="1095"/>
      <c r="J82" s="1095"/>
      <c r="K82" s="1095"/>
      <c r="L82" s="1095"/>
      <c r="M82" s="1095"/>
      <c r="N82" s="1095"/>
      <c r="O82" s="1455">
        <f t="shared" ref="O82:Y82" si="201">($L$96-O72)/(O39-O36-O52-O54)</f>
        <v>23.763536599896668</v>
      </c>
      <c r="P82" s="1095">
        <f t="shared" si="201"/>
        <v>18.468952372276103</v>
      </c>
      <c r="Q82" s="1095">
        <f t="shared" si="201"/>
        <v>15.553633316776486</v>
      </c>
      <c r="R82" s="1095">
        <f t="shared" si="201"/>
        <v>12.948197899300265</v>
      </c>
      <c r="S82" s="1095">
        <f t="shared" si="201"/>
        <v>10.619284334076935</v>
      </c>
      <c r="T82" s="1095">
        <f t="shared" si="201"/>
        <v>8.5371288940228442</v>
      </c>
      <c r="U82" s="1095">
        <f t="shared" si="201"/>
        <v>6.6751775311916104</v>
      </c>
      <c r="V82" s="1095">
        <f t="shared" si="201"/>
        <v>5.0097394537370157</v>
      </c>
      <c r="W82" s="1095">
        <f t="shared" si="201"/>
        <v>3.5196781226940166</v>
      </c>
      <c r="X82" s="1095">
        <f t="shared" si="201"/>
        <v>2.1861356229466975</v>
      </c>
      <c r="Y82" s="1095">
        <f t="shared" si="201"/>
        <v>0.99228680059590868</v>
      </c>
      <c r="Z82" s="1095">
        <f t="shared" ref="Z82" si="202">($L$96-Z72)/(Z39-Z36-Z52-Z54)</f>
        <v>-7.688005065982674E-2</v>
      </c>
      <c r="AA82" s="937"/>
      <c r="AB82" s="759"/>
      <c r="AC82" s="759"/>
      <c r="AD82" s="759"/>
      <c r="AE82" s="759"/>
      <c r="AF82" s="759"/>
    </row>
    <row r="83" spans="1:32" x14ac:dyDescent="0.3">
      <c r="A83" s="759"/>
      <c r="B83" s="759"/>
      <c r="C83" s="759"/>
      <c r="D83" s="759"/>
      <c r="E83" s="1095"/>
      <c r="F83" s="1095"/>
      <c r="G83" s="1095"/>
      <c r="H83" s="1095"/>
      <c r="I83" s="1095"/>
      <c r="J83" s="1095"/>
      <c r="K83" s="1095"/>
      <c r="L83" s="1095"/>
      <c r="M83" s="1095"/>
      <c r="N83" s="1095"/>
      <c r="O83" s="1455"/>
      <c r="P83" s="1095"/>
      <c r="Q83" s="1095"/>
      <c r="R83" s="1095"/>
      <c r="S83" s="1095"/>
      <c r="T83" s="1095"/>
      <c r="U83" s="1095"/>
      <c r="V83" s="1095"/>
      <c r="W83" s="1095"/>
      <c r="X83" s="1095"/>
      <c r="Y83" s="1095"/>
      <c r="Z83" s="1095"/>
      <c r="AA83" s="937"/>
      <c r="AB83" s="759"/>
      <c r="AC83" s="759"/>
      <c r="AD83" s="759"/>
      <c r="AE83" s="759"/>
      <c r="AF83" s="759"/>
    </row>
    <row r="84" spans="1:32" x14ac:dyDescent="0.3">
      <c r="A84" s="759" t="s">
        <v>78</v>
      </c>
      <c r="B84" s="759"/>
      <c r="C84" s="759"/>
      <c r="D84" s="759"/>
      <c r="E84" s="1095"/>
      <c r="F84" s="1095"/>
      <c r="G84" s="1095"/>
      <c r="H84" s="1095"/>
      <c r="I84" s="1095"/>
      <c r="J84" s="1095"/>
      <c r="K84" s="1095"/>
      <c r="L84" s="1095"/>
      <c r="M84" s="1095"/>
      <c r="N84" s="1095"/>
      <c r="O84" s="1455">
        <f>($L$96+O66-O72)/64.24/M99*100</f>
        <v>21.694970802563347</v>
      </c>
      <c r="P84" s="1095"/>
      <c r="Q84" s="1095"/>
      <c r="R84" s="1095"/>
      <c r="S84" s="1095"/>
      <c r="T84" s="1095"/>
      <c r="U84" s="1095"/>
      <c r="V84" s="1095"/>
      <c r="W84" s="1095"/>
      <c r="X84" s="1095"/>
      <c r="Y84" s="1095"/>
      <c r="Z84" s="1095"/>
      <c r="AA84" s="937" t="s">
        <v>79</v>
      </c>
      <c r="AB84" s="759"/>
      <c r="AC84" s="759"/>
      <c r="AD84" s="759"/>
      <c r="AE84" s="759"/>
      <c r="AF84" s="759"/>
    </row>
    <row r="85" spans="1:32" x14ac:dyDescent="0.3">
      <c r="D85" s="759"/>
      <c r="E85" s="759"/>
      <c r="F85" s="759"/>
      <c r="G85" s="759"/>
      <c r="H85" s="759"/>
      <c r="I85" s="759"/>
      <c r="J85" s="759"/>
      <c r="K85" s="759"/>
      <c r="L85" s="759"/>
      <c r="M85" s="759"/>
      <c r="N85" s="759"/>
      <c r="O85" s="1365"/>
      <c r="P85" s="759"/>
      <c r="AA85" s="1048"/>
      <c r="AB85" s="1042"/>
      <c r="AC85" s="1042"/>
      <c r="AD85" s="1042"/>
      <c r="AE85" s="1042"/>
      <c r="AF85" s="1042"/>
    </row>
    <row r="86" spans="1:32" x14ac:dyDescent="0.3">
      <c r="A86" s="1061" t="s">
        <v>80</v>
      </c>
      <c r="B86" s="1526"/>
      <c r="C86" s="1526"/>
      <c r="D86" s="1096"/>
      <c r="E86" s="759"/>
      <c r="F86" s="759"/>
      <c r="G86" s="759"/>
      <c r="H86" s="759"/>
      <c r="I86" s="759"/>
      <c r="J86" s="759"/>
      <c r="K86" s="759"/>
      <c r="L86" s="759"/>
      <c r="M86" s="759"/>
      <c r="N86" s="759"/>
      <c r="O86" s="759"/>
      <c r="P86" s="759"/>
      <c r="AA86" s="1048"/>
      <c r="AB86" s="1042"/>
      <c r="AC86" s="1042"/>
      <c r="AD86" s="1042"/>
      <c r="AE86" s="1042"/>
      <c r="AF86" s="1042"/>
    </row>
    <row r="87" spans="1:32" x14ac:dyDescent="0.3">
      <c r="D87" s="759"/>
      <c r="E87" s="759"/>
      <c r="F87" s="759"/>
      <c r="G87" s="1097"/>
      <c r="H87" s="1098"/>
      <c r="I87" s="759"/>
      <c r="J87" s="759"/>
      <c r="K87" s="759"/>
      <c r="L87" s="759"/>
      <c r="M87" s="759"/>
      <c r="N87" s="1098"/>
      <c r="O87" s="1098"/>
      <c r="P87" s="1098"/>
      <c r="Q87" s="1098"/>
      <c r="AA87" s="1048"/>
      <c r="AB87" s="1042"/>
      <c r="AC87" s="1042"/>
      <c r="AD87" s="1042"/>
      <c r="AE87" s="1042"/>
      <c r="AF87" s="1042"/>
    </row>
    <row r="88" spans="1:32" x14ac:dyDescent="0.3">
      <c r="A88" s="1099" t="s">
        <v>81</v>
      </c>
      <c r="D88" s="759"/>
      <c r="E88" s="759"/>
      <c r="F88" s="759"/>
      <c r="G88" s="1097"/>
      <c r="H88" s="759"/>
      <c r="I88" s="759"/>
      <c r="J88" s="759"/>
      <c r="K88" s="759"/>
      <c r="L88" s="759"/>
      <c r="M88" s="759"/>
      <c r="N88" s="759"/>
      <c r="O88" s="759"/>
      <c r="P88" s="759"/>
      <c r="Q88" s="759"/>
      <c r="AA88" s="1048"/>
      <c r="AB88" s="1042"/>
      <c r="AC88" s="1042"/>
      <c r="AD88" s="1042"/>
      <c r="AE88" s="1042"/>
      <c r="AF88" s="1042"/>
    </row>
    <row r="89" spans="1:32" ht="17" x14ac:dyDescent="0.6">
      <c r="A89" s="756" t="s">
        <v>82</v>
      </c>
      <c r="D89" s="759"/>
      <c r="E89" s="759"/>
      <c r="K89" s="759"/>
      <c r="L89" s="759"/>
      <c r="M89" s="759"/>
      <c r="N89" s="759"/>
      <c r="O89" s="759"/>
      <c r="P89" s="759"/>
      <c r="Q89" s="759"/>
      <c r="R89" s="759"/>
      <c r="S89" s="759"/>
      <c r="T89" s="759"/>
      <c r="U89" s="759"/>
      <c r="V89" s="759"/>
      <c r="W89" s="759"/>
      <c r="X89" s="759"/>
      <c r="Y89" s="1100">
        <v>15</v>
      </c>
      <c r="AA89" s="1048"/>
      <c r="AB89" s="1042"/>
      <c r="AC89" s="1042"/>
      <c r="AD89" s="1042"/>
      <c r="AE89" s="1042"/>
      <c r="AF89" s="1042"/>
    </row>
    <row r="90" spans="1:32" x14ac:dyDescent="0.3">
      <c r="A90" s="1048" t="s">
        <v>83</v>
      </c>
      <c r="D90" s="759"/>
      <c r="E90" s="1089"/>
      <c r="K90" s="1089"/>
      <c r="L90" s="1089"/>
      <c r="M90" s="1089"/>
      <c r="N90" s="1089"/>
      <c r="O90" s="1089"/>
      <c r="P90" s="903"/>
      <c r="Q90" s="903"/>
      <c r="R90" s="903"/>
      <c r="S90" s="903"/>
      <c r="T90" s="903"/>
      <c r="U90" s="903"/>
      <c r="V90" s="903"/>
      <c r="W90" s="903"/>
      <c r="X90" s="903"/>
      <c r="Y90" s="903">
        <f>+Y89*Z59</f>
        <v>7140.9004530485181</v>
      </c>
      <c r="AA90" s="1048"/>
      <c r="AB90" s="1042"/>
      <c r="AC90" s="1042"/>
      <c r="AD90" s="1042"/>
      <c r="AE90" s="1042"/>
      <c r="AF90" s="1042"/>
    </row>
    <row r="91" spans="1:32" x14ac:dyDescent="0.3">
      <c r="A91" s="1048" t="s">
        <v>84</v>
      </c>
      <c r="D91" s="759"/>
      <c r="E91" s="1089"/>
      <c r="K91" s="1089"/>
      <c r="L91" s="1089"/>
      <c r="M91" s="1089"/>
      <c r="N91" s="1089"/>
      <c r="O91" s="903">
        <f>-$L$96</f>
        <v>-3055.86384</v>
      </c>
      <c r="P91" s="903">
        <f>+P69+P90</f>
        <v>380.319181804089</v>
      </c>
      <c r="Q91" s="903">
        <f t="shared" ref="Q91:Y91" si="203">+Q69+Q90</f>
        <v>137.29593950335686</v>
      </c>
      <c r="R91" s="903">
        <f t="shared" si="203"/>
        <v>157.96047551783505</v>
      </c>
      <c r="S91" s="903">
        <f t="shared" si="203"/>
        <v>181.31943864693977</v>
      </c>
      <c r="T91" s="903">
        <f t="shared" si="203"/>
        <v>207.72192207957266</v>
      </c>
      <c r="U91" s="903">
        <f t="shared" si="203"/>
        <v>237.56200161952165</v>
      </c>
      <c r="V91" s="903">
        <f t="shared" si="203"/>
        <v>271.28450457111245</v>
      </c>
      <c r="W91" s="903">
        <f t="shared" si="203"/>
        <v>309.39151540776402</v>
      </c>
      <c r="X91" s="903">
        <f t="shared" si="203"/>
        <v>352.44971197938793</v>
      </c>
      <c r="Y91" s="903">
        <f t="shared" si="203"/>
        <v>7541.9990909548478</v>
      </c>
      <c r="AA91" s="1048"/>
      <c r="AB91" s="1042"/>
      <c r="AC91" s="1042"/>
      <c r="AD91" s="1042"/>
      <c r="AE91" s="1042"/>
      <c r="AF91" s="1042"/>
    </row>
    <row r="92" spans="1:32" x14ac:dyDescent="0.3">
      <c r="A92" s="1101" t="s">
        <v>85</v>
      </c>
      <c r="B92" s="1527"/>
      <c r="C92" s="1527"/>
      <c r="D92" s="1527"/>
      <c r="E92" s="1527"/>
      <c r="F92" s="1527"/>
      <c r="G92" s="1527"/>
      <c r="H92" s="1527"/>
      <c r="I92" s="1527"/>
      <c r="J92" s="1527"/>
      <c r="K92" s="1527"/>
      <c r="L92" s="1527"/>
      <c r="M92" s="1527"/>
      <c r="N92" s="1527"/>
      <c r="O92" s="1102">
        <f>XIRR(O91:Y91,O4:Y4)</f>
        <v>0.13710251450538638</v>
      </c>
      <c r="P92" s="1085"/>
      <c r="Q92" s="1085"/>
      <c r="R92" s="1085"/>
      <c r="S92" s="1085"/>
      <c r="T92" s="1085"/>
      <c r="U92" s="1085"/>
      <c r="V92" s="1085"/>
      <c r="W92" s="1085"/>
      <c r="X92" s="1085"/>
      <c r="Y92" s="981"/>
      <c r="AA92" s="1048"/>
      <c r="AB92" s="1042"/>
      <c r="AC92" s="1042"/>
      <c r="AD92" s="1042"/>
      <c r="AE92" s="1042"/>
      <c r="AF92" s="1042"/>
    </row>
    <row r="93" spans="1:32" x14ac:dyDescent="0.3">
      <c r="D93" s="759"/>
      <c r="L93" s="759"/>
      <c r="M93" s="759"/>
      <c r="N93" s="759"/>
      <c r="X93" s="1103">
        <f>+Y93-1</f>
        <v>45656</v>
      </c>
      <c r="Y93" s="1103">
        <f>+Z1</f>
        <v>45657</v>
      </c>
      <c r="Z93" s="1103"/>
      <c r="AA93" s="1048"/>
      <c r="AB93" s="1042"/>
      <c r="AC93" s="1042"/>
      <c r="AD93" s="1042"/>
      <c r="AE93" s="1042"/>
      <c r="AF93" s="1042"/>
    </row>
    <row r="94" spans="1:32" x14ac:dyDescent="0.3">
      <c r="A94" s="1104" t="s">
        <v>86</v>
      </c>
      <c r="B94" s="1528"/>
      <c r="C94" s="1528"/>
      <c r="D94" s="1528"/>
      <c r="E94" s="1528"/>
      <c r="F94" s="1528"/>
      <c r="G94" s="1528"/>
      <c r="H94" s="1528"/>
      <c r="I94" s="1528"/>
      <c r="J94" s="1528"/>
      <c r="K94" s="1528"/>
      <c r="L94" s="1529"/>
      <c r="M94" s="1105"/>
      <c r="N94" s="759"/>
      <c r="R94" s="1104" t="s">
        <v>87</v>
      </c>
      <c r="S94" s="1528"/>
      <c r="T94" s="1528"/>
      <c r="U94" s="1106"/>
      <c r="X94" s="1107" t="s">
        <v>88</v>
      </c>
      <c r="Y94" s="1107" t="s">
        <v>89</v>
      </c>
      <c r="Z94" s="1107"/>
      <c r="AA94" s="1048"/>
      <c r="AB94" s="1042"/>
      <c r="AC94" s="1042"/>
      <c r="AD94" s="1042"/>
      <c r="AE94" s="1042"/>
      <c r="AF94" s="1042"/>
    </row>
    <row r="95" spans="1:32" x14ac:dyDescent="0.3">
      <c r="D95" s="759"/>
      <c r="L95" s="1018" t="s">
        <v>90</v>
      </c>
      <c r="M95" s="1019" t="s">
        <v>91</v>
      </c>
      <c r="N95" s="759"/>
      <c r="T95" s="1018" t="s">
        <v>90</v>
      </c>
      <c r="U95" s="1019" t="s">
        <v>92</v>
      </c>
      <c r="X95" s="1108" t="s">
        <v>93</v>
      </c>
      <c r="Y95" s="1110">
        <f>1/(_xll.ciqfunctions.udf.CIQAVG("$"&amp;$Y94&amp;$X94,"iq_lastsaleprice",X93,Y93))</f>
        <v>0.7989499595625259</v>
      </c>
      <c r="Z95" s="1109"/>
      <c r="AA95" s="1048"/>
      <c r="AB95" s="1042"/>
      <c r="AC95" s="1042"/>
      <c r="AD95" s="1042"/>
      <c r="AE95" s="1042"/>
      <c r="AF95" s="1042"/>
    </row>
    <row r="96" spans="1:32" x14ac:dyDescent="0.3">
      <c r="A96" s="756" t="s">
        <v>94</v>
      </c>
      <c r="D96" s="759"/>
      <c r="L96" s="1089">
        <f>+M96*M99</f>
        <v>3055.86384</v>
      </c>
      <c r="M96" s="1553">
        <f>_xll.SNL.Clients.Office.Excel.Functions.SPG($A$1, "SP_PRICE_CLOSE",$Z$1)</f>
        <v>15.24</v>
      </c>
      <c r="N96" s="759"/>
      <c r="R96" s="756" t="s">
        <v>94</v>
      </c>
      <c r="T96" s="1085">
        <f>+U96*U99</f>
        <v>3824.8501091022931</v>
      </c>
      <c r="U96" s="1075">
        <f>+M96/Y95</f>
        <v>19.075036950180003</v>
      </c>
      <c r="V96" s="759"/>
      <c r="X96" s="1108" t="s">
        <v>95</v>
      </c>
      <c r="Y96" s="1110">
        <f>1/Y95</f>
        <v>1.2516428445000001</v>
      </c>
      <c r="Z96" s="1110"/>
      <c r="AA96" s="1048"/>
      <c r="AB96" s="1042"/>
      <c r="AC96" s="1042"/>
      <c r="AD96" s="1042"/>
      <c r="AE96" s="1042"/>
      <c r="AF96" s="1042"/>
    </row>
    <row r="97" spans="1:32" ht="17" x14ac:dyDescent="0.6">
      <c r="A97" s="756" t="s">
        <v>66</v>
      </c>
      <c r="D97" s="759"/>
      <c r="L97" s="1111">
        <f>+'Historicals and forecast'!V108</f>
        <v>-158.45400000000001</v>
      </c>
      <c r="M97" s="1112">
        <f>+L97/M99</f>
        <v>-0.79023120349498299</v>
      </c>
      <c r="N97" s="759"/>
      <c r="R97" s="756" t="s">
        <v>96</v>
      </c>
      <c r="T97" s="1113">
        <f>+L97/Y95</f>
        <v>-198.32781528240304</v>
      </c>
      <c r="U97" s="1022">
        <f>+T97/U99</f>
        <v>-0.989087231355119</v>
      </c>
      <c r="V97" s="759"/>
      <c r="AA97" s="1048"/>
      <c r="AB97" s="1042"/>
      <c r="AC97" s="1042"/>
      <c r="AD97" s="1042"/>
      <c r="AE97" s="1042"/>
      <c r="AF97" s="1042"/>
    </row>
    <row r="98" spans="1:32" x14ac:dyDescent="0.3">
      <c r="A98" s="1023" t="s">
        <v>97</v>
      </c>
      <c r="B98" s="1038"/>
      <c r="C98" s="1038"/>
      <c r="D98" s="1038"/>
      <c r="L98" s="1114">
        <f>+L97+L96</f>
        <v>2897.4098399999998</v>
      </c>
      <c r="M98" s="1115">
        <f>+L98/M99</f>
        <v>14.449768796505017</v>
      </c>
      <c r="N98" s="759"/>
      <c r="R98" s="1023" t="s">
        <v>97</v>
      </c>
      <c r="T98" s="1116">
        <f>+T97+T96</f>
        <v>3626.5222938198899</v>
      </c>
      <c r="U98" s="1117">
        <f>+T98/U99</f>
        <v>18.085949718824882</v>
      </c>
      <c r="V98" s="759"/>
      <c r="AA98" s="1048"/>
      <c r="AB98" s="1042"/>
      <c r="AC98" s="1042"/>
      <c r="AD98" s="1042"/>
      <c r="AE98" s="1042"/>
      <c r="AF98" s="1042"/>
    </row>
    <row r="99" spans="1:32" s="758" customFormat="1" ht="14.5" x14ac:dyDescent="0.35">
      <c r="A99" s="1026" t="s">
        <v>98</v>
      </c>
      <c r="D99" s="915"/>
      <c r="L99" s="915"/>
      <c r="M99" s="1118">
        <f>'Historicals and forecast'!V83</f>
        <v>200.51599999999999</v>
      </c>
      <c r="N99" s="915"/>
      <c r="R99" s="1026" t="s">
        <v>98</v>
      </c>
      <c r="T99" s="915"/>
      <c r="U99" s="926">
        <f>+M99</f>
        <v>200.51599999999999</v>
      </c>
      <c r="V99" s="915"/>
      <c r="AA99" s="1026"/>
      <c r="AB99" s="1119"/>
      <c r="AC99" s="1119"/>
      <c r="AD99" s="1119"/>
      <c r="AE99" s="1119"/>
      <c r="AF99" s="1119"/>
    </row>
    <row r="100" spans="1:32" x14ac:dyDescent="0.3">
      <c r="AA100" s="1048"/>
    </row>
    <row r="101" spans="1:32" x14ac:dyDescent="0.3">
      <c r="F101" s="1120"/>
      <c r="G101" s="1120"/>
      <c r="AA101" s="1048"/>
    </row>
    <row r="102" spans="1:32" x14ac:dyDescent="0.3">
      <c r="E102" s="1121"/>
      <c r="F102" s="1122"/>
      <c r="G102" s="1122"/>
      <c r="H102" s="1122">
        <f>M92</f>
        <v>0</v>
      </c>
      <c r="AA102" s="1048"/>
    </row>
    <row r="103" spans="1:32" x14ac:dyDescent="0.3">
      <c r="M103" s="1160"/>
      <c r="N103" s="1160"/>
      <c r="O103" s="1160">
        <f>O92</f>
        <v>0.13710251450538638</v>
      </c>
      <c r="AA103" s="1048"/>
    </row>
    <row r="104" spans="1:32" x14ac:dyDescent="0.3">
      <c r="Q104" s="1120"/>
      <c r="AA104" s="1048"/>
    </row>
    <row r="105" spans="1:32" x14ac:dyDescent="0.3">
      <c r="N105" s="756" t="s">
        <v>99</v>
      </c>
      <c r="O105" s="756">
        <f>+SUM('Historicals and forecast'!U98:V98)</f>
        <v>106.10400000000001</v>
      </c>
    </row>
    <row r="106" spans="1:32" x14ac:dyDescent="0.3">
      <c r="O106" s="1295"/>
    </row>
    <row r="107" spans="1:32" ht="14.5" thickBot="1" x14ac:dyDescent="0.35">
      <c r="D107" s="890" t="s">
        <v>100</v>
      </c>
      <c r="E107" s="1075"/>
      <c r="F107" s="759"/>
      <c r="G107" s="759"/>
      <c r="H107" s="759"/>
      <c r="I107" s="759"/>
      <c r="J107" s="759"/>
      <c r="K107" s="759"/>
      <c r="L107" s="759"/>
      <c r="M107" s="759"/>
      <c r="N107" s="759"/>
      <c r="O107" s="759"/>
      <c r="P107" s="759"/>
      <c r="Q107" s="759"/>
      <c r="R107" s="759"/>
      <c r="S107" s="759"/>
      <c r="T107" s="759"/>
      <c r="U107" s="759"/>
      <c r="V107" s="759"/>
      <c r="W107" s="759"/>
      <c r="X107" s="759"/>
      <c r="Y107" s="759"/>
      <c r="Z107" s="759"/>
    </row>
    <row r="108" spans="1:32" x14ac:dyDescent="0.3">
      <c r="D108" s="1123" t="s">
        <v>101</v>
      </c>
      <c r="E108" s="1124" t="s">
        <v>102</v>
      </c>
      <c r="F108" s="1125"/>
      <c r="G108" s="1125"/>
      <c r="H108" s="1125"/>
      <c r="I108" s="1126"/>
      <c r="J108" s="1126"/>
      <c r="K108" s="1126"/>
      <c r="L108" s="1126"/>
      <c r="M108" s="1126"/>
      <c r="N108" s="1126"/>
      <c r="O108" s="1126"/>
      <c r="P108" s="1126"/>
      <c r="Q108" s="1127"/>
      <c r="R108" s="759"/>
      <c r="S108" s="759"/>
      <c r="T108" s="759"/>
      <c r="U108" s="759"/>
      <c r="V108" s="759"/>
      <c r="W108" s="759"/>
      <c r="X108" s="759"/>
      <c r="Y108" s="759"/>
      <c r="Z108" s="759"/>
    </row>
    <row r="109" spans="1:32" x14ac:dyDescent="0.3">
      <c r="D109" s="1128"/>
      <c r="E109" s="1129">
        <f>+Y96</f>
        <v>1.2516428445000001</v>
      </c>
      <c r="I109" s="759"/>
      <c r="J109" s="759"/>
      <c r="K109" s="759"/>
      <c r="L109" s="759"/>
      <c r="M109" s="759"/>
      <c r="N109" s="759"/>
      <c r="O109" s="759"/>
      <c r="P109" s="759"/>
      <c r="Q109" s="1130"/>
      <c r="R109" s="759"/>
      <c r="S109" s="759"/>
      <c r="T109" s="759"/>
      <c r="U109" s="759"/>
      <c r="V109" s="759"/>
      <c r="W109" s="759"/>
      <c r="X109" s="759"/>
      <c r="Y109" s="759"/>
      <c r="Z109" s="759"/>
    </row>
    <row r="110" spans="1:32" x14ac:dyDescent="0.3">
      <c r="D110" s="1128"/>
      <c r="I110" s="759"/>
      <c r="J110" s="759"/>
      <c r="K110" s="759"/>
      <c r="L110" s="759"/>
      <c r="M110" s="759"/>
      <c r="N110" s="759"/>
      <c r="O110" s="759"/>
      <c r="P110" s="759"/>
      <c r="Q110" s="1130"/>
      <c r="R110" s="759"/>
      <c r="S110" s="759"/>
      <c r="T110" s="759"/>
      <c r="U110" s="759"/>
      <c r="V110" s="759"/>
      <c r="W110" s="759"/>
      <c r="X110" s="759"/>
      <c r="Y110" s="759"/>
      <c r="Z110" s="759"/>
    </row>
    <row r="111" spans="1:32" x14ac:dyDescent="0.3">
      <c r="D111" s="1131" t="s">
        <v>103</v>
      </c>
      <c r="I111" s="759"/>
      <c r="J111" s="759"/>
      <c r="K111" s="759"/>
      <c r="L111" s="1129">
        <f>AVERAGE(K112:L112)</f>
        <v>0.44895606834367296</v>
      </c>
      <c r="M111" s="1129">
        <f t="shared" ref="M111:P111" si="204">AVERAGE(L112:M112)</f>
        <v>0.50033663149075369</v>
      </c>
      <c r="N111" s="1129">
        <f t="shared" si="204"/>
        <v>0.54274035488439831</v>
      </c>
      <c r="O111" s="1129">
        <f t="shared" si="204"/>
        <v>0.59119678000005238</v>
      </c>
      <c r="P111" s="1129">
        <f t="shared" si="204"/>
        <v>0.70225293495710972</v>
      </c>
      <c r="Q111" s="759"/>
      <c r="R111" s="759"/>
      <c r="S111" s="759"/>
      <c r="T111" s="759"/>
      <c r="U111" s="759"/>
      <c r="V111" s="759"/>
      <c r="W111" s="759"/>
      <c r="X111" s="759"/>
      <c r="Y111" s="759"/>
      <c r="Z111" s="759"/>
    </row>
    <row r="112" spans="1:32" x14ac:dyDescent="0.3">
      <c r="D112" s="1128" t="s">
        <v>88</v>
      </c>
      <c r="E112" s="1132">
        <f t="shared" ref="E112:T112" si="205">$M$96/E79</f>
        <v>0.15073111372658513</v>
      </c>
      <c r="F112" s="1132">
        <f t="shared" si="205"/>
        <v>0.17431651339543972</v>
      </c>
      <c r="G112" s="1132">
        <f t="shared" si="205"/>
        <v>0.19084511959145403</v>
      </c>
      <c r="H112" s="1132">
        <f t="shared" si="205"/>
        <v>0.25823001655728228</v>
      </c>
      <c r="I112" s="1132">
        <f t="shared" si="205"/>
        <v>0.3104016637076345</v>
      </c>
      <c r="J112" s="1132">
        <f t="shared" si="205"/>
        <v>0.30060693410999589</v>
      </c>
      <c r="K112" s="1132">
        <f t="shared" si="205"/>
        <v>0.41298824033992276</v>
      </c>
      <c r="L112" s="1132">
        <f t="shared" si="205"/>
        <v>0.48492389634742322</v>
      </c>
      <c r="M112" s="1132">
        <f t="shared" si="205"/>
        <v>0.51574936663408422</v>
      </c>
      <c r="N112" s="1132">
        <f t="shared" si="205"/>
        <v>0.56973134313471252</v>
      </c>
      <c r="O112" s="1132">
        <f t="shared" si="205"/>
        <v>0.61266221686539235</v>
      </c>
      <c r="P112" s="1132">
        <f t="shared" si="205"/>
        <v>0.79184365304882709</v>
      </c>
      <c r="Q112" s="1132">
        <f t="shared" si="205"/>
        <v>0.94442680119462274</v>
      </c>
      <c r="R112" s="1132">
        <f t="shared" si="205"/>
        <v>1.1394072355180431</v>
      </c>
      <c r="S112" s="1132">
        <f t="shared" si="205"/>
        <v>1.3952486450294266</v>
      </c>
      <c r="T112" s="1132">
        <f t="shared" si="205"/>
        <v>1.7428688140497097</v>
      </c>
      <c r="U112" s="1132"/>
      <c r="V112" s="1132"/>
      <c r="W112" s="1132"/>
      <c r="X112" s="1132"/>
      <c r="Y112" s="1132"/>
      <c r="Z112" s="1132"/>
    </row>
    <row r="113" spans="4:26" x14ac:dyDescent="0.3">
      <c r="D113" s="1133" t="s">
        <v>89</v>
      </c>
      <c r="E113" s="1134">
        <f t="shared" ref="E113:T113" si="206">E112*$E$109</f>
        <v>0.18866151993939601</v>
      </c>
      <c r="F113" s="1134">
        <f t="shared" si="206"/>
        <v>0.21818201666959053</v>
      </c>
      <c r="G113" s="1134">
        <f t="shared" si="206"/>
        <v>0.23886992834439022</v>
      </c>
      <c r="H113" s="1134">
        <f t="shared" si="206"/>
        <v>0.32321175245903894</v>
      </c>
      <c r="I113" s="1134">
        <f t="shared" si="206"/>
        <v>0.38851202130055607</v>
      </c>
      <c r="J113" s="1134">
        <f t="shared" si="206"/>
        <v>0.37625251808585936</v>
      </c>
      <c r="K113" s="1134">
        <f t="shared" si="206"/>
        <v>0.51691377588411058</v>
      </c>
      <c r="L113" s="1134">
        <f t="shared" si="206"/>
        <v>0.60695152499031202</v>
      </c>
      <c r="M113" s="1134">
        <f t="shared" si="206"/>
        <v>0.6455340043029586</v>
      </c>
      <c r="N113" s="1134">
        <f t="shared" si="206"/>
        <v>0.71310015892193712</v>
      </c>
      <c r="O113" s="1134">
        <f t="shared" si="206"/>
        <v>0.76683427983507557</v>
      </c>
      <c r="P113" s="1134">
        <f t="shared" si="206"/>
        <v>0.99110544230130504</v>
      </c>
      <c r="Q113" s="1134">
        <f t="shared" si="206"/>
        <v>1.1820850478692737</v>
      </c>
      <c r="R113" s="1134">
        <f t="shared" si="206"/>
        <v>1.4261309133076849</v>
      </c>
      <c r="S113" s="1134">
        <f t="shared" si="206"/>
        <v>1.7463529828494024</v>
      </c>
      <c r="T113" s="1134">
        <f t="shared" si="206"/>
        <v>2.1814492800075205</v>
      </c>
      <c r="U113" s="1134"/>
      <c r="V113" s="1134"/>
      <c r="W113" s="1134"/>
      <c r="X113" s="1134"/>
      <c r="Y113" s="1134"/>
      <c r="Z113" s="1134"/>
    </row>
    <row r="114" spans="4:26" x14ac:dyDescent="0.3">
      <c r="D114" s="1133"/>
      <c r="E114" s="1135">
        <f t="shared" ref="E114:T114" si="207">1/E79</f>
        <v>9.8904930266788139E-3</v>
      </c>
      <c r="F114" s="1135">
        <f t="shared" si="207"/>
        <v>1.1438091430146962E-2</v>
      </c>
      <c r="G114" s="1135">
        <f t="shared" si="207"/>
        <v>1.252264564248386E-2</v>
      </c>
      <c r="H114" s="1135">
        <f t="shared" si="207"/>
        <v>1.6944226808220619E-2</v>
      </c>
      <c r="I114" s="1135">
        <f t="shared" si="207"/>
        <v>2.036756323540909E-2</v>
      </c>
      <c r="J114" s="1135">
        <f t="shared" si="207"/>
        <v>1.9724864442913118E-2</v>
      </c>
      <c r="K114" s="1135">
        <f t="shared" si="207"/>
        <v>2.7098965901569735E-2</v>
      </c>
      <c r="L114" s="1135">
        <f t="shared" si="207"/>
        <v>3.1819153303636695E-2</v>
      </c>
      <c r="M114" s="1135">
        <f t="shared" si="207"/>
        <v>3.384182195761707E-2</v>
      </c>
      <c r="N114" s="1135">
        <f t="shared" si="207"/>
        <v>3.7383946399915519E-2</v>
      </c>
      <c r="O114" s="1135">
        <f t="shared" si="207"/>
        <v>4.0200932865183225E-2</v>
      </c>
      <c r="P114" s="1135">
        <f t="shared" si="207"/>
        <v>5.1958244950710435E-2</v>
      </c>
      <c r="Q114" s="1135">
        <f t="shared" si="207"/>
        <v>6.1970262545578914E-2</v>
      </c>
      <c r="R114" s="1135">
        <f t="shared" si="207"/>
        <v>7.476425429908419E-2</v>
      </c>
      <c r="S114" s="1135">
        <f t="shared" si="207"/>
        <v>9.1551748361510921E-2</v>
      </c>
      <c r="T114" s="1135">
        <f t="shared" si="207"/>
        <v>0.11436147073816993</v>
      </c>
      <c r="U114" s="759"/>
      <c r="V114" s="759"/>
      <c r="W114" s="759"/>
      <c r="X114" s="759"/>
      <c r="Y114" s="759"/>
      <c r="Z114" s="759"/>
    </row>
    <row r="115" spans="4:26" x14ac:dyDescent="0.3">
      <c r="D115" s="1133"/>
      <c r="E115" s="1135"/>
      <c r="F115" s="908">
        <v>2015</v>
      </c>
      <c r="G115" s="908">
        <f>+F115+1</f>
        <v>2016</v>
      </c>
      <c r="H115" s="908">
        <f t="shared" ref="H115:T115" si="208">+G115+1</f>
        <v>2017</v>
      </c>
      <c r="I115" s="908">
        <f t="shared" si="208"/>
        <v>2018</v>
      </c>
      <c r="J115" s="908">
        <f t="shared" si="208"/>
        <v>2019</v>
      </c>
      <c r="K115" s="908">
        <f t="shared" si="208"/>
        <v>2020</v>
      </c>
      <c r="L115" s="908">
        <f t="shared" si="208"/>
        <v>2021</v>
      </c>
      <c r="M115" s="908">
        <f t="shared" si="208"/>
        <v>2022</v>
      </c>
      <c r="N115" s="908">
        <f t="shared" si="208"/>
        <v>2023</v>
      </c>
      <c r="O115" s="908">
        <f t="shared" si="208"/>
        <v>2024</v>
      </c>
      <c r="P115" s="908">
        <f t="shared" si="208"/>
        <v>2025</v>
      </c>
      <c r="Q115" s="908">
        <f t="shared" si="208"/>
        <v>2026</v>
      </c>
      <c r="R115" s="908">
        <f t="shared" si="208"/>
        <v>2027</v>
      </c>
      <c r="S115" s="908">
        <f t="shared" si="208"/>
        <v>2028</v>
      </c>
      <c r="T115" s="908">
        <f t="shared" si="208"/>
        <v>2029</v>
      </c>
      <c r="U115" s="759"/>
      <c r="V115" s="759"/>
      <c r="W115" s="759"/>
      <c r="X115" s="759"/>
      <c r="Y115" s="759"/>
      <c r="Z115" s="759"/>
    </row>
    <row r="116" spans="4:26" x14ac:dyDescent="0.3">
      <c r="D116" s="1133" t="s">
        <v>104</v>
      </c>
      <c r="U116" s="1132"/>
      <c r="V116" s="1132"/>
      <c r="W116" s="1132"/>
      <c r="X116" s="1132"/>
      <c r="Y116" s="1132"/>
      <c r="Z116" s="1132"/>
    </row>
    <row r="117" spans="4:26" ht="14.5" thickBot="1" x14ac:dyDescent="0.35">
      <c r="D117" s="1128" t="s">
        <v>88</v>
      </c>
      <c r="E117" s="1137"/>
      <c r="F117" s="1132">
        <f t="shared" ref="F117:T117" si="209">AVERAGE(E112:F112)</f>
        <v>0.16252381356101242</v>
      </c>
      <c r="G117" s="1132">
        <f t="shared" si="209"/>
        <v>0.18258081649344687</v>
      </c>
      <c r="H117" s="1132">
        <f t="shared" si="209"/>
        <v>0.22453756807436814</v>
      </c>
      <c r="I117" s="1132">
        <f t="shared" si="209"/>
        <v>0.28431584013245836</v>
      </c>
      <c r="J117" s="1132">
        <f t="shared" si="209"/>
        <v>0.3055042989088152</v>
      </c>
      <c r="K117" s="1132">
        <f t="shared" si="209"/>
        <v>0.35679758722495936</v>
      </c>
      <c r="L117" s="1132">
        <f t="shared" si="209"/>
        <v>0.44895606834367296</v>
      </c>
      <c r="M117" s="1132">
        <f t="shared" si="209"/>
        <v>0.50033663149075369</v>
      </c>
      <c r="N117" s="1132">
        <f t="shared" si="209"/>
        <v>0.54274035488439831</v>
      </c>
      <c r="O117" s="1132">
        <f t="shared" si="209"/>
        <v>0.59119678000005238</v>
      </c>
      <c r="P117" s="1132">
        <f t="shared" si="209"/>
        <v>0.70225293495710972</v>
      </c>
      <c r="Q117" s="1132">
        <f t="shared" si="209"/>
        <v>0.86813522712172486</v>
      </c>
      <c r="R117" s="1132">
        <f t="shared" si="209"/>
        <v>1.0419170183563329</v>
      </c>
      <c r="S117" s="1132">
        <f t="shared" si="209"/>
        <v>1.2673279402737347</v>
      </c>
      <c r="T117" s="1132">
        <f t="shared" si="209"/>
        <v>1.5690587295395682</v>
      </c>
      <c r="U117" s="759"/>
      <c r="V117" s="759"/>
      <c r="W117" s="759"/>
      <c r="X117" s="759"/>
      <c r="Y117" s="759"/>
      <c r="Z117" s="759"/>
    </row>
    <row r="118" spans="4:26" x14ac:dyDescent="0.3">
      <c r="D118" s="1133" t="s">
        <v>89</v>
      </c>
      <c r="F118" s="1132">
        <f t="shared" ref="F118:T118" si="210">AVERAGE(E113:F113)</f>
        <v>0.20342176830449327</v>
      </c>
      <c r="G118" s="1132">
        <f t="shared" si="210"/>
        <v>0.22852597250699036</v>
      </c>
      <c r="H118" s="1132">
        <f t="shared" si="210"/>
        <v>0.28104084040171456</v>
      </c>
      <c r="I118" s="1132">
        <f t="shared" si="210"/>
        <v>0.35586188687979747</v>
      </c>
      <c r="J118" s="1132">
        <f t="shared" si="210"/>
        <v>0.38238226969320771</v>
      </c>
      <c r="K118" s="1132">
        <f t="shared" si="210"/>
        <v>0.44658314698498497</v>
      </c>
      <c r="L118" s="1132">
        <f t="shared" si="210"/>
        <v>0.5619326504372113</v>
      </c>
      <c r="M118" s="1132">
        <f t="shared" si="210"/>
        <v>0.62624276464663531</v>
      </c>
      <c r="N118" s="1132">
        <f t="shared" si="210"/>
        <v>0.67931708161244786</v>
      </c>
      <c r="O118" s="1132">
        <f t="shared" si="210"/>
        <v>0.73996721937850629</v>
      </c>
      <c r="P118" s="1132">
        <f t="shared" si="210"/>
        <v>0.87896986106819031</v>
      </c>
      <c r="Q118" s="1132">
        <f t="shared" si="210"/>
        <v>1.0865952450852894</v>
      </c>
      <c r="R118" s="1132">
        <f t="shared" si="210"/>
        <v>1.3041079805884794</v>
      </c>
      <c r="S118" s="1132">
        <f t="shared" si="210"/>
        <v>1.5862419480785437</v>
      </c>
      <c r="T118" s="1132">
        <f t="shared" si="210"/>
        <v>1.9639011314284613</v>
      </c>
    </row>
    <row r="123" spans="4:26" x14ac:dyDescent="0.3">
      <c r="R123" s="1372"/>
    </row>
  </sheetData>
  <pageMargins left="0.3" right="0.3" top="0.3" bottom="0.3" header="0.3" footer="0.3"/>
  <pageSetup scale="48" fitToHeight="0" orientation="portrait" r:id="rId1"/>
  <headerFooter>
    <oddFooter>Page &amp;P&amp;R</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F118"/>
  <sheetViews>
    <sheetView tabSelected="1" view="pageBreakPreview" zoomScale="55" zoomScaleNormal="75" zoomScaleSheetLayoutView="55" workbookViewId="0">
      <pane xSplit="1" ySplit="6" topLeftCell="B81" activePane="bottomRight" state="frozen"/>
      <selection pane="topRight" activeCell="M91" sqref="M91"/>
      <selection pane="bottomLeft" activeCell="M91" sqref="M91"/>
      <selection pane="bottomRight" activeCell="X93" sqref="X93"/>
    </sheetView>
  </sheetViews>
  <sheetFormatPr defaultRowHeight="14" outlineLevelRow="1" outlineLevelCol="1" x14ac:dyDescent="0.3"/>
  <cols>
    <col min="1" max="1" width="16.81640625" style="756" customWidth="1"/>
    <col min="2" max="2" width="3.7265625" style="756" customWidth="1"/>
    <col min="3" max="3" width="10.54296875" style="756" hidden="1" customWidth="1" outlineLevel="1"/>
    <col min="4" max="4" width="8.81640625" style="756" hidden="1" customWidth="1" outlineLevel="1"/>
    <col min="5" max="5" width="9.26953125" style="756" hidden="1" customWidth="1" outlineLevel="1"/>
    <col min="6" max="8" width="10.26953125" style="756" hidden="1" customWidth="1" outlineLevel="1"/>
    <col min="9" max="9" width="10.26953125" style="756" customWidth="1" collapsed="1"/>
    <col min="10" max="23" width="10.26953125" style="756" customWidth="1"/>
    <col min="24" max="24" width="11.1796875" style="756" bestFit="1" customWidth="1"/>
    <col min="25" max="26" width="11.1796875" style="756" customWidth="1"/>
    <col min="27" max="27" width="45.1796875" style="756" customWidth="1"/>
    <col min="28" max="28" width="13.26953125" style="756" bestFit="1" customWidth="1"/>
    <col min="29" max="29" width="12.81640625" style="756" bestFit="1" customWidth="1"/>
    <col min="30" max="30" width="13.26953125" style="756" bestFit="1" customWidth="1"/>
    <col min="31" max="31" width="15.453125" style="756" bestFit="1" customWidth="1"/>
    <col min="32" max="32" width="15.7265625" style="756" bestFit="1" customWidth="1"/>
    <col min="33" max="35" width="8.7265625" style="756" customWidth="1"/>
    <col min="36" max="270" width="9.1796875" style="756"/>
    <col min="271" max="271" width="34.453125" style="756" customWidth="1"/>
    <col min="272" max="272" width="4.1796875" style="756" customWidth="1"/>
    <col min="273" max="273" width="8.54296875" style="756" customWidth="1"/>
    <col min="274" max="274" width="9.1796875" style="756"/>
    <col min="275" max="275" width="8.453125" style="756" bestFit="1" customWidth="1"/>
    <col min="276" max="286" width="9.1796875" style="756"/>
    <col min="287" max="287" width="16" style="756" customWidth="1"/>
    <col min="288" max="526" width="9.1796875" style="756"/>
    <col min="527" max="527" width="34.453125" style="756" customWidth="1"/>
    <col min="528" max="528" width="4.1796875" style="756" customWidth="1"/>
    <col min="529" max="529" width="8.54296875" style="756" customWidth="1"/>
    <col min="530" max="530" width="9.1796875" style="756"/>
    <col min="531" max="531" width="8.453125" style="756" bestFit="1" customWidth="1"/>
    <col min="532" max="542" width="9.1796875" style="756"/>
    <col min="543" max="543" width="16" style="756" customWidth="1"/>
    <col min="544" max="782" width="9.1796875" style="756"/>
    <col min="783" max="783" width="34.453125" style="756" customWidth="1"/>
    <col min="784" max="784" width="4.1796875" style="756" customWidth="1"/>
    <col min="785" max="785" width="8.54296875" style="756" customWidth="1"/>
    <col min="786" max="786" width="9.1796875" style="756"/>
    <col min="787" max="787" width="8.453125" style="756" bestFit="1" customWidth="1"/>
    <col min="788" max="798" width="9.1796875" style="756"/>
    <col min="799" max="799" width="16" style="756" customWidth="1"/>
    <col min="800" max="1038" width="9.1796875" style="756"/>
    <col min="1039" max="1039" width="34.453125" style="756" customWidth="1"/>
    <col min="1040" max="1040" width="4.1796875" style="756" customWidth="1"/>
    <col min="1041" max="1041" width="8.54296875" style="756" customWidth="1"/>
    <col min="1042" max="1042" width="9.1796875" style="756"/>
    <col min="1043" max="1043" width="8.453125" style="756" bestFit="1" customWidth="1"/>
    <col min="1044" max="1054" width="9.1796875" style="756"/>
    <col min="1055" max="1055" width="16" style="756" customWidth="1"/>
    <col min="1056" max="1294" width="9.1796875" style="756"/>
    <col min="1295" max="1295" width="34.453125" style="756" customWidth="1"/>
    <col min="1296" max="1296" width="4.1796875" style="756" customWidth="1"/>
    <col min="1297" max="1297" width="8.54296875" style="756" customWidth="1"/>
    <col min="1298" max="1298" width="9.1796875" style="756"/>
    <col min="1299" max="1299" width="8.453125" style="756" bestFit="1" customWidth="1"/>
    <col min="1300" max="1310" width="9.1796875" style="756"/>
    <col min="1311" max="1311" width="16" style="756" customWidth="1"/>
    <col min="1312" max="1550" width="9.1796875" style="756"/>
    <col min="1551" max="1551" width="34.453125" style="756" customWidth="1"/>
    <col min="1552" max="1552" width="4.1796875" style="756" customWidth="1"/>
    <col min="1553" max="1553" width="8.54296875" style="756" customWidth="1"/>
    <col min="1554" max="1554" width="9.1796875" style="756"/>
    <col min="1555" max="1555" width="8.453125" style="756" bestFit="1" customWidth="1"/>
    <col min="1556" max="1566" width="9.1796875" style="756"/>
    <col min="1567" max="1567" width="16" style="756" customWidth="1"/>
    <col min="1568" max="1806" width="9.1796875" style="756"/>
    <col min="1807" max="1807" width="34.453125" style="756" customWidth="1"/>
    <col min="1808" max="1808" width="4.1796875" style="756" customWidth="1"/>
    <col min="1809" max="1809" width="8.54296875" style="756" customWidth="1"/>
    <col min="1810" max="1810" width="9.1796875" style="756"/>
    <col min="1811" max="1811" width="8.453125" style="756" bestFit="1" customWidth="1"/>
    <col min="1812" max="1822" width="9.1796875" style="756"/>
    <col min="1823" max="1823" width="16" style="756" customWidth="1"/>
    <col min="1824" max="2062" width="9.1796875" style="756"/>
    <col min="2063" max="2063" width="34.453125" style="756" customWidth="1"/>
    <col min="2064" max="2064" width="4.1796875" style="756" customWidth="1"/>
    <col min="2065" max="2065" width="8.54296875" style="756" customWidth="1"/>
    <col min="2066" max="2066" width="9.1796875" style="756"/>
    <col min="2067" max="2067" width="8.453125" style="756" bestFit="1" customWidth="1"/>
    <col min="2068" max="2078" width="9.1796875" style="756"/>
    <col min="2079" max="2079" width="16" style="756" customWidth="1"/>
    <col min="2080" max="2318" width="9.1796875" style="756"/>
    <col min="2319" max="2319" width="34.453125" style="756" customWidth="1"/>
    <col min="2320" max="2320" width="4.1796875" style="756" customWidth="1"/>
    <col min="2321" max="2321" width="8.54296875" style="756" customWidth="1"/>
    <col min="2322" max="2322" width="9.1796875" style="756"/>
    <col min="2323" max="2323" width="8.453125" style="756" bestFit="1" customWidth="1"/>
    <col min="2324" max="2334" width="9.1796875" style="756"/>
    <col min="2335" max="2335" width="16" style="756" customWidth="1"/>
    <col min="2336" max="2574" width="9.1796875" style="756"/>
    <col min="2575" max="2575" width="34.453125" style="756" customWidth="1"/>
    <col min="2576" max="2576" width="4.1796875" style="756" customWidth="1"/>
    <col min="2577" max="2577" width="8.54296875" style="756" customWidth="1"/>
    <col min="2578" max="2578" width="9.1796875" style="756"/>
    <col min="2579" max="2579" width="8.453125" style="756" bestFit="1" customWidth="1"/>
    <col min="2580" max="2590" width="9.1796875" style="756"/>
    <col min="2591" max="2591" width="16" style="756" customWidth="1"/>
    <col min="2592" max="2830" width="9.1796875" style="756"/>
    <col min="2831" max="2831" width="34.453125" style="756" customWidth="1"/>
    <col min="2832" max="2832" width="4.1796875" style="756" customWidth="1"/>
    <col min="2833" max="2833" width="8.54296875" style="756" customWidth="1"/>
    <col min="2834" max="2834" width="9.1796875" style="756"/>
    <col min="2835" max="2835" width="8.453125" style="756" bestFit="1" customWidth="1"/>
    <col min="2836" max="2846" width="9.1796875" style="756"/>
    <col min="2847" max="2847" width="16" style="756" customWidth="1"/>
    <col min="2848" max="3086" width="9.1796875" style="756"/>
    <col min="3087" max="3087" width="34.453125" style="756" customWidth="1"/>
    <col min="3088" max="3088" width="4.1796875" style="756" customWidth="1"/>
    <col min="3089" max="3089" width="8.54296875" style="756" customWidth="1"/>
    <col min="3090" max="3090" width="9.1796875" style="756"/>
    <col min="3091" max="3091" width="8.453125" style="756" bestFit="1" customWidth="1"/>
    <col min="3092" max="3102" width="9.1796875" style="756"/>
    <col min="3103" max="3103" width="16" style="756" customWidth="1"/>
    <col min="3104" max="3342" width="9.1796875" style="756"/>
    <col min="3343" max="3343" width="34.453125" style="756" customWidth="1"/>
    <col min="3344" max="3344" width="4.1796875" style="756" customWidth="1"/>
    <col min="3345" max="3345" width="8.54296875" style="756" customWidth="1"/>
    <col min="3346" max="3346" width="9.1796875" style="756"/>
    <col min="3347" max="3347" width="8.453125" style="756" bestFit="1" customWidth="1"/>
    <col min="3348" max="3358" width="9.1796875" style="756"/>
    <col min="3359" max="3359" width="16" style="756" customWidth="1"/>
    <col min="3360" max="3598" width="9.1796875" style="756"/>
    <col min="3599" max="3599" width="34.453125" style="756" customWidth="1"/>
    <col min="3600" max="3600" width="4.1796875" style="756" customWidth="1"/>
    <col min="3601" max="3601" width="8.54296875" style="756" customWidth="1"/>
    <col min="3602" max="3602" width="9.1796875" style="756"/>
    <col min="3603" max="3603" width="8.453125" style="756" bestFit="1" customWidth="1"/>
    <col min="3604" max="3614" width="9.1796875" style="756"/>
    <col min="3615" max="3615" width="16" style="756" customWidth="1"/>
    <col min="3616" max="3854" width="9.1796875" style="756"/>
    <col min="3855" max="3855" width="34.453125" style="756" customWidth="1"/>
    <col min="3856" max="3856" width="4.1796875" style="756" customWidth="1"/>
    <col min="3857" max="3857" width="8.54296875" style="756" customWidth="1"/>
    <col min="3858" max="3858" width="9.1796875" style="756"/>
    <col min="3859" max="3859" width="8.453125" style="756" bestFit="1" customWidth="1"/>
    <col min="3860" max="3870" width="9.1796875" style="756"/>
    <col min="3871" max="3871" width="16" style="756" customWidth="1"/>
    <col min="3872" max="4110" width="9.1796875" style="756"/>
    <col min="4111" max="4111" width="34.453125" style="756" customWidth="1"/>
    <col min="4112" max="4112" width="4.1796875" style="756" customWidth="1"/>
    <col min="4113" max="4113" width="8.54296875" style="756" customWidth="1"/>
    <col min="4114" max="4114" width="9.1796875" style="756"/>
    <col min="4115" max="4115" width="8.453125" style="756" bestFit="1" customWidth="1"/>
    <col min="4116" max="4126" width="9.1796875" style="756"/>
    <col min="4127" max="4127" width="16" style="756" customWidth="1"/>
    <col min="4128" max="4366" width="9.1796875" style="756"/>
    <col min="4367" max="4367" width="34.453125" style="756" customWidth="1"/>
    <col min="4368" max="4368" width="4.1796875" style="756" customWidth="1"/>
    <col min="4369" max="4369" width="8.54296875" style="756" customWidth="1"/>
    <col min="4370" max="4370" width="9.1796875" style="756"/>
    <col min="4371" max="4371" width="8.453125" style="756" bestFit="1" customWidth="1"/>
    <col min="4372" max="4382" width="9.1796875" style="756"/>
    <col min="4383" max="4383" width="16" style="756" customWidth="1"/>
    <col min="4384" max="4622" width="9.1796875" style="756"/>
    <col min="4623" max="4623" width="34.453125" style="756" customWidth="1"/>
    <col min="4624" max="4624" width="4.1796875" style="756" customWidth="1"/>
    <col min="4625" max="4625" width="8.54296875" style="756" customWidth="1"/>
    <col min="4626" max="4626" width="9.1796875" style="756"/>
    <col min="4627" max="4627" width="8.453125" style="756" bestFit="1" customWidth="1"/>
    <col min="4628" max="4638" width="9.1796875" style="756"/>
    <col min="4639" max="4639" width="16" style="756" customWidth="1"/>
    <col min="4640" max="4878" width="9.1796875" style="756"/>
    <col min="4879" max="4879" width="34.453125" style="756" customWidth="1"/>
    <col min="4880" max="4880" width="4.1796875" style="756" customWidth="1"/>
    <col min="4881" max="4881" width="8.54296875" style="756" customWidth="1"/>
    <col min="4882" max="4882" width="9.1796875" style="756"/>
    <col min="4883" max="4883" width="8.453125" style="756" bestFit="1" customWidth="1"/>
    <col min="4884" max="4894" width="9.1796875" style="756"/>
    <col min="4895" max="4895" width="16" style="756" customWidth="1"/>
    <col min="4896" max="5134" width="9.1796875" style="756"/>
    <col min="5135" max="5135" width="34.453125" style="756" customWidth="1"/>
    <col min="5136" max="5136" width="4.1796875" style="756" customWidth="1"/>
    <col min="5137" max="5137" width="8.54296875" style="756" customWidth="1"/>
    <col min="5138" max="5138" width="9.1796875" style="756"/>
    <col min="5139" max="5139" width="8.453125" style="756" bestFit="1" customWidth="1"/>
    <col min="5140" max="5150" width="9.1796875" style="756"/>
    <col min="5151" max="5151" width="16" style="756" customWidth="1"/>
    <col min="5152" max="5390" width="9.1796875" style="756"/>
    <col min="5391" max="5391" width="34.453125" style="756" customWidth="1"/>
    <col min="5392" max="5392" width="4.1796875" style="756" customWidth="1"/>
    <col min="5393" max="5393" width="8.54296875" style="756" customWidth="1"/>
    <col min="5394" max="5394" width="9.1796875" style="756"/>
    <col min="5395" max="5395" width="8.453125" style="756" bestFit="1" customWidth="1"/>
    <col min="5396" max="5406" width="9.1796875" style="756"/>
    <col min="5407" max="5407" width="16" style="756" customWidth="1"/>
    <col min="5408" max="5646" width="9.1796875" style="756"/>
    <col min="5647" max="5647" width="34.453125" style="756" customWidth="1"/>
    <col min="5648" max="5648" width="4.1796875" style="756" customWidth="1"/>
    <col min="5649" max="5649" width="8.54296875" style="756" customWidth="1"/>
    <col min="5650" max="5650" width="9.1796875" style="756"/>
    <col min="5651" max="5651" width="8.453125" style="756" bestFit="1" customWidth="1"/>
    <col min="5652" max="5662" width="9.1796875" style="756"/>
    <col min="5663" max="5663" width="16" style="756" customWidth="1"/>
    <col min="5664" max="5902" width="9.1796875" style="756"/>
    <col min="5903" max="5903" width="34.453125" style="756" customWidth="1"/>
    <col min="5904" max="5904" width="4.1796875" style="756" customWidth="1"/>
    <col min="5905" max="5905" width="8.54296875" style="756" customWidth="1"/>
    <col min="5906" max="5906" width="9.1796875" style="756"/>
    <col min="5907" max="5907" width="8.453125" style="756" bestFit="1" customWidth="1"/>
    <col min="5908" max="5918" width="9.1796875" style="756"/>
    <col min="5919" max="5919" width="16" style="756" customWidth="1"/>
    <col min="5920" max="6158" width="9.1796875" style="756"/>
    <col min="6159" max="6159" width="34.453125" style="756" customWidth="1"/>
    <col min="6160" max="6160" width="4.1796875" style="756" customWidth="1"/>
    <col min="6161" max="6161" width="8.54296875" style="756" customWidth="1"/>
    <col min="6162" max="6162" width="9.1796875" style="756"/>
    <col min="6163" max="6163" width="8.453125" style="756" bestFit="1" customWidth="1"/>
    <col min="6164" max="6174" width="9.1796875" style="756"/>
    <col min="6175" max="6175" width="16" style="756" customWidth="1"/>
    <col min="6176" max="6414" width="9.1796875" style="756"/>
    <col min="6415" max="6415" width="34.453125" style="756" customWidth="1"/>
    <col min="6416" max="6416" width="4.1796875" style="756" customWidth="1"/>
    <col min="6417" max="6417" width="8.54296875" style="756" customWidth="1"/>
    <col min="6418" max="6418" width="9.1796875" style="756"/>
    <col min="6419" max="6419" width="8.453125" style="756" bestFit="1" customWidth="1"/>
    <col min="6420" max="6430" width="9.1796875" style="756"/>
    <col min="6431" max="6431" width="16" style="756" customWidth="1"/>
    <col min="6432" max="6670" width="9.1796875" style="756"/>
    <col min="6671" max="6671" width="34.453125" style="756" customWidth="1"/>
    <col min="6672" max="6672" width="4.1796875" style="756" customWidth="1"/>
    <col min="6673" max="6673" width="8.54296875" style="756" customWidth="1"/>
    <col min="6674" max="6674" width="9.1796875" style="756"/>
    <col min="6675" max="6675" width="8.453125" style="756" bestFit="1" customWidth="1"/>
    <col min="6676" max="6686" width="9.1796875" style="756"/>
    <col min="6687" max="6687" width="16" style="756" customWidth="1"/>
    <col min="6688" max="6926" width="9.1796875" style="756"/>
    <col min="6927" max="6927" width="34.453125" style="756" customWidth="1"/>
    <col min="6928" max="6928" width="4.1796875" style="756" customWidth="1"/>
    <col min="6929" max="6929" width="8.54296875" style="756" customWidth="1"/>
    <col min="6930" max="6930" width="9.1796875" style="756"/>
    <col min="6931" max="6931" width="8.453125" style="756" bestFit="1" customWidth="1"/>
    <col min="6932" max="6942" width="9.1796875" style="756"/>
    <col min="6943" max="6943" width="16" style="756" customWidth="1"/>
    <col min="6944" max="7182" width="9.1796875" style="756"/>
    <col min="7183" max="7183" width="34.453125" style="756" customWidth="1"/>
    <col min="7184" max="7184" width="4.1796875" style="756" customWidth="1"/>
    <col min="7185" max="7185" width="8.54296875" style="756" customWidth="1"/>
    <col min="7186" max="7186" width="9.1796875" style="756"/>
    <col min="7187" max="7187" width="8.453125" style="756" bestFit="1" customWidth="1"/>
    <col min="7188" max="7198" width="9.1796875" style="756"/>
    <col min="7199" max="7199" width="16" style="756" customWidth="1"/>
    <col min="7200" max="7438" width="9.1796875" style="756"/>
    <col min="7439" max="7439" width="34.453125" style="756" customWidth="1"/>
    <col min="7440" max="7440" width="4.1796875" style="756" customWidth="1"/>
    <col min="7441" max="7441" width="8.54296875" style="756" customWidth="1"/>
    <col min="7442" max="7442" width="9.1796875" style="756"/>
    <col min="7443" max="7443" width="8.453125" style="756" bestFit="1" customWidth="1"/>
    <col min="7444" max="7454" width="9.1796875" style="756"/>
    <col min="7455" max="7455" width="16" style="756" customWidth="1"/>
    <col min="7456" max="7694" width="9.1796875" style="756"/>
    <col min="7695" max="7695" width="34.453125" style="756" customWidth="1"/>
    <col min="7696" max="7696" width="4.1796875" style="756" customWidth="1"/>
    <col min="7697" max="7697" width="8.54296875" style="756" customWidth="1"/>
    <col min="7698" max="7698" width="9.1796875" style="756"/>
    <col min="7699" max="7699" width="8.453125" style="756" bestFit="1" customWidth="1"/>
    <col min="7700" max="7710" width="9.1796875" style="756"/>
    <col min="7711" max="7711" width="16" style="756" customWidth="1"/>
    <col min="7712" max="7950" width="9.1796875" style="756"/>
    <col min="7951" max="7951" width="34.453125" style="756" customWidth="1"/>
    <col min="7952" max="7952" width="4.1796875" style="756" customWidth="1"/>
    <col min="7953" max="7953" width="8.54296875" style="756" customWidth="1"/>
    <col min="7954" max="7954" width="9.1796875" style="756"/>
    <col min="7955" max="7955" width="8.453125" style="756" bestFit="1" customWidth="1"/>
    <col min="7956" max="7966" width="9.1796875" style="756"/>
    <col min="7967" max="7967" width="16" style="756" customWidth="1"/>
    <col min="7968" max="8206" width="9.1796875" style="756"/>
    <col min="8207" max="8207" width="34.453125" style="756" customWidth="1"/>
    <col min="8208" max="8208" width="4.1796875" style="756" customWidth="1"/>
    <col min="8209" max="8209" width="8.54296875" style="756" customWidth="1"/>
    <col min="8210" max="8210" width="9.1796875" style="756"/>
    <col min="8211" max="8211" width="8.453125" style="756" bestFit="1" customWidth="1"/>
    <col min="8212" max="8222" width="9.1796875" style="756"/>
    <col min="8223" max="8223" width="16" style="756" customWidth="1"/>
    <col min="8224" max="8462" width="9.1796875" style="756"/>
    <col min="8463" max="8463" width="34.453125" style="756" customWidth="1"/>
    <col min="8464" max="8464" width="4.1796875" style="756" customWidth="1"/>
    <col min="8465" max="8465" width="8.54296875" style="756" customWidth="1"/>
    <col min="8466" max="8466" width="9.1796875" style="756"/>
    <col min="8467" max="8467" width="8.453125" style="756" bestFit="1" customWidth="1"/>
    <col min="8468" max="8478" width="9.1796875" style="756"/>
    <col min="8479" max="8479" width="16" style="756" customWidth="1"/>
    <col min="8480" max="8718" width="9.1796875" style="756"/>
    <col min="8719" max="8719" width="34.453125" style="756" customWidth="1"/>
    <col min="8720" max="8720" width="4.1796875" style="756" customWidth="1"/>
    <col min="8721" max="8721" width="8.54296875" style="756" customWidth="1"/>
    <col min="8722" max="8722" width="9.1796875" style="756"/>
    <col min="8723" max="8723" width="8.453125" style="756" bestFit="1" customWidth="1"/>
    <col min="8724" max="8734" width="9.1796875" style="756"/>
    <col min="8735" max="8735" width="16" style="756" customWidth="1"/>
    <col min="8736" max="8974" width="9.1796875" style="756"/>
    <col min="8975" max="8975" width="34.453125" style="756" customWidth="1"/>
    <col min="8976" max="8976" width="4.1796875" style="756" customWidth="1"/>
    <col min="8977" max="8977" width="8.54296875" style="756" customWidth="1"/>
    <col min="8978" max="8978" width="9.1796875" style="756"/>
    <col min="8979" max="8979" width="8.453125" style="756" bestFit="1" customWidth="1"/>
    <col min="8980" max="8990" width="9.1796875" style="756"/>
    <col min="8991" max="8991" width="16" style="756" customWidth="1"/>
    <col min="8992" max="9230" width="9.1796875" style="756"/>
    <col min="9231" max="9231" width="34.453125" style="756" customWidth="1"/>
    <col min="9232" max="9232" width="4.1796875" style="756" customWidth="1"/>
    <col min="9233" max="9233" width="8.54296875" style="756" customWidth="1"/>
    <col min="9234" max="9234" width="9.1796875" style="756"/>
    <col min="9235" max="9235" width="8.453125" style="756" bestFit="1" customWidth="1"/>
    <col min="9236" max="9246" width="9.1796875" style="756"/>
    <col min="9247" max="9247" width="16" style="756" customWidth="1"/>
    <col min="9248" max="9486" width="9.1796875" style="756"/>
    <col min="9487" max="9487" width="34.453125" style="756" customWidth="1"/>
    <col min="9488" max="9488" width="4.1796875" style="756" customWidth="1"/>
    <col min="9489" max="9489" width="8.54296875" style="756" customWidth="1"/>
    <col min="9490" max="9490" width="9.1796875" style="756"/>
    <col min="9491" max="9491" width="8.453125" style="756" bestFit="1" customWidth="1"/>
    <col min="9492" max="9502" width="9.1796875" style="756"/>
    <col min="9503" max="9503" width="16" style="756" customWidth="1"/>
    <col min="9504" max="9742" width="9.1796875" style="756"/>
    <col min="9743" max="9743" width="34.453125" style="756" customWidth="1"/>
    <col min="9744" max="9744" width="4.1796875" style="756" customWidth="1"/>
    <col min="9745" max="9745" width="8.54296875" style="756" customWidth="1"/>
    <col min="9746" max="9746" width="9.1796875" style="756"/>
    <col min="9747" max="9747" width="8.453125" style="756" bestFit="1" customWidth="1"/>
    <col min="9748" max="9758" width="9.1796875" style="756"/>
    <col min="9759" max="9759" width="16" style="756" customWidth="1"/>
    <col min="9760" max="9998" width="9.1796875" style="756"/>
    <col min="9999" max="9999" width="34.453125" style="756" customWidth="1"/>
    <col min="10000" max="10000" width="4.1796875" style="756" customWidth="1"/>
    <col min="10001" max="10001" width="8.54296875" style="756" customWidth="1"/>
    <col min="10002" max="10002" width="9.1796875" style="756"/>
    <col min="10003" max="10003" width="8.453125" style="756" bestFit="1" customWidth="1"/>
    <col min="10004" max="10014" width="9.1796875" style="756"/>
    <col min="10015" max="10015" width="16" style="756" customWidth="1"/>
    <col min="10016" max="10254" width="9.1796875" style="756"/>
    <col min="10255" max="10255" width="34.453125" style="756" customWidth="1"/>
    <col min="10256" max="10256" width="4.1796875" style="756" customWidth="1"/>
    <col min="10257" max="10257" width="8.54296875" style="756" customWidth="1"/>
    <col min="10258" max="10258" width="9.1796875" style="756"/>
    <col min="10259" max="10259" width="8.453125" style="756" bestFit="1" customWidth="1"/>
    <col min="10260" max="10270" width="9.1796875" style="756"/>
    <col min="10271" max="10271" width="16" style="756" customWidth="1"/>
    <col min="10272" max="10510" width="9.1796875" style="756"/>
    <col min="10511" max="10511" width="34.453125" style="756" customWidth="1"/>
    <col min="10512" max="10512" width="4.1796875" style="756" customWidth="1"/>
    <col min="10513" max="10513" width="8.54296875" style="756" customWidth="1"/>
    <col min="10514" max="10514" width="9.1796875" style="756"/>
    <col min="10515" max="10515" width="8.453125" style="756" bestFit="1" customWidth="1"/>
    <col min="10516" max="10526" width="9.1796875" style="756"/>
    <col min="10527" max="10527" width="16" style="756" customWidth="1"/>
    <col min="10528" max="10766" width="9.1796875" style="756"/>
    <col min="10767" max="10767" width="34.453125" style="756" customWidth="1"/>
    <col min="10768" max="10768" width="4.1796875" style="756" customWidth="1"/>
    <col min="10769" max="10769" width="8.54296875" style="756" customWidth="1"/>
    <col min="10770" max="10770" width="9.1796875" style="756"/>
    <col min="10771" max="10771" width="8.453125" style="756" bestFit="1" customWidth="1"/>
    <col min="10772" max="10782" width="9.1796875" style="756"/>
    <col min="10783" max="10783" width="16" style="756" customWidth="1"/>
    <col min="10784" max="11022" width="9.1796875" style="756"/>
    <col min="11023" max="11023" width="34.453125" style="756" customWidth="1"/>
    <col min="11024" max="11024" width="4.1796875" style="756" customWidth="1"/>
    <col min="11025" max="11025" width="8.54296875" style="756" customWidth="1"/>
    <col min="11026" max="11026" width="9.1796875" style="756"/>
    <col min="11027" max="11027" width="8.453125" style="756" bestFit="1" customWidth="1"/>
    <col min="11028" max="11038" width="9.1796875" style="756"/>
    <col min="11039" max="11039" width="16" style="756" customWidth="1"/>
    <col min="11040" max="11278" width="9.1796875" style="756"/>
    <col min="11279" max="11279" width="34.453125" style="756" customWidth="1"/>
    <col min="11280" max="11280" width="4.1796875" style="756" customWidth="1"/>
    <col min="11281" max="11281" width="8.54296875" style="756" customWidth="1"/>
    <col min="11282" max="11282" width="9.1796875" style="756"/>
    <col min="11283" max="11283" width="8.453125" style="756" bestFit="1" customWidth="1"/>
    <col min="11284" max="11294" width="9.1796875" style="756"/>
    <col min="11295" max="11295" width="16" style="756" customWidth="1"/>
    <col min="11296" max="11534" width="9.1796875" style="756"/>
    <col min="11535" max="11535" width="34.453125" style="756" customWidth="1"/>
    <col min="11536" max="11536" width="4.1796875" style="756" customWidth="1"/>
    <col min="11537" max="11537" width="8.54296875" style="756" customWidth="1"/>
    <col min="11538" max="11538" width="9.1796875" style="756"/>
    <col min="11539" max="11539" width="8.453125" style="756" bestFit="1" customWidth="1"/>
    <col min="11540" max="11550" width="9.1796875" style="756"/>
    <col min="11551" max="11551" width="16" style="756" customWidth="1"/>
    <col min="11552" max="11790" width="9.1796875" style="756"/>
    <col min="11791" max="11791" width="34.453125" style="756" customWidth="1"/>
    <col min="11792" max="11792" width="4.1796875" style="756" customWidth="1"/>
    <col min="11793" max="11793" width="8.54296875" style="756" customWidth="1"/>
    <col min="11794" max="11794" width="9.1796875" style="756"/>
    <col min="11795" max="11795" width="8.453125" style="756" bestFit="1" customWidth="1"/>
    <col min="11796" max="11806" width="9.1796875" style="756"/>
    <col min="11807" max="11807" width="16" style="756" customWidth="1"/>
    <col min="11808" max="12046" width="9.1796875" style="756"/>
    <col min="12047" max="12047" width="34.453125" style="756" customWidth="1"/>
    <col min="12048" max="12048" width="4.1796875" style="756" customWidth="1"/>
    <col min="12049" max="12049" width="8.54296875" style="756" customWidth="1"/>
    <col min="12050" max="12050" width="9.1796875" style="756"/>
    <col min="12051" max="12051" width="8.453125" style="756" bestFit="1" customWidth="1"/>
    <col min="12052" max="12062" width="9.1796875" style="756"/>
    <col min="12063" max="12063" width="16" style="756" customWidth="1"/>
    <col min="12064" max="12302" width="9.1796875" style="756"/>
    <col min="12303" max="12303" width="34.453125" style="756" customWidth="1"/>
    <col min="12304" max="12304" width="4.1796875" style="756" customWidth="1"/>
    <col min="12305" max="12305" width="8.54296875" style="756" customWidth="1"/>
    <col min="12306" max="12306" width="9.1796875" style="756"/>
    <col min="12307" max="12307" width="8.453125" style="756" bestFit="1" customWidth="1"/>
    <col min="12308" max="12318" width="9.1796875" style="756"/>
    <col min="12319" max="12319" width="16" style="756" customWidth="1"/>
    <col min="12320" max="12558" width="9.1796875" style="756"/>
    <col min="12559" max="12559" width="34.453125" style="756" customWidth="1"/>
    <col min="12560" max="12560" width="4.1796875" style="756" customWidth="1"/>
    <col min="12561" max="12561" width="8.54296875" style="756" customWidth="1"/>
    <col min="12562" max="12562" width="9.1796875" style="756"/>
    <col min="12563" max="12563" width="8.453125" style="756" bestFit="1" customWidth="1"/>
    <col min="12564" max="12574" width="9.1796875" style="756"/>
    <col min="12575" max="12575" width="16" style="756" customWidth="1"/>
    <col min="12576" max="12814" width="9.1796875" style="756"/>
    <col min="12815" max="12815" width="34.453125" style="756" customWidth="1"/>
    <col min="12816" max="12816" width="4.1796875" style="756" customWidth="1"/>
    <col min="12817" max="12817" width="8.54296875" style="756" customWidth="1"/>
    <col min="12818" max="12818" width="9.1796875" style="756"/>
    <col min="12819" max="12819" width="8.453125" style="756" bestFit="1" customWidth="1"/>
    <col min="12820" max="12830" width="9.1796875" style="756"/>
    <col min="12831" max="12831" width="16" style="756" customWidth="1"/>
    <col min="12832" max="13070" width="9.1796875" style="756"/>
    <col min="13071" max="13071" width="34.453125" style="756" customWidth="1"/>
    <col min="13072" max="13072" width="4.1796875" style="756" customWidth="1"/>
    <col min="13073" max="13073" width="8.54296875" style="756" customWidth="1"/>
    <col min="13074" max="13074" width="9.1796875" style="756"/>
    <col min="13075" max="13075" width="8.453125" style="756" bestFit="1" customWidth="1"/>
    <col min="13076" max="13086" width="9.1796875" style="756"/>
    <col min="13087" max="13087" width="16" style="756" customWidth="1"/>
    <col min="13088" max="13326" width="9.1796875" style="756"/>
    <col min="13327" max="13327" width="34.453125" style="756" customWidth="1"/>
    <col min="13328" max="13328" width="4.1796875" style="756" customWidth="1"/>
    <col min="13329" max="13329" width="8.54296875" style="756" customWidth="1"/>
    <col min="13330" max="13330" width="9.1796875" style="756"/>
    <col min="13331" max="13331" width="8.453125" style="756" bestFit="1" customWidth="1"/>
    <col min="13332" max="13342" width="9.1796875" style="756"/>
    <col min="13343" max="13343" width="16" style="756" customWidth="1"/>
    <col min="13344" max="13582" width="9.1796875" style="756"/>
    <col min="13583" max="13583" width="34.453125" style="756" customWidth="1"/>
    <col min="13584" max="13584" width="4.1796875" style="756" customWidth="1"/>
    <col min="13585" max="13585" width="8.54296875" style="756" customWidth="1"/>
    <col min="13586" max="13586" width="9.1796875" style="756"/>
    <col min="13587" max="13587" width="8.453125" style="756" bestFit="1" customWidth="1"/>
    <col min="13588" max="13598" width="9.1796875" style="756"/>
    <col min="13599" max="13599" width="16" style="756" customWidth="1"/>
    <col min="13600" max="13838" width="9.1796875" style="756"/>
    <col min="13839" max="13839" width="34.453125" style="756" customWidth="1"/>
    <col min="13840" max="13840" width="4.1796875" style="756" customWidth="1"/>
    <col min="13841" max="13841" width="8.54296875" style="756" customWidth="1"/>
    <col min="13842" max="13842" width="9.1796875" style="756"/>
    <col min="13843" max="13843" width="8.453125" style="756" bestFit="1" customWidth="1"/>
    <col min="13844" max="13854" width="9.1796875" style="756"/>
    <col min="13855" max="13855" width="16" style="756" customWidth="1"/>
    <col min="13856" max="14094" width="9.1796875" style="756"/>
    <col min="14095" max="14095" width="34.453125" style="756" customWidth="1"/>
    <col min="14096" max="14096" width="4.1796875" style="756" customWidth="1"/>
    <col min="14097" max="14097" width="8.54296875" style="756" customWidth="1"/>
    <col min="14098" max="14098" width="9.1796875" style="756"/>
    <col min="14099" max="14099" width="8.453125" style="756" bestFit="1" customWidth="1"/>
    <col min="14100" max="14110" width="9.1796875" style="756"/>
    <col min="14111" max="14111" width="16" style="756" customWidth="1"/>
    <col min="14112" max="14350" width="9.1796875" style="756"/>
    <col min="14351" max="14351" width="34.453125" style="756" customWidth="1"/>
    <col min="14352" max="14352" width="4.1796875" style="756" customWidth="1"/>
    <col min="14353" max="14353" width="8.54296875" style="756" customWidth="1"/>
    <col min="14354" max="14354" width="9.1796875" style="756"/>
    <col min="14355" max="14355" width="8.453125" style="756" bestFit="1" customWidth="1"/>
    <col min="14356" max="14366" width="9.1796875" style="756"/>
    <col min="14367" max="14367" width="16" style="756" customWidth="1"/>
    <col min="14368" max="14606" width="9.1796875" style="756"/>
    <col min="14607" max="14607" width="34.453125" style="756" customWidth="1"/>
    <col min="14608" max="14608" width="4.1796875" style="756" customWidth="1"/>
    <col min="14609" max="14609" width="8.54296875" style="756" customWidth="1"/>
    <col min="14610" max="14610" width="9.1796875" style="756"/>
    <col min="14611" max="14611" width="8.453125" style="756" bestFit="1" customWidth="1"/>
    <col min="14612" max="14622" width="9.1796875" style="756"/>
    <col min="14623" max="14623" width="16" style="756" customWidth="1"/>
    <col min="14624" max="14862" width="9.1796875" style="756"/>
    <col min="14863" max="14863" width="34.453125" style="756" customWidth="1"/>
    <col min="14864" max="14864" width="4.1796875" style="756" customWidth="1"/>
    <col min="14865" max="14865" width="8.54296875" style="756" customWidth="1"/>
    <col min="14866" max="14866" width="9.1796875" style="756"/>
    <col min="14867" max="14867" width="8.453125" style="756" bestFit="1" customWidth="1"/>
    <col min="14868" max="14878" width="9.1796875" style="756"/>
    <col min="14879" max="14879" width="16" style="756" customWidth="1"/>
    <col min="14880" max="15118" width="9.1796875" style="756"/>
    <col min="15119" max="15119" width="34.453125" style="756" customWidth="1"/>
    <col min="15120" max="15120" width="4.1796875" style="756" customWidth="1"/>
    <col min="15121" max="15121" width="8.54296875" style="756" customWidth="1"/>
    <col min="15122" max="15122" width="9.1796875" style="756"/>
    <col min="15123" max="15123" width="8.453125" style="756" bestFit="1" customWidth="1"/>
    <col min="15124" max="15134" width="9.1796875" style="756"/>
    <col min="15135" max="15135" width="16" style="756" customWidth="1"/>
    <col min="15136" max="15374" width="9.1796875" style="756"/>
    <col min="15375" max="15375" width="34.453125" style="756" customWidth="1"/>
    <col min="15376" max="15376" width="4.1796875" style="756" customWidth="1"/>
    <col min="15377" max="15377" width="8.54296875" style="756" customWidth="1"/>
    <col min="15378" max="15378" width="9.1796875" style="756"/>
    <col min="15379" max="15379" width="8.453125" style="756" bestFit="1" customWidth="1"/>
    <col min="15380" max="15390" width="9.1796875" style="756"/>
    <col min="15391" max="15391" width="16" style="756" customWidth="1"/>
    <col min="15392" max="15630" width="9.1796875" style="756"/>
    <col min="15631" max="15631" width="34.453125" style="756" customWidth="1"/>
    <col min="15632" max="15632" width="4.1796875" style="756" customWidth="1"/>
    <col min="15633" max="15633" width="8.54296875" style="756" customWidth="1"/>
    <col min="15634" max="15634" width="9.1796875" style="756"/>
    <col min="15635" max="15635" width="8.453125" style="756" bestFit="1" customWidth="1"/>
    <col min="15636" max="15646" width="9.1796875" style="756"/>
    <col min="15647" max="15647" width="16" style="756" customWidth="1"/>
    <col min="15648" max="15886" width="9.1796875" style="756"/>
    <col min="15887" max="15887" width="34.453125" style="756" customWidth="1"/>
    <col min="15888" max="15888" width="4.1796875" style="756" customWidth="1"/>
    <col min="15889" max="15889" width="8.54296875" style="756" customWidth="1"/>
    <col min="15890" max="15890" width="9.1796875" style="756"/>
    <col min="15891" max="15891" width="8.453125" style="756" bestFit="1" customWidth="1"/>
    <col min="15892" max="15902" width="9.1796875" style="756"/>
    <col min="15903" max="15903" width="16" style="756" customWidth="1"/>
    <col min="15904" max="16142" width="9.1796875" style="756"/>
    <col min="16143" max="16143" width="34.453125" style="756" customWidth="1"/>
    <col min="16144" max="16144" width="4.1796875" style="756" customWidth="1"/>
    <col min="16145" max="16145" width="8.54296875" style="756" customWidth="1"/>
    <col min="16146" max="16146" width="9.1796875" style="756"/>
    <col min="16147" max="16147" width="8.453125" style="756" bestFit="1" customWidth="1"/>
    <col min="16148" max="16158" width="9.1796875" style="756"/>
    <col min="16159" max="16159" width="16" style="756" customWidth="1"/>
    <col min="16160" max="16384" width="9.1796875" style="756"/>
  </cols>
  <sheetData>
    <row r="1" spans="1:32" ht="14.5" x14ac:dyDescent="0.35">
      <c r="A1" s="759" t="s">
        <v>0</v>
      </c>
      <c r="M1" s="1359" t="s">
        <v>105</v>
      </c>
      <c r="N1" s="1358"/>
      <c r="O1" s="1358"/>
      <c r="P1" s="757"/>
      <c r="Q1" s="757"/>
      <c r="R1" s="757"/>
      <c r="S1" s="757"/>
      <c r="T1" s="757"/>
      <c r="U1" s="757"/>
      <c r="V1" s="757"/>
      <c r="W1" s="757"/>
      <c r="X1" s="1040"/>
      <c r="Y1" s="1040"/>
      <c r="Z1" s="1040">
        <f>+Base!Z1</f>
        <v>45657</v>
      </c>
      <c r="AA1" s="757"/>
      <c r="AF1" s="757"/>
    </row>
    <row r="2" spans="1:32" x14ac:dyDescent="0.3">
      <c r="A2" s="1038" t="s">
        <v>2</v>
      </c>
      <c r="C2" s="1041"/>
      <c r="D2" s="1041"/>
      <c r="E2" s="1041"/>
      <c r="F2" s="1041"/>
      <c r="G2" s="1041"/>
      <c r="H2" s="1041"/>
      <c r="I2" s="1041"/>
      <c r="AB2" s="1042"/>
      <c r="AC2" s="1042"/>
      <c r="AD2" s="1042"/>
      <c r="AE2" s="1042"/>
      <c r="AF2" s="1042"/>
    </row>
    <row r="3" spans="1:32" ht="14.5" x14ac:dyDescent="0.35">
      <c r="A3" s="1043" t="s">
        <v>3</v>
      </c>
      <c r="B3" s="1044"/>
      <c r="J3" s="1044"/>
      <c r="K3" s="1044"/>
      <c r="L3" s="1044"/>
      <c r="M3" s="1044"/>
      <c r="N3" s="1044"/>
      <c r="O3" s="1044"/>
      <c r="P3" s="1044"/>
      <c r="Q3" s="1044"/>
      <c r="R3" s="1044"/>
      <c r="S3" s="1044"/>
      <c r="T3" s="1044"/>
      <c r="U3" s="1044"/>
      <c r="V3" s="1044"/>
      <c r="W3" s="1044"/>
      <c r="X3" s="1044"/>
      <c r="Y3" s="1044"/>
      <c r="Z3" s="1044"/>
      <c r="AA3" s="1045"/>
      <c r="AB3" s="1046"/>
      <c r="AC3" s="1046"/>
      <c r="AD3" s="1046"/>
      <c r="AE3" s="1046"/>
      <c r="AF3" s="1046"/>
    </row>
    <row r="4" spans="1:32" ht="14.5" x14ac:dyDescent="0.35">
      <c r="A4" s="758"/>
      <c r="E4" s="1047"/>
      <c r="F4" s="1047"/>
      <c r="G4" s="1047"/>
      <c r="H4" s="1047">
        <f ca="1">TODAY()</f>
        <v>45797</v>
      </c>
      <c r="I4" s="1047"/>
      <c r="J4" s="1047"/>
      <c r="K4" s="1047"/>
      <c r="L4" s="1047"/>
      <c r="M4" s="1047"/>
      <c r="N4" s="1047"/>
      <c r="O4" s="1047">
        <f>+Base!O4</f>
        <v>45657</v>
      </c>
      <c r="P4" s="1047">
        <v>46234</v>
      </c>
      <c r="Q4" s="1047">
        <v>46599</v>
      </c>
      <c r="R4" s="1047">
        <v>46965</v>
      </c>
      <c r="S4" s="1047">
        <v>47330</v>
      </c>
      <c r="T4" s="1047">
        <v>47695</v>
      </c>
      <c r="U4" s="1047">
        <v>48060</v>
      </c>
      <c r="V4" s="1047">
        <v>48426</v>
      </c>
      <c r="W4" s="1047">
        <v>48791</v>
      </c>
      <c r="X4" s="1047">
        <v>49156</v>
      </c>
      <c r="Y4" s="1047">
        <v>49521</v>
      </c>
      <c r="Z4" s="1047">
        <v>49887</v>
      </c>
      <c r="AA4" s="1048"/>
      <c r="AB4" s="1042"/>
      <c r="AC4" s="1042"/>
      <c r="AD4" s="1042"/>
      <c r="AE4" s="1042"/>
      <c r="AF4" s="1042"/>
    </row>
    <row r="5" spans="1:32" ht="17" x14ac:dyDescent="0.6">
      <c r="A5" s="758"/>
      <c r="D5" s="1049"/>
      <c r="E5" s="1049"/>
      <c r="F5" s="1050"/>
      <c r="G5" s="1051"/>
      <c r="H5" s="1050"/>
      <c r="I5" s="1049" t="str">
        <f>+'Historicals and forecast'!E4</f>
        <v>FYE July 31st</v>
      </c>
      <c r="J5" s="1050"/>
      <c r="K5" s="1050"/>
      <c r="L5" s="1050"/>
      <c r="M5" s="1050"/>
      <c r="N5" s="1050"/>
      <c r="O5" s="1050"/>
      <c r="P5" s="1050"/>
      <c r="Q5" s="1050"/>
      <c r="R5" s="1050"/>
      <c r="S5" s="1050"/>
      <c r="T5" s="1050"/>
      <c r="U5" s="1050"/>
      <c r="V5" s="1050"/>
      <c r="W5" s="1050"/>
      <c r="X5" s="1050"/>
      <c r="Y5" s="1050"/>
      <c r="Z5" s="1050"/>
      <c r="AA5" s="1048"/>
      <c r="AB5" s="1052" t="s">
        <v>4</v>
      </c>
      <c r="AC5" s="1053"/>
      <c r="AD5" s="1054"/>
      <c r="AE5" s="1053" t="s">
        <v>5</v>
      </c>
      <c r="AF5" s="1054"/>
    </row>
    <row r="6" spans="1:32" ht="17" x14ac:dyDescent="0.6">
      <c r="C6" s="1055" t="s">
        <v>6</v>
      </c>
      <c r="D6" s="1055" t="s">
        <v>7</v>
      </c>
      <c r="E6" s="1055" t="s">
        <v>8</v>
      </c>
      <c r="F6" s="1055" t="s">
        <v>9</v>
      </c>
      <c r="G6" s="1055" t="s">
        <v>10</v>
      </c>
      <c r="H6" s="1055" t="s">
        <v>11</v>
      </c>
      <c r="I6" s="1055" t="s">
        <v>12</v>
      </c>
      <c r="J6" s="1055" t="s">
        <v>13</v>
      </c>
      <c r="K6" s="1055" t="s">
        <v>14</v>
      </c>
      <c r="L6" s="1055" t="s">
        <v>15</v>
      </c>
      <c r="M6" s="1055" t="s">
        <v>16</v>
      </c>
      <c r="N6" s="1335" t="s">
        <v>17</v>
      </c>
      <c r="O6" s="1344" t="s">
        <v>18</v>
      </c>
      <c r="P6" s="1055" t="s">
        <v>19</v>
      </c>
      <c r="Q6" s="1055" t="s">
        <v>20</v>
      </c>
      <c r="R6" s="1055" t="s">
        <v>21</v>
      </c>
      <c r="S6" s="1055" t="s">
        <v>22</v>
      </c>
      <c r="T6" s="1055" t="s">
        <v>23</v>
      </c>
      <c r="U6" s="1055" t="s">
        <v>24</v>
      </c>
      <c r="V6" s="1055" t="s">
        <v>25</v>
      </c>
      <c r="W6" s="1055" t="s">
        <v>26</v>
      </c>
      <c r="X6" s="1055" t="s">
        <v>27</v>
      </c>
      <c r="Y6" s="1055" t="s">
        <v>28</v>
      </c>
      <c r="Z6" s="1055" t="s">
        <v>29</v>
      </c>
      <c r="AA6" s="1056" t="s">
        <v>30</v>
      </c>
      <c r="AB6" s="1057" t="s">
        <v>31</v>
      </c>
      <c r="AC6" s="1055" t="s">
        <v>32</v>
      </c>
      <c r="AD6" s="1058" t="s">
        <v>33</v>
      </c>
      <c r="AE6" s="1055" t="s">
        <v>34</v>
      </c>
      <c r="AF6" s="1058" t="s">
        <v>35</v>
      </c>
    </row>
    <row r="7" spans="1:32" ht="17" x14ac:dyDescent="0.6">
      <c r="E7" s="1055"/>
      <c r="F7" s="1055"/>
      <c r="G7" s="1055"/>
      <c r="H7" s="1055"/>
      <c r="I7" s="1055"/>
      <c r="J7" s="1055"/>
      <c r="K7" s="1055"/>
      <c r="L7" s="1055"/>
      <c r="M7" s="1055"/>
      <c r="N7" s="1335"/>
      <c r="O7" s="1344"/>
      <c r="P7" s="1055"/>
      <c r="Q7" s="1055"/>
      <c r="R7" s="1055"/>
      <c r="S7" s="1055"/>
      <c r="T7" s="1055"/>
      <c r="U7" s="1055"/>
      <c r="V7" s="1055"/>
      <c r="W7" s="1055"/>
      <c r="X7" s="1055"/>
      <c r="Y7" s="1055"/>
      <c r="Z7" s="1055"/>
      <c r="AA7" s="1048"/>
      <c r="AB7" s="1059"/>
      <c r="AC7" s="1042"/>
      <c r="AD7" s="1060"/>
      <c r="AE7" s="1042"/>
      <c r="AF7" s="1060"/>
    </row>
    <row r="8" spans="1:32" x14ac:dyDescent="0.3">
      <c r="A8" s="756" t="str">
        <f>+'Historicals and forecast'!A9</f>
        <v>Gross Invoiced Income</v>
      </c>
      <c r="B8" s="1065"/>
      <c r="C8" s="1066">
        <f>'Historicals and forecast'!AM9</f>
        <v>395.75599999999997</v>
      </c>
      <c r="D8" s="1066">
        <f>'Historicals and forecast'!AN9</f>
        <v>504.79700000000003</v>
      </c>
      <c r="E8" s="1066">
        <f>'Historicals and forecast'!AO9</f>
        <v>596.08400000000006</v>
      </c>
      <c r="F8" s="1066">
        <f>'Historicals and forecast'!AP9</f>
        <v>672.351</v>
      </c>
      <c r="G8" s="1066">
        <f>'Historicals and forecast'!AQ9</f>
        <v>832.476</v>
      </c>
      <c r="H8" s="1066">
        <f>'Historicals and forecast'!AR9</f>
        <v>1081.6780000000001</v>
      </c>
      <c r="I8" s="1066">
        <f>'Historicals and forecast'!AS9</f>
        <v>1414.0640000000001</v>
      </c>
      <c r="J8" s="1066">
        <f>'Historicals and forecast'!AT9</f>
        <v>1646.191</v>
      </c>
      <c r="K8" s="1066">
        <f>'Historicals and forecast'!AU9</f>
        <v>1938.44</v>
      </c>
      <c r="L8" s="1066">
        <f>'Historicals and forecast'!AV9</f>
        <v>2507.5369999999998</v>
      </c>
      <c r="M8" s="1420">
        <f>'Historicals and forecast'!AW9</f>
        <v>2563</v>
      </c>
      <c r="N8" s="1336">
        <f>'Historicals and forecast'!AX9</f>
        <v>2852.2</v>
      </c>
      <c r="O8" s="906">
        <f>+N8+O11</f>
        <v>3280.0299999999997</v>
      </c>
      <c r="P8" s="903">
        <f t="shared" ref="P8:X8" si="0">+O8+P11</f>
        <v>3772.0344999999998</v>
      </c>
      <c r="Q8" s="903">
        <f t="shared" si="0"/>
        <v>4337.8396749999993</v>
      </c>
      <c r="R8" s="903">
        <f t="shared" si="0"/>
        <v>4988.5156262499995</v>
      </c>
      <c r="S8" s="903">
        <f t="shared" si="0"/>
        <v>5736.7929701874991</v>
      </c>
      <c r="T8" s="903">
        <f t="shared" si="0"/>
        <v>6597.3119157156243</v>
      </c>
      <c r="U8" s="903">
        <f t="shared" si="0"/>
        <v>7586.9087030729679</v>
      </c>
      <c r="V8" s="903">
        <f t="shared" si="0"/>
        <v>8724.9450085339122</v>
      </c>
      <c r="W8" s="903">
        <f t="shared" si="0"/>
        <v>10033.686759814</v>
      </c>
      <c r="X8" s="903">
        <f t="shared" si="0"/>
        <v>11538.739773786099</v>
      </c>
      <c r="Y8" s="903">
        <f t="shared" ref="Y8" si="1">+X8+Y11</f>
        <v>13269.550739854014</v>
      </c>
      <c r="Z8" s="903">
        <f t="shared" ref="Z8" si="2">+Y8+Z11</f>
        <v>15259.983350832115</v>
      </c>
      <c r="AA8" s="1048" t="s">
        <v>36</v>
      </c>
      <c r="AB8" s="910">
        <f>'Historicals and forecast'!BC9</f>
        <v>0.2061124051602603</v>
      </c>
      <c r="AC8" s="911">
        <f>'Historicals and forecast'!BD9</f>
        <v>0.32537552163540839</v>
      </c>
      <c r="AD8" s="912">
        <f>'Historicals and forecast'!BE9</f>
        <v>0.26433850615261134</v>
      </c>
      <c r="AE8" s="911">
        <f>(L8/G8)^(1/5)-1</f>
        <v>0.24673779578090915</v>
      </c>
      <c r="AF8" s="912">
        <f>(Q8/G8)^(1/10)-1</f>
        <v>0.17947890378872122</v>
      </c>
    </row>
    <row r="9" spans="1:32" ht="14.5" x14ac:dyDescent="0.35">
      <c r="A9" s="1026" t="s">
        <v>37</v>
      </c>
      <c r="C9" s="1067"/>
      <c r="D9" s="1067">
        <f>D8/C8-1</f>
        <v>0.27552582904618017</v>
      </c>
      <c r="E9" s="1067">
        <f>E8/D8-1</f>
        <v>0.18083903034289039</v>
      </c>
      <c r="F9" s="916">
        <f>F8/E8-1</f>
        <v>0.12794673233973719</v>
      </c>
      <c r="G9" s="1067">
        <f t="shared" ref="G9" si="3">+G8/F8-1</f>
        <v>0.2381568555709741</v>
      </c>
      <c r="H9" s="1067">
        <f t="shared" ref="H9" si="4">+H8/G8-1</f>
        <v>0.29935037166236644</v>
      </c>
      <c r="I9" s="1067">
        <f t="shared" ref="I9" si="5">+I8/H8-1</f>
        <v>0.30728738127243038</v>
      </c>
      <c r="J9" s="1067">
        <f t="shared" ref="J9" si="6">+J8/I8-1</f>
        <v>0.16415593636497361</v>
      </c>
      <c r="K9" s="1067">
        <f t="shared" ref="K9" si="7">+K8/J8-1</f>
        <v>0.17753043237388622</v>
      </c>
      <c r="L9" s="1067">
        <f t="shared" ref="L9" si="8">+L8/K8-1</f>
        <v>0.29358504777037187</v>
      </c>
      <c r="M9" s="1067">
        <f t="shared" ref="M9" si="9">+M8/L8-1</f>
        <v>2.211851709466317E-2</v>
      </c>
      <c r="N9" s="1337">
        <f t="shared" ref="N9" si="10">+N8/M8-1</f>
        <v>0.11283651970347242</v>
      </c>
      <c r="O9" s="1346">
        <f t="shared" ref="O9" si="11">+O8/N8-1</f>
        <v>0.14999999999999991</v>
      </c>
      <c r="P9" s="1067">
        <f t="shared" ref="P9" si="12">+P8/O8-1</f>
        <v>0.14999999999999991</v>
      </c>
      <c r="Q9" s="1067">
        <f t="shared" ref="Q9" si="13">+Q8/P8-1</f>
        <v>0.14999999999999991</v>
      </c>
      <c r="R9" s="1067">
        <f t="shared" ref="R9" si="14">+R8/Q8-1</f>
        <v>0.15000000000000013</v>
      </c>
      <c r="S9" s="1067">
        <f t="shared" ref="S9" si="15">+S8/R8-1</f>
        <v>0.14999999999999991</v>
      </c>
      <c r="T9" s="1067">
        <f t="shared" ref="T9" si="16">+T8/S8-1</f>
        <v>0.15000000000000013</v>
      </c>
      <c r="U9" s="1067">
        <f t="shared" ref="U9" si="17">+U8/T8-1</f>
        <v>0.14999999999999991</v>
      </c>
      <c r="V9" s="1067">
        <f t="shared" ref="V9" si="18">+V8/U8-1</f>
        <v>0.14999999999999991</v>
      </c>
      <c r="W9" s="1067">
        <f t="shared" ref="W9" si="19">+W8/V8-1</f>
        <v>0.15000000000000013</v>
      </c>
      <c r="X9" s="1067">
        <f t="shared" ref="X9" si="20">+X8/W8-1</f>
        <v>0.14999999999999991</v>
      </c>
      <c r="Y9" s="1067">
        <f t="shared" ref="Y9" si="21">+Y8/X8-1</f>
        <v>0.14999999999999991</v>
      </c>
      <c r="Z9" s="1067">
        <f t="shared" ref="Z9" si="22">+Z8/Y8-1</f>
        <v>0.14999999999999991</v>
      </c>
      <c r="AA9" s="1048"/>
      <c r="AB9" s="1062"/>
      <c r="AC9" s="1063"/>
      <c r="AD9" s="1064"/>
      <c r="AE9" s="1063"/>
      <c r="AF9" s="1064"/>
    </row>
    <row r="10" spans="1:32" ht="14.5" x14ac:dyDescent="0.35">
      <c r="A10" s="1026" t="s">
        <v>1488</v>
      </c>
      <c r="C10" s="1067"/>
      <c r="D10" s="1067"/>
      <c r="E10" s="1067"/>
      <c r="F10" s="916"/>
      <c r="G10" s="1067"/>
      <c r="H10" s="1067"/>
      <c r="I10" s="1067">
        <f>+I9</f>
        <v>0.30728738127243038</v>
      </c>
      <c r="J10" s="1067">
        <f t="shared" ref="J10:Z10" si="23">+J9</f>
        <v>0.16415593636497361</v>
      </c>
      <c r="K10" s="1067">
        <f t="shared" si="23"/>
        <v>0.17753043237388622</v>
      </c>
      <c r="L10" s="1067">
        <f t="shared" si="23"/>
        <v>0.29358504777037187</v>
      </c>
      <c r="M10" s="1067">
        <f t="shared" si="23"/>
        <v>2.211851709466317E-2</v>
      </c>
      <c r="N10" s="1337">
        <f t="shared" si="23"/>
        <v>0.11283651970347242</v>
      </c>
      <c r="O10" s="1346">
        <f t="shared" si="23"/>
        <v>0.14999999999999991</v>
      </c>
      <c r="P10" s="1067">
        <f t="shared" si="23"/>
        <v>0.14999999999999991</v>
      </c>
      <c r="Q10" s="1067">
        <f t="shared" si="23"/>
        <v>0.14999999999999991</v>
      </c>
      <c r="R10" s="1067">
        <f t="shared" si="23"/>
        <v>0.15000000000000013</v>
      </c>
      <c r="S10" s="1067">
        <f t="shared" si="23"/>
        <v>0.14999999999999991</v>
      </c>
      <c r="T10" s="1067">
        <f t="shared" si="23"/>
        <v>0.15000000000000013</v>
      </c>
      <c r="U10" s="1067">
        <f t="shared" si="23"/>
        <v>0.14999999999999991</v>
      </c>
      <c r="V10" s="1067">
        <f t="shared" si="23"/>
        <v>0.14999999999999991</v>
      </c>
      <c r="W10" s="1067">
        <f t="shared" si="23"/>
        <v>0.15000000000000013</v>
      </c>
      <c r="X10" s="1067">
        <f t="shared" si="23"/>
        <v>0.14999999999999991</v>
      </c>
      <c r="Y10" s="1067">
        <f t="shared" si="23"/>
        <v>0.14999999999999991</v>
      </c>
      <c r="Z10" s="1067">
        <f t="shared" si="23"/>
        <v>0.14999999999999991</v>
      </c>
      <c r="AA10" s="1048"/>
      <c r="AB10" s="1062"/>
      <c r="AC10" s="1063"/>
      <c r="AD10" s="1064"/>
      <c r="AE10" s="1063"/>
      <c r="AF10" s="1064"/>
    </row>
    <row r="11" spans="1:32" ht="14.5" x14ac:dyDescent="0.35">
      <c r="A11" s="1026" t="s">
        <v>38</v>
      </c>
      <c r="C11" s="1067"/>
      <c r="D11" s="1067"/>
      <c r="E11" s="1067"/>
      <c r="F11" s="916"/>
      <c r="G11" s="1067"/>
      <c r="H11" s="1067"/>
      <c r="I11" s="1068">
        <f t="shared" ref="I11:M11" si="24">+I8-H8</f>
        <v>332.38599999999997</v>
      </c>
      <c r="J11" s="1068">
        <f t="shared" si="24"/>
        <v>232.12699999999995</v>
      </c>
      <c r="K11" s="1068">
        <f t="shared" si="24"/>
        <v>292.24900000000002</v>
      </c>
      <c r="L11" s="1068">
        <f t="shared" si="24"/>
        <v>569.09699999999975</v>
      </c>
      <c r="M11" s="931">
        <f t="shared" si="24"/>
        <v>55.463000000000193</v>
      </c>
      <c r="N11" s="1338">
        <f t="shared" ref="N11" si="25">+N8-M8</f>
        <v>289.19999999999982</v>
      </c>
      <c r="O11" s="1456">
        <f t="shared" ref="O11:X11" si="26">N8*15%</f>
        <v>427.83</v>
      </c>
      <c r="P11" s="1069">
        <f t="shared" si="26"/>
        <v>492.00449999999995</v>
      </c>
      <c r="Q11" s="1069">
        <f t="shared" si="26"/>
        <v>565.80517499999996</v>
      </c>
      <c r="R11" s="1069">
        <f t="shared" si="26"/>
        <v>650.67595124999991</v>
      </c>
      <c r="S11" s="1069">
        <f t="shared" si="26"/>
        <v>748.27734393749995</v>
      </c>
      <c r="T11" s="1069">
        <f t="shared" si="26"/>
        <v>860.51894552812485</v>
      </c>
      <c r="U11" s="1069">
        <f t="shared" si="26"/>
        <v>989.5967873573436</v>
      </c>
      <c r="V11" s="1069">
        <f t="shared" si="26"/>
        <v>1138.0363054609452</v>
      </c>
      <c r="W11" s="1069">
        <f t="shared" si="26"/>
        <v>1308.7417512800869</v>
      </c>
      <c r="X11" s="1069">
        <f t="shared" si="26"/>
        <v>1505.0530139721</v>
      </c>
      <c r="Y11" s="1069">
        <f t="shared" ref="Y11" si="27">X8*15%</f>
        <v>1730.8109660679149</v>
      </c>
      <c r="Z11" s="1069">
        <f t="shared" ref="Z11" si="28">Y8*15%</f>
        <v>1990.432610978102</v>
      </c>
      <c r="AA11" s="1048"/>
      <c r="AB11" s="1062"/>
      <c r="AC11" s="1063"/>
      <c r="AD11" s="1064"/>
      <c r="AE11" s="1063"/>
      <c r="AF11" s="1064"/>
    </row>
    <row r="12" spans="1:32" x14ac:dyDescent="0.3">
      <c r="C12" s="759"/>
      <c r="D12" s="759"/>
      <c r="E12" s="759"/>
      <c r="F12" s="759"/>
      <c r="G12" s="759"/>
      <c r="H12" s="759"/>
      <c r="I12" s="759"/>
      <c r="J12" s="759"/>
      <c r="K12" s="759"/>
      <c r="L12" s="759"/>
      <c r="M12" s="759"/>
      <c r="N12" s="1004"/>
      <c r="O12" s="1005"/>
      <c r="P12" s="759"/>
      <c r="Q12" s="759"/>
      <c r="R12" s="759"/>
      <c r="S12" s="759"/>
      <c r="T12" s="759"/>
      <c r="U12" s="759"/>
      <c r="V12" s="759"/>
      <c r="W12" s="759"/>
      <c r="X12" s="759"/>
      <c r="Y12" s="759"/>
      <c r="Z12" s="759"/>
      <c r="AA12" s="1048"/>
      <c r="AB12" s="1062"/>
      <c r="AC12" s="1063"/>
      <c r="AD12" s="1064"/>
      <c r="AE12" s="1063"/>
      <c r="AF12" s="1064"/>
    </row>
    <row r="13" spans="1:32" hidden="1" outlineLevel="1" x14ac:dyDescent="0.3">
      <c r="A13" s="756" t="s">
        <v>39</v>
      </c>
      <c r="C13" s="1066"/>
      <c r="D13" s="1066"/>
      <c r="E13" s="1066"/>
      <c r="F13" s="1066"/>
      <c r="G13" s="1066"/>
      <c r="H13" s="1066">
        <f>+'Historicals and forecast'!AR15</f>
        <v>0</v>
      </c>
      <c r="I13" s="1066">
        <f>+'Historicals and forecast'!AS15</f>
        <v>0</v>
      </c>
      <c r="J13" s="1066">
        <f>+'Historicals and forecast'!AT15</f>
        <v>0</v>
      </c>
      <c r="K13" s="1066">
        <f>+'Historicals and forecast'!AU15</f>
        <v>0</v>
      </c>
      <c r="L13" s="1066">
        <f>+'Historicals and forecast'!AV15</f>
        <v>0</v>
      </c>
      <c r="M13" s="1420">
        <f>+'Historicals and forecast'!AW15</f>
        <v>0</v>
      </c>
      <c r="N13" s="905"/>
      <c r="O13" s="906"/>
      <c r="P13" s="903"/>
      <c r="Q13" s="903"/>
      <c r="R13" s="903"/>
      <c r="S13" s="903"/>
      <c r="T13" s="759"/>
      <c r="U13" s="759"/>
      <c r="V13" s="759"/>
      <c r="W13" s="759"/>
      <c r="X13" s="759"/>
      <c r="Y13" s="759"/>
      <c r="Z13" s="759"/>
      <c r="AA13" s="1048"/>
      <c r="AB13" s="1062"/>
      <c r="AC13" s="1063"/>
      <c r="AD13" s="1064"/>
      <c r="AE13" s="1063"/>
      <c r="AF13" s="1064"/>
    </row>
    <row r="14" spans="1:32" ht="14.5" hidden="1" outlineLevel="1" x14ac:dyDescent="0.35">
      <c r="A14" s="1026" t="s">
        <v>37</v>
      </c>
      <c r="C14" s="1067"/>
      <c r="D14" s="1067"/>
      <c r="E14" s="1067"/>
      <c r="F14" s="916"/>
      <c r="G14" s="1067"/>
      <c r="H14" s="1067"/>
      <c r="I14" s="1067" t="e">
        <f t="shared" ref="I14" si="29">+I13/H13-1</f>
        <v>#DIV/0!</v>
      </c>
      <c r="J14" s="1067" t="e">
        <f t="shared" ref="J14" si="30">+J13/I13-1</f>
        <v>#DIV/0!</v>
      </c>
      <c r="K14" s="1067" t="e">
        <f t="shared" ref="K14" si="31">+K13/J13-1</f>
        <v>#DIV/0!</v>
      </c>
      <c r="L14" s="1067" t="e">
        <f t="shared" ref="L14" si="32">+L13/K13-1</f>
        <v>#DIV/0!</v>
      </c>
      <c r="M14" s="1067" t="e">
        <f t="shared" ref="M14" si="33">+M13/L13-1</f>
        <v>#DIV/0!</v>
      </c>
      <c r="N14" s="1337"/>
      <c r="O14" s="1346"/>
      <c r="P14" s="1067"/>
      <c r="Q14" s="1067"/>
      <c r="R14" s="1067"/>
      <c r="S14" s="1067"/>
      <c r="T14" s="1067"/>
      <c r="U14" s="1067"/>
      <c r="V14" s="1067"/>
      <c r="W14" s="1067"/>
      <c r="X14" s="1067"/>
      <c r="Y14" s="1067"/>
      <c r="Z14" s="1067"/>
      <c r="AA14" s="1048"/>
      <c r="AB14" s="1062"/>
      <c r="AC14" s="1063"/>
      <c r="AD14" s="1064"/>
      <c r="AE14" s="1063"/>
      <c r="AF14" s="1064"/>
    </row>
    <row r="15" spans="1:32" ht="14.5" hidden="1" outlineLevel="1" x14ac:dyDescent="0.35">
      <c r="A15" s="1026" t="s">
        <v>40</v>
      </c>
      <c r="C15" s="1067"/>
      <c r="D15" s="1067"/>
      <c r="E15" s="1067"/>
      <c r="F15" s="916"/>
      <c r="G15" s="1067"/>
      <c r="H15" s="1067">
        <f>+H13/H8</f>
        <v>0</v>
      </c>
      <c r="I15" s="1067">
        <f>+I13/I8</f>
        <v>0</v>
      </c>
      <c r="J15" s="1067">
        <f>+J13/J8</f>
        <v>0</v>
      </c>
      <c r="K15" s="1067">
        <f>+K13/K8</f>
        <v>0</v>
      </c>
      <c r="L15" s="1067">
        <f>+L13/L8</f>
        <v>0</v>
      </c>
      <c r="M15" s="1067">
        <f t="shared" ref="M15" si="34">+M13/M8</f>
        <v>0</v>
      </c>
      <c r="N15" s="1337"/>
      <c r="O15" s="1346"/>
      <c r="P15" s="1067"/>
      <c r="Q15" s="1067"/>
      <c r="R15" s="1067"/>
      <c r="S15" s="1067"/>
      <c r="T15" s="1067"/>
      <c r="U15" s="1067"/>
      <c r="V15" s="1067"/>
      <c r="W15" s="1067"/>
      <c r="X15" s="1067"/>
      <c r="Y15" s="1067"/>
      <c r="Z15" s="1067"/>
      <c r="AA15" s="1048"/>
      <c r="AB15" s="1062"/>
      <c r="AC15" s="1063"/>
      <c r="AD15" s="1064"/>
      <c r="AE15" s="1063"/>
      <c r="AF15" s="1064"/>
    </row>
    <row r="16" spans="1:32" hidden="1" outlineLevel="1" x14ac:dyDescent="0.3">
      <c r="C16" s="759"/>
      <c r="D16" s="759"/>
      <c r="E16" s="759"/>
      <c r="F16" s="759"/>
      <c r="G16" s="759"/>
      <c r="H16" s="759"/>
      <c r="I16" s="759"/>
      <c r="J16" s="759"/>
      <c r="K16" s="759"/>
      <c r="L16" s="759"/>
      <c r="M16" s="759"/>
      <c r="N16" s="1004"/>
      <c r="O16" s="1005"/>
      <c r="P16" s="759"/>
      <c r="Q16" s="759"/>
      <c r="R16" s="759"/>
      <c r="S16" s="759"/>
      <c r="T16" s="759"/>
      <c r="U16" s="759"/>
      <c r="V16" s="759"/>
      <c r="W16" s="759"/>
      <c r="X16" s="759"/>
      <c r="Y16" s="759"/>
      <c r="Z16" s="759"/>
      <c r="AA16" s="1048"/>
      <c r="AB16" s="1062"/>
      <c r="AC16" s="1063"/>
      <c r="AD16" s="1064"/>
      <c r="AE16" s="1063"/>
      <c r="AF16" s="1064"/>
    </row>
    <row r="17" spans="1:32" ht="14.5" collapsed="1" x14ac:dyDescent="0.35">
      <c r="C17" s="759"/>
      <c r="D17" s="759"/>
      <c r="E17" s="759"/>
      <c r="F17" s="759"/>
      <c r="G17" s="759"/>
      <c r="H17" s="759"/>
      <c r="I17" s="759"/>
      <c r="J17" s="759"/>
      <c r="K17" s="759"/>
      <c r="L17" s="759"/>
      <c r="M17" s="1266"/>
      <c r="N17" s="1339"/>
      <c r="O17" s="1348" t="str">
        <f>+Base!O17</f>
        <v>c = 463</v>
      </c>
      <c r="Q17" s="759"/>
      <c r="R17" s="759"/>
      <c r="S17" s="759"/>
      <c r="T17" s="759"/>
      <c r="U17" s="759"/>
      <c r="V17" s="759"/>
      <c r="W17" s="759"/>
      <c r="X17" s="759"/>
      <c r="Y17" s="759"/>
      <c r="Z17" s="759"/>
      <c r="AA17" s="1048"/>
      <c r="AB17" s="1062"/>
      <c r="AC17" s="1063"/>
      <c r="AD17" s="1064"/>
      <c r="AE17" s="1063"/>
      <c r="AF17" s="1064"/>
    </row>
    <row r="18" spans="1:32" x14ac:dyDescent="0.3">
      <c r="A18" s="756" t="s">
        <v>42</v>
      </c>
      <c r="C18" s="1066">
        <f>+'Historicals and forecast'!AM22</f>
        <v>70.510999999999967</v>
      </c>
      <c r="D18" s="1066">
        <f>+'Historicals and forecast'!AN22</f>
        <v>88.521000000000015</v>
      </c>
      <c r="E18" s="1066">
        <f>+'Historicals and forecast'!AO22</f>
        <v>102.77500000000001</v>
      </c>
      <c r="F18" s="1066">
        <f>+'Historicals and forecast'!AP22</f>
        <v>120.71699999999998</v>
      </c>
      <c r="G18" s="1066">
        <f>+'Historicals and forecast'!AQ22</f>
        <v>136.303</v>
      </c>
      <c r="H18" s="1066">
        <f>+'Historicals and forecast'!AR22</f>
        <v>175.16300000000001</v>
      </c>
      <c r="I18" s="1066">
        <f>+'Historicals and forecast'!AS22</f>
        <v>211.14300000000003</v>
      </c>
      <c r="J18" s="1066">
        <f>+'Historicals and forecast'!AT22</f>
        <v>235.70499999999993</v>
      </c>
      <c r="K18" s="1066">
        <f>+'Historicals and forecast'!AU22</f>
        <v>276.35799999999995</v>
      </c>
      <c r="L18" s="1066">
        <f>+'Historicals and forecast'!AV22</f>
        <v>327.20999999999992</v>
      </c>
      <c r="M18" s="1420">
        <f>+'Historicals and forecast'!AW22</f>
        <v>373.83</v>
      </c>
      <c r="N18" s="1336">
        <f>+'Historicals and forecast'!AX22</f>
        <v>417.75299999999999</v>
      </c>
      <c r="O18" s="906">
        <f>+O23*O8</f>
        <v>480.41594999999995</v>
      </c>
      <c r="P18" s="903">
        <f t="shared" ref="P18:X18" si="35">+P23*P8</f>
        <v>552.47834249999994</v>
      </c>
      <c r="Q18" s="903">
        <f t="shared" si="35"/>
        <v>635.35009387499986</v>
      </c>
      <c r="R18" s="903">
        <f t="shared" si="35"/>
        <v>730.65260795624988</v>
      </c>
      <c r="S18" s="903">
        <f t="shared" si="35"/>
        <v>840.25049914968736</v>
      </c>
      <c r="T18" s="903">
        <f t="shared" si="35"/>
        <v>966.28807402214045</v>
      </c>
      <c r="U18" s="903">
        <f t="shared" si="35"/>
        <v>1111.2312851254615</v>
      </c>
      <c r="V18" s="903">
        <f t="shared" si="35"/>
        <v>1277.9159778942806</v>
      </c>
      <c r="W18" s="903">
        <f t="shared" si="35"/>
        <v>1469.6033745784227</v>
      </c>
      <c r="X18" s="903">
        <f t="shared" si="35"/>
        <v>1690.0438807651863</v>
      </c>
      <c r="Y18" s="903">
        <f t="shared" ref="Y18:Z18" si="36">+Y23*Y8</f>
        <v>1943.550462879964</v>
      </c>
      <c r="Z18" s="903">
        <f t="shared" si="36"/>
        <v>2235.0830323119585</v>
      </c>
      <c r="AA18" s="1048"/>
      <c r="AB18" s="910"/>
      <c r="AC18" s="911"/>
      <c r="AD18" s="912"/>
      <c r="AE18" s="911"/>
      <c r="AF18" s="912"/>
    </row>
    <row r="19" spans="1:32" ht="14.5" x14ac:dyDescent="0.35">
      <c r="A19" s="1026" t="str">
        <f>+A14</f>
        <v>% Growth</v>
      </c>
      <c r="C19" s="759"/>
      <c r="D19" s="1067">
        <f>D18/C18-1</f>
        <v>0.25542113996397808</v>
      </c>
      <c r="E19" s="1067">
        <f>E18/D18-1</f>
        <v>0.16102393782266344</v>
      </c>
      <c r="F19" s="916">
        <f>F18/E18-1</f>
        <v>0.17457552906835305</v>
      </c>
      <c r="G19" s="1067">
        <f t="shared" ref="G19" si="37">+G18/F18-1</f>
        <v>0.12911188979182731</v>
      </c>
      <c r="H19" s="1067">
        <f t="shared" ref="H19" si="38">+H18/G18-1</f>
        <v>0.28510010784795647</v>
      </c>
      <c r="I19" s="1067">
        <f t="shared" ref="I19" si="39">+I18/H18-1</f>
        <v>0.20540867648989813</v>
      </c>
      <c r="J19" s="1067">
        <f t="shared" ref="J19" si="40">+J18/I18-1</f>
        <v>0.11632874402655968</v>
      </c>
      <c r="K19" s="1067">
        <f t="shared" ref="K19" si="41">+K18/J18-1</f>
        <v>0.17247406716022162</v>
      </c>
      <c r="L19" s="1067">
        <f t="shared" ref="L19" si="42">+L18/K18-1</f>
        <v>0.1840077001570426</v>
      </c>
      <c r="M19" s="1067">
        <f t="shared" ref="M19:N19" si="43">+M18/L18-1</f>
        <v>0.14247730815072912</v>
      </c>
      <c r="N19" s="1337">
        <f t="shared" si="43"/>
        <v>0.11749458309926974</v>
      </c>
      <c r="O19" s="1346">
        <f t="shared" ref="O19" si="44">+O18/N18-1</f>
        <v>0.14999999999999991</v>
      </c>
      <c r="P19" s="1067">
        <f t="shared" ref="P19" si="45">+P18/O18-1</f>
        <v>0.14999999999999991</v>
      </c>
      <c r="Q19" s="1067">
        <f t="shared" ref="Q19" si="46">+Q18/P18-1</f>
        <v>0.14999999999999991</v>
      </c>
      <c r="R19" s="1067">
        <f t="shared" ref="R19" si="47">+R18/Q18-1</f>
        <v>0.15000000000000013</v>
      </c>
      <c r="S19" s="1067">
        <f t="shared" ref="S19" si="48">+S18/R18-1</f>
        <v>0.14999999999999991</v>
      </c>
      <c r="T19" s="1067">
        <f t="shared" ref="T19" si="49">+T18/S18-1</f>
        <v>0.14999999999999991</v>
      </c>
      <c r="U19" s="1067">
        <f t="shared" ref="U19" si="50">+U18/T18-1</f>
        <v>0.14999999999999991</v>
      </c>
      <c r="V19" s="1067">
        <f t="shared" ref="V19" si="51">+V18/U18-1</f>
        <v>0.14999999999999991</v>
      </c>
      <c r="W19" s="1067">
        <f t="shared" ref="W19" si="52">+W18/V18-1</f>
        <v>0.15000000000000013</v>
      </c>
      <c r="X19" s="1067">
        <f t="shared" ref="X19" si="53">+X18/W18-1</f>
        <v>0.15000000000000013</v>
      </c>
      <c r="Y19" s="1067">
        <f t="shared" ref="Y19" si="54">+Y18/X18-1</f>
        <v>0.14999999999999991</v>
      </c>
      <c r="Z19" s="1067">
        <f t="shared" ref="Z19" si="55">+Z18/Y18-1</f>
        <v>0.14999999999999991</v>
      </c>
      <c r="AA19" s="1048"/>
      <c r="AB19" s="1062"/>
      <c r="AC19" s="1063"/>
      <c r="AD19" s="1064"/>
      <c r="AE19" s="1063"/>
      <c r="AF19" s="1064"/>
    </row>
    <row r="20" spans="1:32" ht="14.5" x14ac:dyDescent="0.35">
      <c r="A20" s="1026" t="s">
        <v>1488</v>
      </c>
      <c r="C20" s="759"/>
      <c r="D20" s="1067"/>
      <c r="E20" s="1067"/>
      <c r="F20" s="916"/>
      <c r="G20" s="1067"/>
      <c r="H20" s="1067"/>
      <c r="I20" s="1067">
        <f>+I19</f>
        <v>0.20540867648989813</v>
      </c>
      <c r="J20" s="1067">
        <f t="shared" ref="J20:Z20" si="56">+J19</f>
        <v>0.11632874402655968</v>
      </c>
      <c r="K20" s="1067">
        <f t="shared" si="56"/>
        <v>0.17247406716022162</v>
      </c>
      <c r="L20" s="1067">
        <f t="shared" si="56"/>
        <v>0.1840077001570426</v>
      </c>
      <c r="M20" s="1067">
        <f t="shared" si="56"/>
        <v>0.14247730815072912</v>
      </c>
      <c r="N20" s="1337">
        <f t="shared" si="56"/>
        <v>0.11749458309926974</v>
      </c>
      <c r="O20" s="1346">
        <f t="shared" si="56"/>
        <v>0.14999999999999991</v>
      </c>
      <c r="P20" s="1067">
        <f t="shared" si="56"/>
        <v>0.14999999999999991</v>
      </c>
      <c r="Q20" s="1067">
        <f t="shared" si="56"/>
        <v>0.14999999999999991</v>
      </c>
      <c r="R20" s="1067">
        <f t="shared" si="56"/>
        <v>0.15000000000000013</v>
      </c>
      <c r="S20" s="1067">
        <f t="shared" si="56"/>
        <v>0.14999999999999991</v>
      </c>
      <c r="T20" s="1067">
        <f t="shared" si="56"/>
        <v>0.14999999999999991</v>
      </c>
      <c r="U20" s="1067">
        <f t="shared" si="56"/>
        <v>0.14999999999999991</v>
      </c>
      <c r="V20" s="1067">
        <f t="shared" si="56"/>
        <v>0.14999999999999991</v>
      </c>
      <c r="W20" s="1067">
        <f t="shared" si="56"/>
        <v>0.15000000000000013</v>
      </c>
      <c r="X20" s="1067">
        <f t="shared" si="56"/>
        <v>0.15000000000000013</v>
      </c>
      <c r="Y20" s="1067">
        <f t="shared" si="56"/>
        <v>0.14999999999999991</v>
      </c>
      <c r="Z20" s="1067">
        <f t="shared" si="56"/>
        <v>0.14999999999999991</v>
      </c>
      <c r="AA20" s="1048"/>
      <c r="AB20" s="1062"/>
      <c r="AC20" s="1063"/>
      <c r="AD20" s="1064"/>
      <c r="AE20" s="1063"/>
      <c r="AF20" s="1064"/>
    </row>
    <row r="21" spans="1:32" ht="14.5" x14ac:dyDescent="0.35">
      <c r="A21" s="1026" t="s">
        <v>38</v>
      </c>
      <c r="C21" s="1067"/>
      <c r="D21" s="1067"/>
      <c r="E21" s="1067"/>
      <c r="F21" s="916"/>
      <c r="G21" s="1067"/>
      <c r="H21" s="1067"/>
      <c r="I21" s="1068">
        <f t="shared" ref="I21" si="57">+I18-H18</f>
        <v>35.980000000000018</v>
      </c>
      <c r="J21" s="1068">
        <f t="shared" ref="J21" si="58">+J18-I18</f>
        <v>24.561999999999898</v>
      </c>
      <c r="K21" s="1068">
        <f t="shared" ref="K21" si="59">+K18-J18</f>
        <v>40.65300000000002</v>
      </c>
      <c r="L21" s="1068">
        <f t="shared" ref="L21" si="60">+L18-K18</f>
        <v>50.851999999999975</v>
      </c>
      <c r="M21" s="931">
        <f t="shared" ref="M21:N21" si="61">+M18-L18</f>
        <v>46.620000000000061</v>
      </c>
      <c r="N21" s="1338">
        <f t="shared" si="61"/>
        <v>43.923000000000002</v>
      </c>
      <c r="O21" s="1347">
        <f t="shared" ref="O21:X21" si="62">+O18-N18</f>
        <v>62.662949999999967</v>
      </c>
      <c r="P21" s="1068">
        <f t="shared" si="62"/>
        <v>72.062392499999987</v>
      </c>
      <c r="Q21" s="1068">
        <f t="shared" si="62"/>
        <v>82.871751374999917</v>
      </c>
      <c r="R21" s="1068">
        <f t="shared" si="62"/>
        <v>95.302514081250024</v>
      </c>
      <c r="S21" s="1068">
        <f t="shared" si="62"/>
        <v>109.59789119343748</v>
      </c>
      <c r="T21" s="1068">
        <f t="shared" si="62"/>
        <v>126.03757487245309</v>
      </c>
      <c r="U21" s="1068">
        <f t="shared" si="62"/>
        <v>144.943211103321</v>
      </c>
      <c r="V21" s="1068">
        <f t="shared" si="62"/>
        <v>166.6846927688191</v>
      </c>
      <c r="W21" s="1068">
        <f t="shared" si="62"/>
        <v>191.68739668414219</v>
      </c>
      <c r="X21" s="1068">
        <f t="shared" si="62"/>
        <v>220.44050618676351</v>
      </c>
      <c r="Y21" s="1068">
        <f t="shared" ref="Y21" si="63">+Y18-X18</f>
        <v>253.50658211477776</v>
      </c>
      <c r="Z21" s="1068">
        <f t="shared" ref="Z21" si="64">+Z18-Y18</f>
        <v>291.53256943199449</v>
      </c>
      <c r="AA21" s="1048"/>
      <c r="AB21" s="1062"/>
      <c r="AC21" s="1063"/>
      <c r="AD21" s="1064"/>
      <c r="AE21" s="1063"/>
      <c r="AF21" s="1064"/>
    </row>
    <row r="22" spans="1:32" ht="14.5" hidden="1" outlineLevel="1" x14ac:dyDescent="0.35">
      <c r="A22" s="1026" t="s">
        <v>43</v>
      </c>
      <c r="C22" s="759"/>
      <c r="D22" s="1067"/>
      <c r="E22" s="1067"/>
      <c r="F22" s="916"/>
      <c r="G22" s="1067"/>
      <c r="H22" s="1067" t="e">
        <f>+H18/H13</f>
        <v>#DIV/0!</v>
      </c>
      <c r="I22" s="1067" t="e">
        <f t="shared" ref="I22:L22" si="65">+I18/I13</f>
        <v>#DIV/0!</v>
      </c>
      <c r="J22" s="1067" t="e">
        <f t="shared" si="65"/>
        <v>#DIV/0!</v>
      </c>
      <c r="K22" s="1067" t="e">
        <f t="shared" si="65"/>
        <v>#DIV/0!</v>
      </c>
      <c r="L22" s="1067" t="e">
        <f t="shared" si="65"/>
        <v>#DIV/0!</v>
      </c>
      <c r="M22" s="1067" t="e">
        <f t="shared" ref="M22:N22" si="66">+M18/M13</f>
        <v>#DIV/0!</v>
      </c>
      <c r="N22" s="1337" t="e">
        <f t="shared" si="66"/>
        <v>#DIV/0!</v>
      </c>
      <c r="O22" s="1346"/>
      <c r="P22" s="1067"/>
      <c r="Q22" s="1067"/>
      <c r="R22" s="1067"/>
      <c r="S22" s="1067"/>
      <c r="T22" s="1067"/>
      <c r="U22" s="1067"/>
      <c r="V22" s="1067"/>
      <c r="W22" s="1067"/>
      <c r="X22" s="1067"/>
      <c r="Y22" s="1067"/>
      <c r="Z22" s="1067"/>
      <c r="AA22" s="1048"/>
      <c r="AB22" s="1062"/>
      <c r="AC22" s="1063"/>
      <c r="AD22" s="1064"/>
      <c r="AE22" s="1063"/>
      <c r="AF22" s="1064"/>
    </row>
    <row r="23" spans="1:32" ht="14.5" collapsed="1" x14ac:dyDescent="0.35">
      <c r="A23" s="1026" t="str">
        <f>+A15</f>
        <v>% of Invoiced Income</v>
      </c>
      <c r="C23" s="1067">
        <f t="shared" ref="C23:H23" si="67">+C18/C8</f>
        <v>0.1781678610052658</v>
      </c>
      <c r="D23" s="1067">
        <f t="shared" si="67"/>
        <v>0.17535959999762282</v>
      </c>
      <c r="E23" s="1067">
        <f t="shared" si="67"/>
        <v>0.17241697478878815</v>
      </c>
      <c r="F23" s="916">
        <f t="shared" si="67"/>
        <v>0.17954461285846229</v>
      </c>
      <c r="G23" s="1067">
        <f t="shared" si="67"/>
        <v>0.16373204753049939</v>
      </c>
      <c r="H23" s="1067">
        <f t="shared" si="67"/>
        <v>0.16193636183781124</v>
      </c>
      <c r="I23" s="1067">
        <f t="shared" ref="I23:L23" si="68">+I18/I8</f>
        <v>0.14931643829416491</v>
      </c>
      <c r="J23" s="1067">
        <f t="shared" si="68"/>
        <v>0.14318204874161014</v>
      </c>
      <c r="K23" s="1067">
        <f t="shared" si="68"/>
        <v>0.14256721900084601</v>
      </c>
      <c r="L23" s="1067">
        <f t="shared" si="68"/>
        <v>0.13049059694832019</v>
      </c>
      <c r="M23" s="1067">
        <f t="shared" ref="M23:N23" si="69">+M18/M8</f>
        <v>0.14585641825985174</v>
      </c>
      <c r="N23" s="1337">
        <f t="shared" si="69"/>
        <v>0.14646693780239814</v>
      </c>
      <c r="O23" s="1457">
        <f t="shared" ref="O23" si="70">N23</f>
        <v>0.14646693780239814</v>
      </c>
      <c r="P23" s="1070">
        <f t="shared" ref="P23" si="71">O23</f>
        <v>0.14646693780239814</v>
      </c>
      <c r="Q23" s="1070">
        <f t="shared" ref="Q23" si="72">P23</f>
        <v>0.14646693780239814</v>
      </c>
      <c r="R23" s="1070">
        <f t="shared" ref="R23" si="73">Q23</f>
        <v>0.14646693780239814</v>
      </c>
      <c r="S23" s="1070">
        <f t="shared" ref="S23" si="74">R23</f>
        <v>0.14646693780239814</v>
      </c>
      <c r="T23" s="1070">
        <f t="shared" ref="T23" si="75">S23</f>
        <v>0.14646693780239814</v>
      </c>
      <c r="U23" s="1070">
        <f t="shared" ref="U23" si="76">T23</f>
        <v>0.14646693780239814</v>
      </c>
      <c r="V23" s="1070">
        <f t="shared" ref="V23" si="77">U23</f>
        <v>0.14646693780239814</v>
      </c>
      <c r="W23" s="1070">
        <f t="shared" ref="W23" si="78">V23</f>
        <v>0.14646693780239814</v>
      </c>
      <c r="X23" s="1070">
        <f t="shared" ref="X23" si="79">W23</f>
        <v>0.14646693780239814</v>
      </c>
      <c r="Y23" s="1070">
        <f t="shared" ref="Y23" si="80">X23</f>
        <v>0.14646693780239814</v>
      </c>
      <c r="Z23" s="1070">
        <f t="shared" ref="Z23" si="81">Y23</f>
        <v>0.14646693780239814</v>
      </c>
      <c r="AA23" s="1048"/>
      <c r="AB23" s="1062"/>
      <c r="AC23" s="1063"/>
      <c r="AD23" s="1064"/>
      <c r="AE23" s="1063"/>
      <c r="AF23" s="1064"/>
    </row>
    <row r="24" spans="1:32" x14ac:dyDescent="0.3">
      <c r="C24" s="759"/>
      <c r="D24" s="759"/>
      <c r="E24" s="759"/>
      <c r="F24" s="759"/>
      <c r="G24" s="759"/>
      <c r="H24" s="759"/>
      <c r="I24" s="759"/>
      <c r="J24" s="759"/>
      <c r="K24" s="759"/>
      <c r="L24" s="759"/>
      <c r="M24" s="759"/>
      <c r="N24" s="1004"/>
      <c r="O24" s="1005"/>
      <c r="P24" s="759"/>
      <c r="Q24" s="759"/>
      <c r="R24" s="759"/>
      <c r="S24" s="759"/>
      <c r="T24" s="759"/>
      <c r="U24" s="759"/>
      <c r="V24" s="759"/>
      <c r="W24" s="759"/>
      <c r="X24" s="759"/>
      <c r="Y24" s="759"/>
      <c r="Z24" s="759"/>
      <c r="AA24" s="1048"/>
      <c r="AB24" s="1062"/>
      <c r="AC24" s="1063"/>
      <c r="AD24" s="1064"/>
      <c r="AE24" s="1063"/>
      <c r="AF24" s="1064"/>
    </row>
    <row r="25" spans="1:32" s="759" customFormat="1" x14ac:dyDescent="0.3">
      <c r="A25" s="759" t="s">
        <v>44</v>
      </c>
      <c r="C25" s="903">
        <f t="shared" ref="C25:K25" si="82">+C18-C31</f>
        <v>43.143000000000001</v>
      </c>
      <c r="D25" s="903">
        <f t="shared" si="82"/>
        <v>52.993000000000002</v>
      </c>
      <c r="E25" s="903">
        <f t="shared" si="82"/>
        <v>62.194000000000081</v>
      </c>
      <c r="F25" s="903">
        <f t="shared" si="82"/>
        <v>74.853999999999999</v>
      </c>
      <c r="G25" s="903">
        <f t="shared" si="82"/>
        <v>86.15100000000001</v>
      </c>
      <c r="H25" s="903">
        <f t="shared" si="82"/>
        <v>107.14100000000001</v>
      </c>
      <c r="I25" s="903">
        <f t="shared" si="82"/>
        <v>127.40999999999998</v>
      </c>
      <c r="J25" s="903">
        <f t="shared" si="82"/>
        <v>142.49900000000002</v>
      </c>
      <c r="K25" s="903">
        <f t="shared" si="82"/>
        <v>157.16000000000003</v>
      </c>
      <c r="L25" s="903">
        <f>+L18-L31</f>
        <v>191.00900000000004</v>
      </c>
      <c r="M25" s="902">
        <f t="shared" ref="M25:X25" si="83">+M18-M31</f>
        <v>232.92999999999998</v>
      </c>
      <c r="N25" s="905">
        <f t="shared" si="83"/>
        <v>263.68899999999996</v>
      </c>
      <c r="O25" s="906">
        <f t="shared" si="83"/>
        <v>301.59260504166662</v>
      </c>
      <c r="P25" s="903">
        <f t="shared" si="83"/>
        <v>344.93428909583326</v>
      </c>
      <c r="Q25" s="903">
        <f t="shared" si="83"/>
        <v>394.49264475281234</v>
      </c>
      <c r="R25" s="903">
        <f t="shared" si="83"/>
        <v>451.15748560222903</v>
      </c>
      <c r="S25" s="903">
        <f t="shared" si="83"/>
        <v>515.94569419953245</v>
      </c>
      <c r="T25" s="903">
        <f t="shared" si="83"/>
        <v>590.01932194997664</v>
      </c>
      <c r="U25" s="903">
        <f t="shared" si="83"/>
        <v>674.70625990606459</v>
      </c>
      <c r="V25" s="903">
        <f t="shared" si="83"/>
        <v>771.52384450510442</v>
      </c>
      <c r="W25" s="903">
        <f t="shared" si="83"/>
        <v>882.20581363596989</v>
      </c>
      <c r="X25" s="903">
        <f t="shared" si="83"/>
        <v>1008.7330870047301</v>
      </c>
      <c r="Y25" s="903">
        <f t="shared" ref="Y25:Z25" si="84">+Y18-Y31</f>
        <v>1153.3689115773091</v>
      </c>
      <c r="Z25" s="903">
        <f t="shared" si="84"/>
        <v>1318.6989890640557</v>
      </c>
      <c r="AA25" s="937"/>
      <c r="AB25" s="910"/>
      <c r="AC25" s="911"/>
      <c r="AD25" s="912"/>
      <c r="AE25" s="911"/>
      <c r="AF25" s="912"/>
    </row>
    <row r="26" spans="1:32" ht="14.5" x14ac:dyDescent="0.35">
      <c r="A26" s="1026" t="s">
        <v>37</v>
      </c>
      <c r="C26" s="759"/>
      <c r="D26" s="1067">
        <f>D25/C25-1</f>
        <v>0.22831050228310512</v>
      </c>
      <c r="E26" s="1067">
        <f>E25/D25-1</f>
        <v>0.173626705413924</v>
      </c>
      <c r="F26" s="916">
        <f>F25/E25-1</f>
        <v>0.20355661317811857</v>
      </c>
      <c r="G26" s="1067">
        <f t="shared" ref="G26" si="85">+G25/F25-1</f>
        <v>0.15092045849253233</v>
      </c>
      <c r="H26" s="1067">
        <f t="shared" ref="H26" si="86">+H25/G25-1</f>
        <v>0.24364197745818372</v>
      </c>
      <c r="I26" s="1067">
        <f t="shared" ref="I26" si="87">+I25/H25-1</f>
        <v>0.18918061246394924</v>
      </c>
      <c r="J26" s="1067">
        <f t="shared" ref="J26" si="88">+J25/I25-1</f>
        <v>0.11842869476493245</v>
      </c>
      <c r="K26" s="1067">
        <f t="shared" ref="K26" si="89">+K25/J25-1</f>
        <v>0.1028849325258423</v>
      </c>
      <c r="L26" s="1067">
        <f t="shared" ref="L26" si="90">+L25/K25-1</f>
        <v>0.21537923135657944</v>
      </c>
      <c r="M26" s="1067">
        <f t="shared" ref="M26" si="91">+M25/L25-1</f>
        <v>0.21947133381149531</v>
      </c>
      <c r="N26" s="1337">
        <f t="shared" ref="N26" si="92">+N25/M25-1</f>
        <v>0.13205254797578658</v>
      </c>
      <c r="O26" s="1346">
        <f t="shared" ref="O26" si="93">+O25/N25-1</f>
        <v>0.14374359583322271</v>
      </c>
      <c r="P26" s="1067">
        <f t="shared" ref="P26" si="94">+P25/O25-1</f>
        <v>0.14370937260938077</v>
      </c>
      <c r="Q26" s="1067">
        <f t="shared" ref="Q26" si="95">+Q25/P25-1</f>
        <v>0.14367477291656039</v>
      </c>
      <c r="R26" s="1067">
        <f t="shared" ref="R26" si="96">+R25/Q25-1</f>
        <v>0.14363979050844589</v>
      </c>
      <c r="S26" s="1067">
        <f t="shared" ref="S26" si="97">+S25/R25-1</f>
        <v>0.14360441899976606</v>
      </c>
      <c r="T26" s="1067">
        <f t="shared" ref="T26" si="98">+T25/S25-1</f>
        <v>0.14356865186241397</v>
      </c>
      <c r="U26" s="1067">
        <f t="shared" ref="U26" si="99">+U25/T25-1</f>
        <v>0.14353248242142813</v>
      </c>
      <c r="V26" s="1067">
        <f t="shared" ref="V26" si="100">+V25/U25-1</f>
        <v>0.14349590385083899</v>
      </c>
      <c r="W26" s="1067">
        <f t="shared" ref="W26" si="101">+W25/V25-1</f>
        <v>0.14345890916937587</v>
      </c>
      <c r="X26" s="1067">
        <f t="shared" ref="X26" si="102">+X25/W25-1</f>
        <v>0.14342149123602344</v>
      </c>
      <c r="Y26" s="1067">
        <f t="shared" ref="Y26" si="103">+Y25/X25-1</f>
        <v>0.14338364274542803</v>
      </c>
      <c r="Z26" s="1067">
        <f t="shared" ref="Z26" si="104">+Z25/Y25-1</f>
        <v>0.14334535622314171</v>
      </c>
      <c r="AA26" s="1048"/>
      <c r="AB26" s="1062"/>
      <c r="AC26" s="1063"/>
      <c r="AD26" s="1064"/>
      <c r="AE26" s="1063"/>
      <c r="AF26" s="1064"/>
    </row>
    <row r="27" spans="1:32" ht="14.5" x14ac:dyDescent="0.35">
      <c r="A27" s="1026" t="s">
        <v>1488</v>
      </c>
      <c r="C27" s="759"/>
      <c r="D27" s="1067"/>
      <c r="E27" s="1067"/>
      <c r="F27" s="916"/>
      <c r="G27" s="1067"/>
      <c r="H27" s="1067"/>
      <c r="I27" s="1067">
        <f>+I26</f>
        <v>0.18918061246394924</v>
      </c>
      <c r="J27" s="1067">
        <f t="shared" ref="J27:Z27" si="105">+J26</f>
        <v>0.11842869476493245</v>
      </c>
      <c r="K27" s="1067">
        <f t="shared" si="105"/>
        <v>0.1028849325258423</v>
      </c>
      <c r="L27" s="1067">
        <f t="shared" si="105"/>
        <v>0.21537923135657944</v>
      </c>
      <c r="M27" s="1067">
        <f t="shared" si="105"/>
        <v>0.21947133381149531</v>
      </c>
      <c r="N27" s="1337">
        <f t="shared" si="105"/>
        <v>0.13205254797578658</v>
      </c>
      <c r="O27" s="1346">
        <f t="shared" si="105"/>
        <v>0.14374359583322271</v>
      </c>
      <c r="P27" s="1067">
        <f t="shared" si="105"/>
        <v>0.14370937260938077</v>
      </c>
      <c r="Q27" s="1067">
        <f t="shared" si="105"/>
        <v>0.14367477291656039</v>
      </c>
      <c r="R27" s="1067">
        <f t="shared" si="105"/>
        <v>0.14363979050844589</v>
      </c>
      <c r="S27" s="1067">
        <f t="shared" si="105"/>
        <v>0.14360441899976606</v>
      </c>
      <c r="T27" s="1067">
        <f t="shared" si="105"/>
        <v>0.14356865186241397</v>
      </c>
      <c r="U27" s="1067">
        <f t="shared" si="105"/>
        <v>0.14353248242142813</v>
      </c>
      <c r="V27" s="1067">
        <f t="shared" si="105"/>
        <v>0.14349590385083899</v>
      </c>
      <c r="W27" s="1067">
        <f t="shared" si="105"/>
        <v>0.14345890916937587</v>
      </c>
      <c r="X27" s="1067">
        <f t="shared" si="105"/>
        <v>0.14342149123602344</v>
      </c>
      <c r="Y27" s="1067">
        <f t="shared" si="105"/>
        <v>0.14338364274542803</v>
      </c>
      <c r="Z27" s="1067">
        <f t="shared" si="105"/>
        <v>0.14334535622314171</v>
      </c>
      <c r="AA27" s="1048"/>
      <c r="AB27" s="1062"/>
      <c r="AC27" s="1063"/>
      <c r="AD27" s="1064"/>
      <c r="AE27" s="1063"/>
      <c r="AF27" s="1064"/>
    </row>
    <row r="28" spans="1:32" ht="14.5" x14ac:dyDescent="0.35">
      <c r="A28" s="1026" t="s">
        <v>45</v>
      </c>
      <c r="C28" s="1067">
        <f t="shared" ref="C28:X28" si="106">+C25/C18</f>
        <v>0.61186197898200312</v>
      </c>
      <c r="D28" s="1067">
        <f t="shared" si="106"/>
        <v>0.5986489081686831</v>
      </c>
      <c r="E28" s="1067">
        <f t="shared" si="106"/>
        <v>0.60514716613962616</v>
      </c>
      <c r="F28" s="916">
        <f t="shared" si="106"/>
        <v>0.62007836510184988</v>
      </c>
      <c r="G28" s="1067">
        <f t="shared" si="106"/>
        <v>0.63205505381392935</v>
      </c>
      <c r="H28" s="1067">
        <f t="shared" si="106"/>
        <v>0.61166456386337298</v>
      </c>
      <c r="I28" s="1067">
        <f t="shared" si="106"/>
        <v>0.60342990295676369</v>
      </c>
      <c r="J28" s="1067">
        <f t="shared" si="106"/>
        <v>0.6045650283192977</v>
      </c>
      <c r="K28" s="1067">
        <f t="shared" si="106"/>
        <v>0.56868265076458813</v>
      </c>
      <c r="L28" s="1067">
        <f t="shared" si="106"/>
        <v>0.58375049662296408</v>
      </c>
      <c r="M28" s="1067">
        <f t="shared" si="106"/>
        <v>0.62309070968087099</v>
      </c>
      <c r="N28" s="1337">
        <f t="shared" si="106"/>
        <v>0.63120791472472959</v>
      </c>
      <c r="O28" s="1346">
        <f t="shared" si="106"/>
        <v>0.62777392183100211</v>
      </c>
      <c r="P28" s="1067">
        <f t="shared" si="106"/>
        <v>0.62433992893727464</v>
      </c>
      <c r="Q28" s="1067">
        <f t="shared" si="106"/>
        <v>0.62090593604354716</v>
      </c>
      <c r="R28" s="1067">
        <f t="shared" si="106"/>
        <v>0.61747194314981968</v>
      </c>
      <c r="S28" s="1067">
        <f t="shared" si="106"/>
        <v>0.61403795025609231</v>
      </c>
      <c r="T28" s="1067">
        <f t="shared" si="106"/>
        <v>0.61060395736236484</v>
      </c>
      <c r="U28" s="1067">
        <f t="shared" si="106"/>
        <v>0.60716996446863725</v>
      </c>
      <c r="V28" s="1067">
        <f t="shared" si="106"/>
        <v>0.60373597157490977</v>
      </c>
      <c r="W28" s="1067">
        <f t="shared" si="106"/>
        <v>0.60030197868118229</v>
      </c>
      <c r="X28" s="1067">
        <f t="shared" si="106"/>
        <v>0.59686798578745481</v>
      </c>
      <c r="Y28" s="1067">
        <f t="shared" ref="Y28:Z28" si="107">+Y25/Y18</f>
        <v>0.59343399289372734</v>
      </c>
      <c r="Z28" s="1067">
        <f t="shared" si="107"/>
        <v>0.59000000000000008</v>
      </c>
      <c r="AA28" s="1048"/>
      <c r="AB28" s="1062"/>
      <c r="AC28" s="1063"/>
      <c r="AD28" s="1064"/>
      <c r="AE28" s="1063"/>
      <c r="AF28" s="1064"/>
    </row>
    <row r="29" spans="1:32" ht="14.5" x14ac:dyDescent="0.35">
      <c r="A29" s="1026"/>
      <c r="C29" s="759"/>
      <c r="D29" s="759"/>
      <c r="E29" s="759"/>
      <c r="F29" s="759"/>
      <c r="G29" s="759"/>
      <c r="H29" s="759"/>
      <c r="I29" s="759"/>
      <c r="J29" s="759"/>
      <c r="K29" s="759"/>
      <c r="L29" s="759"/>
      <c r="M29" s="759"/>
      <c r="N29" s="1004"/>
      <c r="O29" s="1005"/>
      <c r="P29" s="759"/>
      <c r="Q29" s="759"/>
      <c r="R29" s="759"/>
      <c r="S29" s="759"/>
      <c r="T29" s="759"/>
      <c r="U29" s="759"/>
      <c r="V29" s="759"/>
      <c r="W29" s="759"/>
      <c r="X29" s="759"/>
      <c r="Y29" s="759"/>
      <c r="Z29" s="759"/>
      <c r="AA29" s="1048"/>
      <c r="AB29" s="1062"/>
      <c r="AC29" s="1063"/>
      <c r="AD29" s="1064"/>
      <c r="AE29" s="1063"/>
      <c r="AF29" s="1064"/>
    </row>
    <row r="30" spans="1:32" ht="14.5" x14ac:dyDescent="0.35">
      <c r="C30" s="759"/>
      <c r="D30" s="759"/>
      <c r="E30" s="759"/>
      <c r="F30" s="759"/>
      <c r="G30" s="759"/>
      <c r="H30" s="759"/>
      <c r="I30" s="759"/>
      <c r="J30" s="759"/>
      <c r="K30" s="759"/>
      <c r="L30" s="759"/>
      <c r="M30" s="1266"/>
      <c r="N30" s="1339"/>
      <c r="O30" s="1348" t="str">
        <f>+Base!O30</f>
        <v>c = 170</v>
      </c>
      <c r="P30" s="759"/>
      <c r="Q30" s="759"/>
      <c r="R30" s="759"/>
      <c r="S30" s="759"/>
      <c r="T30" s="759"/>
      <c r="U30" s="759"/>
      <c r="V30" s="759"/>
      <c r="W30" s="759"/>
      <c r="X30" s="759"/>
      <c r="Y30" s="759"/>
      <c r="Z30" s="759"/>
      <c r="AA30" s="937"/>
      <c r="AB30" s="1059"/>
      <c r="AC30" s="1042"/>
      <c r="AD30" s="1060"/>
      <c r="AE30" s="1042"/>
      <c r="AF30" s="1060"/>
    </row>
    <row r="31" spans="1:32" x14ac:dyDescent="0.3">
      <c r="A31" s="756" t="s">
        <v>759</v>
      </c>
      <c r="C31" s="1066">
        <f>+'Historicals and forecast'!AM45</f>
        <v>27.367999999999967</v>
      </c>
      <c r="D31" s="1066">
        <f>+'Historicals and forecast'!AN45</f>
        <v>35.528000000000013</v>
      </c>
      <c r="E31" s="1066">
        <f>+'Historicals and forecast'!AO45</f>
        <v>40.580999999999925</v>
      </c>
      <c r="F31" s="1066">
        <f>+'Historicals and forecast'!AP45</f>
        <v>45.862999999999985</v>
      </c>
      <c r="G31" s="1066">
        <f>+'Historicals and forecast'!AQ45</f>
        <v>50.151999999999994</v>
      </c>
      <c r="H31" s="1066">
        <f>+'Historicals and forecast'!AR45</f>
        <v>68.022000000000006</v>
      </c>
      <c r="I31" s="1066">
        <f>+'Historicals and forecast'!AS45</f>
        <v>83.733000000000047</v>
      </c>
      <c r="J31" s="1066">
        <f>+'Historicals and forecast'!AT45</f>
        <v>93.205999999999918</v>
      </c>
      <c r="K31" s="1066">
        <f>+'Historicals and forecast'!AU45</f>
        <v>119.19799999999992</v>
      </c>
      <c r="L31" s="1066">
        <f>+'Historicals and forecast'!AV45</f>
        <v>136.20099999999988</v>
      </c>
      <c r="M31" s="1420">
        <f>+'Historicals and forecast'!AW45</f>
        <v>140.9</v>
      </c>
      <c r="N31" s="1336">
        <f>+'Historicals and forecast'!AX45</f>
        <v>154.06399999999999</v>
      </c>
      <c r="O31" s="906">
        <f t="shared" ref="O31:X31" si="108">+O39-O36</f>
        <v>178.82334495833331</v>
      </c>
      <c r="P31" s="903">
        <f t="shared" si="108"/>
        <v>207.54405340416668</v>
      </c>
      <c r="Q31" s="903">
        <f t="shared" si="108"/>
        <v>240.85744912218749</v>
      </c>
      <c r="R31" s="903">
        <f t="shared" si="108"/>
        <v>279.49512235402085</v>
      </c>
      <c r="S31" s="903">
        <f t="shared" si="108"/>
        <v>324.30480495015496</v>
      </c>
      <c r="T31" s="903">
        <f t="shared" si="108"/>
        <v>376.26875207216381</v>
      </c>
      <c r="U31" s="903">
        <f t="shared" si="108"/>
        <v>436.52502521939692</v>
      </c>
      <c r="V31" s="903">
        <f t="shared" si="108"/>
        <v>506.39213338917614</v>
      </c>
      <c r="W31" s="903">
        <f t="shared" si="108"/>
        <v>587.39756094245286</v>
      </c>
      <c r="X31" s="903">
        <f t="shared" si="108"/>
        <v>681.31079376045614</v>
      </c>
      <c r="Y31" s="903">
        <f t="shared" ref="Y31:Z31" si="109">+Y39-Y36</f>
        <v>790.18155130265495</v>
      </c>
      <c r="Z31" s="903">
        <f t="shared" si="109"/>
        <v>916.38404324790292</v>
      </c>
      <c r="AA31" s="937"/>
      <c r="AB31" s="1059"/>
      <c r="AC31" s="1042"/>
      <c r="AD31" s="1060"/>
      <c r="AE31" s="1042"/>
      <c r="AF31" s="1060"/>
    </row>
    <row r="32" spans="1:32" ht="14.5" x14ac:dyDescent="0.35">
      <c r="A32" s="1026" t="s">
        <v>37</v>
      </c>
      <c r="C32" s="759"/>
      <c r="D32" s="1067">
        <f>D31/C31-1</f>
        <v>0.29815843320666668</v>
      </c>
      <c r="E32" s="1067">
        <f>E31/D31-1</f>
        <v>0.14222585003377364</v>
      </c>
      <c r="F32" s="916">
        <f>F31/E31-1</f>
        <v>0.13015943421798548</v>
      </c>
      <c r="G32" s="1067">
        <f t="shared" ref="G32:X32" si="110">+G31/F31-1</f>
        <v>9.3517650393563745E-2</v>
      </c>
      <c r="H32" s="1067">
        <f t="shared" si="110"/>
        <v>0.35631679693731089</v>
      </c>
      <c r="I32" s="1067">
        <f t="shared" si="110"/>
        <v>0.23096939225544744</v>
      </c>
      <c r="J32" s="1067">
        <f t="shared" si="110"/>
        <v>0.11313341215530159</v>
      </c>
      <c r="K32" s="1067">
        <f t="shared" si="110"/>
        <v>0.2788661674141153</v>
      </c>
      <c r="L32" s="1067">
        <f t="shared" si="110"/>
        <v>0.14264501082232894</v>
      </c>
      <c r="M32" s="1067">
        <f t="shared" si="110"/>
        <v>3.4500480906895836E-2</v>
      </c>
      <c r="N32" s="1337">
        <f t="shared" si="110"/>
        <v>9.3427963094393052E-2</v>
      </c>
      <c r="O32" s="1346">
        <f t="shared" si="110"/>
        <v>0.1607081794470695</v>
      </c>
      <c r="P32" s="1067">
        <f t="shared" si="110"/>
        <v>0.16060939052742484</v>
      </c>
      <c r="Q32" s="1067">
        <f t="shared" si="110"/>
        <v>0.1605124077110851</v>
      </c>
      <c r="R32" s="1067">
        <f t="shared" si="110"/>
        <v>0.16041718191672949</v>
      </c>
      <c r="S32" s="1067">
        <f t="shared" si="110"/>
        <v>0.1603236658254672</v>
      </c>
      <c r="T32" s="1067">
        <f t="shared" si="110"/>
        <v>0.16023181380243701</v>
      </c>
      <c r="U32" s="1067">
        <f t="shared" si="110"/>
        <v>0.16014158182254978</v>
      </c>
      <c r="V32" s="1067">
        <f t="shared" si="110"/>
        <v>0.16005292740012811</v>
      </c>
      <c r="W32" s="1067">
        <f t="shared" si="110"/>
        <v>0.15996580952220651</v>
      </c>
      <c r="X32" s="1067">
        <f t="shared" si="110"/>
        <v>0.15988018858526365</v>
      </c>
      <c r="Y32" s="1067">
        <f t="shared" ref="Y32" si="111">+Y31/X31-1</f>
        <v>0.15979602633519563</v>
      </c>
      <c r="Z32" s="1067">
        <f t="shared" ref="Z32" si="112">+Z31/Y31-1</f>
        <v>0.15971328581032629</v>
      </c>
      <c r="AA32" s="1048"/>
      <c r="AB32" s="1062"/>
      <c r="AC32" s="1063"/>
      <c r="AD32" s="1064"/>
      <c r="AE32" s="1063"/>
      <c r="AF32" s="1064"/>
    </row>
    <row r="33" spans="1:32" ht="14.5" x14ac:dyDescent="0.35">
      <c r="A33" s="1026" t="s">
        <v>1488</v>
      </c>
      <c r="C33" s="759"/>
      <c r="D33" s="1067"/>
      <c r="E33" s="1067"/>
      <c r="F33" s="916"/>
      <c r="G33" s="1067"/>
      <c r="H33" s="1067"/>
      <c r="I33" s="1067">
        <f>+I32</f>
        <v>0.23096939225544744</v>
      </c>
      <c r="J33" s="1067">
        <f t="shared" ref="J33:Z33" si="113">+J32</f>
        <v>0.11313341215530159</v>
      </c>
      <c r="K33" s="1067">
        <f t="shared" si="113"/>
        <v>0.2788661674141153</v>
      </c>
      <c r="L33" s="1067">
        <f t="shared" si="113"/>
        <v>0.14264501082232894</v>
      </c>
      <c r="M33" s="1067">
        <f t="shared" si="113"/>
        <v>3.4500480906895836E-2</v>
      </c>
      <c r="N33" s="1337">
        <f t="shared" si="113"/>
        <v>9.3427963094393052E-2</v>
      </c>
      <c r="O33" s="1346">
        <f t="shared" si="113"/>
        <v>0.1607081794470695</v>
      </c>
      <c r="P33" s="1067">
        <f t="shared" si="113"/>
        <v>0.16060939052742484</v>
      </c>
      <c r="Q33" s="1067">
        <f t="shared" si="113"/>
        <v>0.1605124077110851</v>
      </c>
      <c r="R33" s="1067">
        <f t="shared" si="113"/>
        <v>0.16041718191672949</v>
      </c>
      <c r="S33" s="1067">
        <f t="shared" si="113"/>
        <v>0.1603236658254672</v>
      </c>
      <c r="T33" s="1067">
        <f t="shared" si="113"/>
        <v>0.16023181380243701</v>
      </c>
      <c r="U33" s="1067">
        <f t="shared" si="113"/>
        <v>0.16014158182254978</v>
      </c>
      <c r="V33" s="1067">
        <f t="shared" si="113"/>
        <v>0.16005292740012811</v>
      </c>
      <c r="W33" s="1067">
        <f t="shared" si="113"/>
        <v>0.15996580952220651</v>
      </c>
      <c r="X33" s="1067">
        <f t="shared" si="113"/>
        <v>0.15988018858526365</v>
      </c>
      <c r="Y33" s="1067">
        <f t="shared" si="113"/>
        <v>0.15979602633519563</v>
      </c>
      <c r="Z33" s="1067">
        <f t="shared" si="113"/>
        <v>0.15971328581032629</v>
      </c>
      <c r="AA33" s="1048"/>
      <c r="AB33" s="1062"/>
      <c r="AC33" s="1063"/>
      <c r="AD33" s="1064"/>
      <c r="AE33" s="1063"/>
      <c r="AF33" s="1064"/>
    </row>
    <row r="34" spans="1:32" ht="14.5" x14ac:dyDescent="0.35">
      <c r="A34" s="1026" t="s">
        <v>45</v>
      </c>
      <c r="B34" s="1067"/>
      <c r="C34" s="1067">
        <f t="shared" ref="C34:X34" si="114">+C31/C18</f>
        <v>0.38813802101799688</v>
      </c>
      <c r="D34" s="1067">
        <f t="shared" si="114"/>
        <v>0.40135109183131695</v>
      </c>
      <c r="E34" s="1067">
        <f t="shared" si="114"/>
        <v>0.39485283386037384</v>
      </c>
      <c r="F34" s="1067">
        <f t="shared" si="114"/>
        <v>0.37992163489815017</v>
      </c>
      <c r="G34" s="1067">
        <f t="shared" si="114"/>
        <v>0.36794494618607071</v>
      </c>
      <c r="H34" s="1067">
        <f t="shared" si="114"/>
        <v>0.38833543613662702</v>
      </c>
      <c r="I34" s="1067">
        <f t="shared" si="114"/>
        <v>0.39657009704323626</v>
      </c>
      <c r="J34" s="1067">
        <f t="shared" si="114"/>
        <v>0.39543497168070235</v>
      </c>
      <c r="K34" s="1067">
        <f t="shared" si="114"/>
        <v>0.43131734923541182</v>
      </c>
      <c r="L34" s="1067">
        <f t="shared" si="114"/>
        <v>0.41624950337703587</v>
      </c>
      <c r="M34" s="1067">
        <f t="shared" si="114"/>
        <v>0.37690929031912906</v>
      </c>
      <c r="N34" s="1337">
        <f t="shared" si="114"/>
        <v>0.3687920852752703</v>
      </c>
      <c r="O34" s="1346">
        <f t="shared" si="114"/>
        <v>0.37222607816899778</v>
      </c>
      <c r="P34" s="1067">
        <f t="shared" si="114"/>
        <v>0.37566007106272531</v>
      </c>
      <c r="Q34" s="1067">
        <f t="shared" si="114"/>
        <v>0.37909406395645279</v>
      </c>
      <c r="R34" s="1067">
        <f t="shared" si="114"/>
        <v>0.38252805685018032</v>
      </c>
      <c r="S34" s="1067">
        <f t="shared" si="114"/>
        <v>0.38596204974390774</v>
      </c>
      <c r="T34" s="1067">
        <f t="shared" si="114"/>
        <v>0.38939604263763522</v>
      </c>
      <c r="U34" s="1067">
        <f t="shared" si="114"/>
        <v>0.39283003553136275</v>
      </c>
      <c r="V34" s="1067">
        <f t="shared" si="114"/>
        <v>0.39626402842509023</v>
      </c>
      <c r="W34" s="1067">
        <f t="shared" si="114"/>
        <v>0.39969802131881771</v>
      </c>
      <c r="X34" s="1067">
        <f t="shared" si="114"/>
        <v>0.40313201421254519</v>
      </c>
      <c r="Y34" s="1067">
        <f t="shared" ref="Y34:Z34" si="115">+Y31/Y18</f>
        <v>0.40656600710627266</v>
      </c>
      <c r="Z34" s="1067">
        <f t="shared" si="115"/>
        <v>0.41</v>
      </c>
      <c r="AA34" s="1048"/>
      <c r="AB34" s="1062"/>
      <c r="AC34" s="1063"/>
      <c r="AD34" s="1064"/>
      <c r="AE34" s="1063"/>
      <c r="AF34" s="1064"/>
    </row>
    <row r="35" spans="1:32" x14ac:dyDescent="0.3">
      <c r="C35" s="759"/>
      <c r="D35" s="759"/>
      <c r="E35" s="759"/>
      <c r="F35" s="759"/>
      <c r="G35" s="759"/>
      <c r="H35" s="759"/>
      <c r="I35" s="759"/>
      <c r="J35" s="759"/>
      <c r="K35" s="759"/>
      <c r="L35" s="759"/>
      <c r="M35" s="759"/>
      <c r="N35" s="1004"/>
      <c r="O35" s="1005"/>
      <c r="P35" s="759"/>
      <c r="Q35" s="759"/>
      <c r="R35" s="759"/>
      <c r="S35" s="759"/>
      <c r="T35" s="759"/>
      <c r="U35" s="759"/>
      <c r="V35" s="759"/>
      <c r="W35" s="759"/>
      <c r="X35" s="759"/>
      <c r="Y35" s="759"/>
      <c r="Z35" s="759"/>
      <c r="AA35" s="937"/>
      <c r="AB35" s="1059"/>
      <c r="AC35" s="1042"/>
      <c r="AD35" s="1060"/>
      <c r="AE35" s="1042"/>
      <c r="AF35" s="1060"/>
    </row>
    <row r="36" spans="1:32" x14ac:dyDescent="0.3">
      <c r="A36" s="756" t="s">
        <v>48</v>
      </c>
      <c r="C36" s="1066">
        <f>+'Historicals and forecast'!AM53</f>
        <v>1.1660000000000001</v>
      </c>
      <c r="D36" s="1066">
        <f>+'Historicals and forecast'!AN53</f>
        <v>1.778</v>
      </c>
      <c r="E36" s="1066">
        <f>+'Historicals and forecast'!AO53</f>
        <v>2.1470000000000002</v>
      </c>
      <c r="F36" s="1066">
        <f>+'Historicals and forecast'!AP53</f>
        <v>2.1230000000000002</v>
      </c>
      <c r="G36" s="1066">
        <f>+'Historicals and forecast'!AQ53</f>
        <v>2.008</v>
      </c>
      <c r="H36" s="1066">
        <f>+'Historicals and forecast'!AR53</f>
        <v>1.7589999999999999</v>
      </c>
      <c r="I36" s="1066">
        <f>+'Historicals and forecast'!AS53</f>
        <v>1.52</v>
      </c>
      <c r="J36" s="1066">
        <f>+'Historicals and forecast'!AT53</f>
        <v>1.6139999999999999</v>
      </c>
      <c r="K36" s="1066">
        <f>+'Historicals and forecast'!AU53</f>
        <v>2.6289999999999996</v>
      </c>
      <c r="L36" s="1066">
        <f>+'Historicals and forecast'!AV53</f>
        <v>2.931</v>
      </c>
      <c r="M36" s="1420">
        <f>+'Historicals and forecast'!AW53</f>
        <v>3.9910000000000001</v>
      </c>
      <c r="N36" s="1336">
        <f>+'Historicals and forecast'!AX53</f>
        <v>4.1950000000000003</v>
      </c>
      <c r="O36" s="906">
        <f t="shared" ref="O36:X36" si="116">O37*O18</f>
        <v>5.3330291666666669</v>
      </c>
      <c r="P36" s="903">
        <f t="shared" si="116"/>
        <v>6.7180795833333331</v>
      </c>
      <c r="Q36" s="903">
        <f t="shared" si="116"/>
        <v>8.3986519687499985</v>
      </c>
      <c r="R36" s="903">
        <f t="shared" si="116"/>
        <v>10.432239279166666</v>
      </c>
      <c r="S36" s="903">
        <f t="shared" si="116"/>
        <v>12.886933113411457</v>
      </c>
      <c r="T36" s="903">
        <f t="shared" si="116"/>
        <v>15.843309714148436</v>
      </c>
      <c r="U36" s="903">
        <f t="shared" si="116"/>
        <v>19.396643300054748</v>
      </c>
      <c r="V36" s="903">
        <f t="shared" si="116"/>
        <v>23.659502493164617</v>
      </c>
      <c r="W36" s="903">
        <f t="shared" si="116"/>
        <v>28.764794969956217</v>
      </c>
      <c r="X36" s="903">
        <f t="shared" si="116"/>
        <v>34.869336383689088</v>
      </c>
      <c r="Y36" s="903">
        <f t="shared" ref="Y36:Z36" si="117">Y37*Y18</f>
        <v>42.158032334717809</v>
      </c>
      <c r="Z36" s="903">
        <f t="shared" si="117"/>
        <v>50.848777002422146</v>
      </c>
      <c r="AA36" s="1048"/>
      <c r="AB36" s="910">
        <f>'Historicals and forecast'!BC53</f>
        <v>4.7614474785190541E-2</v>
      </c>
      <c r="AC36" s="911">
        <f>'Historicals and forecast'!BD53</f>
        <v>0.51114291618070196</v>
      </c>
      <c r="AD36" s="912">
        <f>'Historicals and forecast'!BE53</f>
        <v>0.25821110806573611</v>
      </c>
      <c r="AE36" s="911">
        <f>(L36/G36)^(1/5)-1</f>
        <v>7.8575179605875567E-2</v>
      </c>
      <c r="AF36" s="912">
        <f>(Q36/G36)^(1/10)-1</f>
        <v>0.15383733559031909</v>
      </c>
    </row>
    <row r="37" spans="1:32" ht="14.5" x14ac:dyDescent="0.35">
      <c r="A37" s="1026" t="s">
        <v>45</v>
      </c>
      <c r="C37" s="1067">
        <f t="shared" ref="C37:N37" si="118">+C36/C18</f>
        <v>1.6536426940477383E-2</v>
      </c>
      <c r="D37" s="1067">
        <f t="shared" si="118"/>
        <v>2.0085629398673758E-2</v>
      </c>
      <c r="E37" s="1067">
        <f t="shared" si="118"/>
        <v>2.0890294332279253E-2</v>
      </c>
      <c r="F37" s="1067">
        <f t="shared" si="118"/>
        <v>1.7586586810474088E-2</v>
      </c>
      <c r="G37" s="1067">
        <f t="shared" si="118"/>
        <v>1.4731884111134751E-2</v>
      </c>
      <c r="H37" s="1067">
        <f t="shared" si="118"/>
        <v>1.0042075095767941E-2</v>
      </c>
      <c r="I37" s="1067">
        <f t="shared" si="118"/>
        <v>7.1989125853094815E-3</v>
      </c>
      <c r="J37" s="1067">
        <f t="shared" si="118"/>
        <v>6.8475424789461422E-3</v>
      </c>
      <c r="K37" s="1067">
        <f t="shared" si="118"/>
        <v>9.5130229629683243E-3</v>
      </c>
      <c r="L37" s="1067">
        <f t="shared" si="118"/>
        <v>8.9575501971211179E-3</v>
      </c>
      <c r="M37" s="1067">
        <f t="shared" si="118"/>
        <v>1.0675975710884628E-2</v>
      </c>
      <c r="N37" s="1337">
        <f t="shared" si="118"/>
        <v>1.0041818969582506E-2</v>
      </c>
      <c r="O37" s="1346">
        <f>($Z$37-$N$37)/12+N37</f>
        <v>1.1100857843430609E-2</v>
      </c>
      <c r="P37" s="1067">
        <f t="shared" ref="P37:Y37" si="119">($Z$37-$N$37)/12+O37</f>
        <v>1.2159896717278712E-2</v>
      </c>
      <c r="Q37" s="1067">
        <f t="shared" si="119"/>
        <v>1.3218935591126815E-2</v>
      </c>
      <c r="R37" s="1067">
        <f t="shared" si="119"/>
        <v>1.4277974464974919E-2</v>
      </c>
      <c r="S37" s="1067">
        <f t="shared" si="119"/>
        <v>1.5337013338823022E-2</v>
      </c>
      <c r="T37" s="1067">
        <f t="shared" si="119"/>
        <v>1.6396052212671125E-2</v>
      </c>
      <c r="U37" s="1067">
        <f t="shared" si="119"/>
        <v>1.7455091086519228E-2</v>
      </c>
      <c r="V37" s="1067">
        <f t="shared" si="119"/>
        <v>1.8514129960367331E-2</v>
      </c>
      <c r="W37" s="1067">
        <f t="shared" si="119"/>
        <v>1.9573168834215435E-2</v>
      </c>
      <c r="X37" s="1067">
        <f t="shared" si="119"/>
        <v>2.0632207708063538E-2</v>
      </c>
      <c r="Y37" s="1067">
        <f t="shared" si="119"/>
        <v>2.1691246581911641E-2</v>
      </c>
      <c r="Z37" s="1070">
        <f t="shared" ref="Z37" si="120">Z45</f>
        <v>2.2750285455759748E-2</v>
      </c>
      <c r="AA37" s="1048"/>
      <c r="AB37" s="1059"/>
      <c r="AC37" s="1042"/>
      <c r="AD37" s="1060"/>
      <c r="AE37" s="1042"/>
      <c r="AF37" s="1060"/>
    </row>
    <row r="38" spans="1:32" ht="14.5" x14ac:dyDescent="0.35">
      <c r="A38" s="1026"/>
      <c r="C38" s="1067"/>
      <c r="D38" s="1067"/>
      <c r="E38" s="1067"/>
      <c r="F38" s="1067"/>
      <c r="G38" s="1067"/>
      <c r="H38" s="1067"/>
      <c r="I38" s="1067"/>
      <c r="J38" s="1067"/>
      <c r="K38" s="1067"/>
      <c r="L38" s="1067"/>
      <c r="M38" s="1067"/>
      <c r="N38" s="1337"/>
      <c r="O38" s="1346"/>
      <c r="P38" s="1067"/>
      <c r="Q38" s="1067"/>
      <c r="R38" s="1067"/>
      <c r="S38" s="1067"/>
      <c r="T38" s="1067"/>
      <c r="U38" s="1067"/>
      <c r="V38" s="1067"/>
      <c r="W38" s="1067"/>
      <c r="X38" s="1070"/>
      <c r="Y38" s="1070"/>
      <c r="Z38" s="1070"/>
      <c r="AA38" s="1048"/>
      <c r="AB38" s="1059"/>
      <c r="AC38" s="1042"/>
      <c r="AD38" s="1060"/>
      <c r="AE38" s="1042"/>
      <c r="AF38" s="1060"/>
    </row>
    <row r="39" spans="1:32" x14ac:dyDescent="0.3">
      <c r="A39" s="1159" t="s">
        <v>49</v>
      </c>
      <c r="C39" s="1066">
        <f>'Historicals and forecast'!AM54</f>
        <v>28.533999999999967</v>
      </c>
      <c r="D39" s="1066">
        <f>'Historicals and forecast'!AN54</f>
        <v>37.306000000000012</v>
      </c>
      <c r="E39" s="1066">
        <f>'Historicals and forecast'!AO54</f>
        <v>42.727999999999923</v>
      </c>
      <c r="F39" s="1066">
        <f>'Historicals and forecast'!AP54</f>
        <v>47.985999999999983</v>
      </c>
      <c r="G39" s="1066">
        <f>'Historicals and forecast'!AQ54</f>
        <v>52.16</v>
      </c>
      <c r="H39" s="1066">
        <f>'Historicals and forecast'!AR54</f>
        <v>69.781000000000006</v>
      </c>
      <c r="I39" s="1066">
        <f>'Historicals and forecast'!AS54</f>
        <v>85.253000000000043</v>
      </c>
      <c r="J39" s="1066">
        <f>'Historicals and forecast'!AT54</f>
        <v>94.819999999999922</v>
      </c>
      <c r="K39" s="1066">
        <f>'Historicals and forecast'!AU54</f>
        <v>121.82699999999993</v>
      </c>
      <c r="L39" s="1066">
        <f>'Historicals and forecast'!AV54</f>
        <v>139.13199999999989</v>
      </c>
      <c r="M39" s="1420">
        <f>'Historicals and forecast'!AW54</f>
        <v>144.89100000000002</v>
      </c>
      <c r="N39" s="1336">
        <f>'Historicals and forecast'!AX54</f>
        <v>158.25899999999999</v>
      </c>
      <c r="O39" s="906">
        <f t="shared" ref="O39:X39" si="121">O42*O18</f>
        <v>184.15637412499999</v>
      </c>
      <c r="P39" s="903">
        <f t="shared" si="121"/>
        <v>214.2621329875</v>
      </c>
      <c r="Q39" s="903">
        <f t="shared" si="121"/>
        <v>249.25610109093748</v>
      </c>
      <c r="R39" s="903">
        <f t="shared" si="121"/>
        <v>289.9273616331875</v>
      </c>
      <c r="S39" s="903">
        <f t="shared" si="121"/>
        <v>337.19173806356639</v>
      </c>
      <c r="T39" s="903">
        <f t="shared" si="121"/>
        <v>392.11206178631227</v>
      </c>
      <c r="U39" s="903">
        <f t="shared" si="121"/>
        <v>455.92166851945166</v>
      </c>
      <c r="V39" s="903">
        <f t="shared" si="121"/>
        <v>530.05163588234075</v>
      </c>
      <c r="W39" s="903">
        <f t="shared" si="121"/>
        <v>616.16235591240911</v>
      </c>
      <c r="X39" s="903">
        <f t="shared" si="121"/>
        <v>716.18013014414521</v>
      </c>
      <c r="Y39" s="903">
        <f t="shared" ref="Y39:Z39" si="122">Y42*Y18</f>
        <v>832.33958363737281</v>
      </c>
      <c r="Z39" s="903">
        <f t="shared" si="122"/>
        <v>967.23282025032506</v>
      </c>
      <c r="AA39" s="1048" t="s">
        <v>50</v>
      </c>
      <c r="AB39" s="910">
        <f>'Historicals and forecast'!BC30</f>
        <v>0.20044578023713999</v>
      </c>
      <c r="AC39" s="911">
        <f>'Historicals and forecast'!BD30</f>
        <v>0.27462115497225548</v>
      </c>
      <c r="AD39" s="912">
        <f>'Historicals and forecast'!BE30</f>
        <v>0.23697760161105341</v>
      </c>
      <c r="AE39" s="911">
        <f>(L39/G39)^(1/5)-1</f>
        <v>0.21679632414091166</v>
      </c>
      <c r="AF39" s="912">
        <f>(Q39/G39)^(1/10)-1</f>
        <v>0.16931311693950701</v>
      </c>
    </row>
    <row r="40" spans="1:32" ht="14.5" x14ac:dyDescent="0.35">
      <c r="A40" s="1026" t="str">
        <f>+A19</f>
        <v>% Growth</v>
      </c>
      <c r="C40" s="1067"/>
      <c r="D40" s="1067">
        <f>+D39/C39-1</f>
        <v>0.30742272376813817</v>
      </c>
      <c r="E40" s="1067">
        <f>+E39/D39-1</f>
        <v>0.1453385514394443</v>
      </c>
      <c r="F40" s="1067">
        <f>+F39/E39-1</f>
        <v>0.12305747987268467</v>
      </c>
      <c r="G40" s="1067">
        <f>+G39/F39-1</f>
        <v>8.6983703580211236E-2</v>
      </c>
      <c r="H40" s="1067">
        <f t="shared" ref="H40" si="123">+H39/G39-1</f>
        <v>0.33782592024539904</v>
      </c>
      <c r="I40" s="1067">
        <f t="shared" ref="I40" si="124">+I39/H39-1</f>
        <v>0.22172224531032847</v>
      </c>
      <c r="J40" s="1067">
        <f t="shared" ref="J40" si="125">+J39/I39-1</f>
        <v>0.11221892484721807</v>
      </c>
      <c r="K40" s="1067">
        <f t="shared" ref="K40" si="126">+K39/J39-1</f>
        <v>0.28482387681923682</v>
      </c>
      <c r="L40" s="1067">
        <f t="shared" ref="L40" si="127">+L39/K39-1</f>
        <v>0.14204568773752935</v>
      </c>
      <c r="M40" s="1067">
        <f t="shared" ref="M40:N40" si="128">+M39/L39-1</f>
        <v>4.1392346836099048E-2</v>
      </c>
      <c r="N40" s="1337">
        <f t="shared" si="128"/>
        <v>9.2262459366005967E-2</v>
      </c>
      <c r="O40" s="1346">
        <f t="shared" ref="O40" si="129">+O39/N39-1</f>
        <v>0.16363918718682657</v>
      </c>
      <c r="P40" s="1067">
        <f t="shared" ref="P40" si="130">+P39/O39-1</f>
        <v>0.16347932025456302</v>
      </c>
      <c r="Q40" s="1067">
        <f t="shared" ref="Q40" si="131">+Q39/P39-1</f>
        <v>0.16332315755243143</v>
      </c>
      <c r="R40" s="1067">
        <f t="shared" ref="R40" si="132">+R39/Q39-1</f>
        <v>0.1631705718104437</v>
      </c>
      <c r="S40" s="1067">
        <f t="shared" ref="S40" si="133">+S39/R39-1</f>
        <v>0.16302144152291898</v>
      </c>
      <c r="T40" s="1067">
        <f t="shared" ref="T40" si="134">+T39/S39-1</f>
        <v>0.16287565062579468</v>
      </c>
      <c r="U40" s="1067">
        <f t="shared" ref="U40" si="135">+U39/T39-1</f>
        <v>0.16273308819536769</v>
      </c>
      <c r="V40" s="1067">
        <f t="shared" ref="V40" si="136">+V39/U39-1</f>
        <v>0.16259364816683708</v>
      </c>
      <c r="W40" s="1067">
        <f t="shared" ref="W40" si="137">+W39/V39-1</f>
        <v>0.16245722907113702</v>
      </c>
      <c r="X40" s="1067">
        <f t="shared" ref="X40" si="138">+X39/W39-1</f>
        <v>0.16232373378868692</v>
      </c>
      <c r="Y40" s="1067">
        <f t="shared" ref="Y40" si="139">+Y39/X39-1</f>
        <v>0.16219306931881539</v>
      </c>
      <c r="Z40" s="1067">
        <f t="shared" ref="Z40" si="140">+Z39/Y39-1</f>
        <v>0.16206514656369087</v>
      </c>
      <c r="AA40" s="1048"/>
      <c r="AB40" s="1062"/>
      <c r="AC40" s="1063"/>
      <c r="AD40" s="1064"/>
      <c r="AE40" s="1063"/>
      <c r="AF40" s="1064"/>
    </row>
    <row r="41" spans="1:32" ht="14.5" x14ac:dyDescent="0.35">
      <c r="A41" s="1026" t="s">
        <v>1488</v>
      </c>
      <c r="C41" s="1067"/>
      <c r="D41" s="1067"/>
      <c r="E41" s="1067"/>
      <c r="F41" s="1067"/>
      <c r="G41" s="1067"/>
      <c r="H41" s="1067"/>
      <c r="I41" s="1067">
        <f>+I40</f>
        <v>0.22172224531032847</v>
      </c>
      <c r="J41" s="1067">
        <f t="shared" ref="J41:Z41" si="141">+J40</f>
        <v>0.11221892484721807</v>
      </c>
      <c r="K41" s="1067">
        <f t="shared" si="141"/>
        <v>0.28482387681923682</v>
      </c>
      <c r="L41" s="1067">
        <f t="shared" si="141"/>
        <v>0.14204568773752935</v>
      </c>
      <c r="M41" s="1067">
        <f t="shared" si="141"/>
        <v>4.1392346836099048E-2</v>
      </c>
      <c r="N41" s="1337">
        <f t="shared" si="141"/>
        <v>9.2262459366005967E-2</v>
      </c>
      <c r="O41" s="1346">
        <f t="shared" si="141"/>
        <v>0.16363918718682657</v>
      </c>
      <c r="P41" s="1067">
        <f t="shared" si="141"/>
        <v>0.16347932025456302</v>
      </c>
      <c r="Q41" s="1067">
        <f t="shared" si="141"/>
        <v>0.16332315755243143</v>
      </c>
      <c r="R41" s="1067">
        <f t="shared" si="141"/>
        <v>0.1631705718104437</v>
      </c>
      <c r="S41" s="1067">
        <f t="shared" si="141"/>
        <v>0.16302144152291898</v>
      </c>
      <c r="T41" s="1067">
        <f t="shared" si="141"/>
        <v>0.16287565062579468</v>
      </c>
      <c r="U41" s="1067">
        <f t="shared" si="141"/>
        <v>0.16273308819536769</v>
      </c>
      <c r="V41" s="1067">
        <f t="shared" si="141"/>
        <v>0.16259364816683708</v>
      </c>
      <c r="W41" s="1067">
        <f t="shared" si="141"/>
        <v>0.16245722907113702</v>
      </c>
      <c r="X41" s="1067">
        <f t="shared" si="141"/>
        <v>0.16232373378868692</v>
      </c>
      <c r="Y41" s="1067">
        <f t="shared" si="141"/>
        <v>0.16219306931881539</v>
      </c>
      <c r="Z41" s="1067">
        <f t="shared" si="141"/>
        <v>0.16206514656369087</v>
      </c>
      <c r="AA41" s="1048"/>
      <c r="AB41" s="1062"/>
      <c r="AC41" s="1063"/>
      <c r="AD41" s="1064"/>
      <c r="AE41" s="1063"/>
      <c r="AF41" s="1064"/>
    </row>
    <row r="42" spans="1:32" ht="14.5" x14ac:dyDescent="0.35">
      <c r="A42" s="1026" t="str">
        <f>+A28</f>
        <v>% of GP</v>
      </c>
      <c r="C42" s="1067">
        <f t="shared" ref="C42:N42" si="142">+C39/C18</f>
        <v>0.40467444795847429</v>
      </c>
      <c r="D42" s="1067">
        <f t="shared" si="142"/>
        <v>0.42143672122999071</v>
      </c>
      <c r="E42" s="1067">
        <f t="shared" si="142"/>
        <v>0.41574312819265308</v>
      </c>
      <c r="F42" s="1067">
        <f t="shared" si="142"/>
        <v>0.39750822170862421</v>
      </c>
      <c r="G42" s="1067">
        <f t="shared" si="142"/>
        <v>0.38267683029720545</v>
      </c>
      <c r="H42" s="1067">
        <f t="shared" si="142"/>
        <v>0.39837751123239495</v>
      </c>
      <c r="I42" s="1067">
        <f t="shared" si="142"/>
        <v>0.40376900962854573</v>
      </c>
      <c r="J42" s="1067">
        <f t="shared" si="142"/>
        <v>0.4022825141596485</v>
      </c>
      <c r="K42" s="1067">
        <f t="shared" si="142"/>
        <v>0.44083037219838017</v>
      </c>
      <c r="L42" s="1067">
        <f t="shared" si="142"/>
        <v>0.42520705357415706</v>
      </c>
      <c r="M42" s="1067">
        <f t="shared" si="142"/>
        <v>0.3875852660300137</v>
      </c>
      <c r="N42" s="1337">
        <f t="shared" si="142"/>
        <v>0.3788339042448528</v>
      </c>
      <c r="O42" s="1346">
        <f>($Z$42-$N$42)/12+N42</f>
        <v>0.3833269360124284</v>
      </c>
      <c r="P42" s="1067">
        <f t="shared" ref="P42:Y42" si="143">($Z$42-$N$42)/12+O42</f>
        <v>0.38781996778000399</v>
      </c>
      <c r="Q42" s="1067">
        <f t="shared" si="143"/>
        <v>0.39231299954757959</v>
      </c>
      <c r="R42" s="1067">
        <f t="shared" si="143"/>
        <v>0.39680603131515518</v>
      </c>
      <c r="S42" s="1067">
        <f t="shared" si="143"/>
        <v>0.40129906308273078</v>
      </c>
      <c r="T42" s="1067">
        <f t="shared" si="143"/>
        <v>0.40579209485030637</v>
      </c>
      <c r="U42" s="1067">
        <f t="shared" si="143"/>
        <v>0.41028512661788197</v>
      </c>
      <c r="V42" s="1067">
        <f t="shared" si="143"/>
        <v>0.41477815838545756</v>
      </c>
      <c r="W42" s="1067">
        <f t="shared" si="143"/>
        <v>0.41927119015303316</v>
      </c>
      <c r="X42" s="1067">
        <f t="shared" si="143"/>
        <v>0.42376422192060875</v>
      </c>
      <c r="Y42" s="1067">
        <f t="shared" si="143"/>
        <v>0.42825725368818435</v>
      </c>
      <c r="Z42" s="1070">
        <f t="shared" ref="Z42" si="144">41%+Z45</f>
        <v>0.43275028545575972</v>
      </c>
      <c r="AA42" s="1048"/>
      <c r="AB42" s="1062"/>
      <c r="AC42" s="1063"/>
      <c r="AD42" s="1064"/>
      <c r="AE42" s="1063"/>
      <c r="AF42" s="1064"/>
    </row>
    <row r="43" spans="1:32" ht="14.5" x14ac:dyDescent="0.35">
      <c r="A43" s="1026"/>
      <c r="C43" s="1067"/>
      <c r="D43" s="916"/>
      <c r="E43" s="916"/>
      <c r="F43" s="916"/>
      <c r="G43" s="1067"/>
      <c r="H43" s="1067"/>
      <c r="I43" s="1158"/>
      <c r="J43" s="1158"/>
      <c r="K43" s="1158"/>
      <c r="L43" s="1158"/>
      <c r="M43" s="1067"/>
      <c r="N43" s="1337"/>
      <c r="O43" s="1346"/>
      <c r="P43" s="1067"/>
      <c r="Q43" s="1067"/>
      <c r="R43" s="1067"/>
      <c r="S43" s="1067"/>
      <c r="T43" s="1067"/>
      <c r="U43" s="1067"/>
      <c r="V43" s="1067"/>
      <c r="W43" s="1067"/>
      <c r="X43" s="1067"/>
      <c r="Y43" s="1067"/>
      <c r="Z43" s="1067"/>
      <c r="AA43" s="937"/>
      <c r="AB43" s="1062"/>
      <c r="AC43" s="1063"/>
      <c r="AD43" s="1064"/>
      <c r="AE43" s="1063"/>
      <c r="AF43" s="1064"/>
    </row>
    <row r="44" spans="1:32" x14ac:dyDescent="0.3">
      <c r="A44" s="756" t="s">
        <v>51</v>
      </c>
      <c r="C44" s="1066">
        <f>+'Historicals and forecast'!AM66</f>
        <v>3.097</v>
      </c>
      <c r="D44" s="1066">
        <f>+'Historicals and forecast'!AN66</f>
        <v>2.1520000000000001</v>
      </c>
      <c r="E44" s="1066">
        <f>+'Historicals and forecast'!AO66</f>
        <v>2.5049999999999999</v>
      </c>
      <c r="F44" s="1066">
        <f>+'Historicals and forecast'!AP66</f>
        <v>1.726</v>
      </c>
      <c r="G44" s="1066">
        <f>+'Historicals and forecast'!AQ66</f>
        <v>1.4609999999999999</v>
      </c>
      <c r="H44" s="1066">
        <f>+'Historicals and forecast'!AR66</f>
        <v>1.0840000000000001</v>
      </c>
      <c r="I44" s="1066">
        <f>+'Historicals and forecast'!AS66</f>
        <v>2.3290000000000002</v>
      </c>
      <c r="J44" s="1066">
        <f>+'Historicals and forecast'!AT66</f>
        <v>11.154999999999999</v>
      </c>
      <c r="K44" s="1066">
        <f>+'Historicals and forecast'!AU66</f>
        <v>8.8800000000000008</v>
      </c>
      <c r="L44" s="1066">
        <f>+'Historicals and forecast'!AV66</f>
        <v>7.8460000000000001</v>
      </c>
      <c r="M44" s="1420">
        <f>+'Historicals and forecast'!AW66</f>
        <v>6.2889999999999997</v>
      </c>
      <c r="N44" s="1336">
        <f>+'Historicals and forecast'!AX66</f>
        <v>9.5040000000000013</v>
      </c>
      <c r="O44" s="906">
        <f t="shared" ref="O44:X44" si="145">+O45*O18</f>
        <v>10.929600000000001</v>
      </c>
      <c r="P44" s="903">
        <f t="shared" si="145"/>
        <v>12.569040000000001</v>
      </c>
      <c r="Q44" s="903">
        <f t="shared" si="145"/>
        <v>14.454395999999999</v>
      </c>
      <c r="R44" s="903">
        <f t="shared" si="145"/>
        <v>16.6225554</v>
      </c>
      <c r="S44" s="903">
        <f t="shared" si="145"/>
        <v>19.115938710000002</v>
      </c>
      <c r="T44" s="903">
        <f t="shared" si="145"/>
        <v>21.9833295165</v>
      </c>
      <c r="U44" s="903">
        <f t="shared" si="145"/>
        <v>25.280828943974999</v>
      </c>
      <c r="V44" s="903">
        <f t="shared" si="145"/>
        <v>29.072953285571245</v>
      </c>
      <c r="W44" s="903">
        <f t="shared" si="145"/>
        <v>33.433896278406934</v>
      </c>
      <c r="X44" s="903">
        <f t="shared" si="145"/>
        <v>38.448980720167981</v>
      </c>
      <c r="Y44" s="903">
        <f t="shared" ref="Y44:Z44" si="146">+Y45*Y18</f>
        <v>44.216327828193172</v>
      </c>
      <c r="Z44" s="903">
        <f t="shared" si="146"/>
        <v>50.848777002422146</v>
      </c>
      <c r="AA44" s="1048"/>
      <c r="AB44" s="910" t="s">
        <v>52</v>
      </c>
      <c r="AC44" s="911" t="s">
        <v>52</v>
      </c>
      <c r="AD44" s="912" t="s">
        <v>52</v>
      </c>
      <c r="AE44" s="911">
        <f>(L44/G44)^(1/5)-1</f>
        <v>0.39958609013383417</v>
      </c>
      <c r="AF44" s="912">
        <f>(Q44/G44)^(1/10)-1</f>
        <v>0.25757812172929007</v>
      </c>
    </row>
    <row r="45" spans="1:32" ht="14.5" x14ac:dyDescent="0.35">
      <c r="A45" s="1026" t="s">
        <v>45</v>
      </c>
      <c r="C45" s="1067">
        <f t="shared" ref="C45:N45" si="147">+C44/C18</f>
        <v>4.3922224901079283E-2</v>
      </c>
      <c r="D45" s="1067">
        <f t="shared" si="147"/>
        <v>2.4310615560149566E-2</v>
      </c>
      <c r="E45" s="1067">
        <f t="shared" si="147"/>
        <v>2.4373631719776207E-2</v>
      </c>
      <c r="F45" s="1067">
        <f t="shared" si="147"/>
        <v>1.4297903360752836E-2</v>
      </c>
      <c r="G45" s="1067">
        <f t="shared" si="147"/>
        <v>1.0718766278071648E-2</v>
      </c>
      <c r="H45" s="1067">
        <f t="shared" si="147"/>
        <v>6.1885215485005399E-3</v>
      </c>
      <c r="I45" s="1067">
        <f t="shared" si="147"/>
        <v>1.1030439086306435E-2</v>
      </c>
      <c r="J45" s="1067">
        <f t="shared" si="147"/>
        <v>4.7326106786024918E-2</v>
      </c>
      <c r="K45" s="1067">
        <f t="shared" si="147"/>
        <v>3.2132234275830632E-2</v>
      </c>
      <c r="L45" s="1067">
        <f t="shared" si="147"/>
        <v>2.3978484765135546E-2</v>
      </c>
      <c r="M45" s="1067">
        <f t="shared" si="147"/>
        <v>1.6823154909985823E-2</v>
      </c>
      <c r="N45" s="1337">
        <f t="shared" si="147"/>
        <v>2.2750285455759748E-2</v>
      </c>
      <c r="O45" s="1457">
        <f t="shared" ref="O45" si="148">N45</f>
        <v>2.2750285455759748E-2</v>
      </c>
      <c r="P45" s="1070">
        <f t="shared" ref="P45" si="149">O45</f>
        <v>2.2750285455759748E-2</v>
      </c>
      <c r="Q45" s="1070">
        <f t="shared" ref="Q45" si="150">P45</f>
        <v>2.2750285455759748E-2</v>
      </c>
      <c r="R45" s="1070">
        <f t="shared" ref="R45" si="151">Q45</f>
        <v>2.2750285455759748E-2</v>
      </c>
      <c r="S45" s="1070">
        <f t="shared" ref="S45" si="152">R45</f>
        <v>2.2750285455759748E-2</v>
      </c>
      <c r="T45" s="1070">
        <f t="shared" ref="T45" si="153">S45</f>
        <v>2.2750285455759748E-2</v>
      </c>
      <c r="U45" s="1070">
        <f t="shared" ref="U45" si="154">T45</f>
        <v>2.2750285455759748E-2</v>
      </c>
      <c r="V45" s="1070">
        <f t="shared" ref="V45" si="155">U45</f>
        <v>2.2750285455759748E-2</v>
      </c>
      <c r="W45" s="1070">
        <f t="shared" ref="W45" si="156">V45</f>
        <v>2.2750285455759748E-2</v>
      </c>
      <c r="X45" s="1070">
        <f t="shared" ref="X45" si="157">W45</f>
        <v>2.2750285455759748E-2</v>
      </c>
      <c r="Y45" s="1070">
        <f t="shared" ref="Y45" si="158">X45</f>
        <v>2.2750285455759748E-2</v>
      </c>
      <c r="Z45" s="1070">
        <f t="shared" ref="Z45" si="159">Y45</f>
        <v>2.2750285455759748E-2</v>
      </c>
      <c r="AA45" s="1048"/>
      <c r="AB45" s="1059"/>
      <c r="AC45" s="1042"/>
      <c r="AD45" s="1060"/>
      <c r="AE45" s="1042"/>
      <c r="AF45" s="1060"/>
    </row>
    <row r="46" spans="1:32" x14ac:dyDescent="0.3">
      <c r="C46" s="759"/>
      <c r="D46" s="759"/>
      <c r="E46" s="759"/>
      <c r="F46" s="759"/>
      <c r="G46" s="759"/>
      <c r="H46" s="759"/>
      <c r="I46" s="759"/>
      <c r="J46" s="759"/>
      <c r="K46" s="759"/>
      <c r="L46" s="759"/>
      <c r="M46" s="759"/>
      <c r="N46" s="1004"/>
      <c r="O46" s="1005"/>
      <c r="P46" s="759"/>
      <c r="Q46" s="759"/>
      <c r="R46" s="759"/>
      <c r="S46" s="759"/>
      <c r="T46" s="759"/>
      <c r="U46" s="759"/>
      <c r="V46" s="759"/>
      <c r="W46" s="759"/>
      <c r="X46" s="759"/>
      <c r="Y46" s="759"/>
      <c r="Z46" s="759"/>
      <c r="AA46" s="1048"/>
      <c r="AB46" s="1059"/>
      <c r="AC46" s="1042"/>
      <c r="AD46" s="1060"/>
      <c r="AE46" s="1042"/>
      <c r="AF46" s="1060"/>
    </row>
    <row r="47" spans="1:32" s="759" customFormat="1" x14ac:dyDescent="0.3">
      <c r="A47" s="759" t="s">
        <v>53</v>
      </c>
      <c r="C47" s="903">
        <f t="shared" ref="C47:L47" si="160">+C39-C44</f>
        <v>25.436999999999966</v>
      </c>
      <c r="D47" s="903">
        <f t="shared" si="160"/>
        <v>35.154000000000011</v>
      </c>
      <c r="E47" s="903">
        <f t="shared" si="160"/>
        <v>40.222999999999921</v>
      </c>
      <c r="F47" s="903">
        <f t="shared" si="160"/>
        <v>46.259999999999984</v>
      </c>
      <c r="G47" s="903">
        <f t="shared" si="160"/>
        <v>50.698999999999998</v>
      </c>
      <c r="H47" s="903">
        <f t="shared" si="160"/>
        <v>68.697000000000003</v>
      </c>
      <c r="I47" s="903">
        <f t="shared" si="160"/>
        <v>82.924000000000049</v>
      </c>
      <c r="J47" s="903">
        <f t="shared" si="160"/>
        <v>83.664999999999921</v>
      </c>
      <c r="K47" s="903">
        <f t="shared" si="160"/>
        <v>112.94699999999993</v>
      </c>
      <c r="L47" s="903">
        <f t="shared" si="160"/>
        <v>131.28599999999989</v>
      </c>
      <c r="M47" s="902">
        <f t="shared" ref="M47" si="161">+M39-M44</f>
        <v>138.60200000000003</v>
      </c>
      <c r="N47" s="905">
        <f t="shared" ref="N47" si="162">+N39-N44</f>
        <v>148.755</v>
      </c>
      <c r="O47" s="906">
        <f>+O39-O44</f>
        <v>173.22677412499999</v>
      </c>
      <c r="P47" s="903">
        <f t="shared" ref="P47:X47" si="163">+P39-P44</f>
        <v>201.69309298749999</v>
      </c>
      <c r="Q47" s="903">
        <f t="shared" si="163"/>
        <v>234.80170509093747</v>
      </c>
      <c r="R47" s="903">
        <f t="shared" si="163"/>
        <v>273.30480623318749</v>
      </c>
      <c r="S47" s="903">
        <f t="shared" si="163"/>
        <v>318.07579935356637</v>
      </c>
      <c r="T47" s="903">
        <f t="shared" si="163"/>
        <v>370.12873226981225</v>
      </c>
      <c r="U47" s="903">
        <f t="shared" si="163"/>
        <v>430.64083957547666</v>
      </c>
      <c r="V47" s="903">
        <f t="shared" si="163"/>
        <v>500.97868259676949</v>
      </c>
      <c r="W47" s="903">
        <f t="shared" si="163"/>
        <v>582.72845963400221</v>
      </c>
      <c r="X47" s="903">
        <f t="shared" si="163"/>
        <v>677.73114942397729</v>
      </c>
      <c r="Y47" s="903">
        <f t="shared" ref="Y47:Z47" si="164">+Y39-Y44</f>
        <v>788.12325580917968</v>
      </c>
      <c r="Z47" s="903">
        <f t="shared" si="164"/>
        <v>916.38404324790292</v>
      </c>
      <c r="AA47" s="937"/>
      <c r="AB47" s="910">
        <f>'Historicals and forecast'!BC69</f>
        <v>0.55637771088367183</v>
      </c>
      <c r="AC47" s="911">
        <f>'Historicals and forecast'!BD69</f>
        <v>0.31904134432659204</v>
      </c>
      <c r="AD47" s="912">
        <f>'Historicals and forecast'!BE69</f>
        <v>0.43280373674971373</v>
      </c>
      <c r="AE47" s="911">
        <f>(L47/G47)^(1/5)-1</f>
        <v>0.20960564420615135</v>
      </c>
      <c r="AF47" s="912">
        <f>(Q47/G47)^(1/10)-1</f>
        <v>0.16565541444109333</v>
      </c>
    </row>
    <row r="48" spans="1:32" ht="14.5" x14ac:dyDescent="0.35">
      <c r="A48" s="1026" t="s">
        <v>37</v>
      </c>
      <c r="C48" s="1067"/>
      <c r="D48" s="1067">
        <f>+D47/C47-1</f>
        <v>0.38200259464559738</v>
      </c>
      <c r="E48" s="1067">
        <f>+E47/D47-1</f>
        <v>0.14419411731239418</v>
      </c>
      <c r="F48" s="1067">
        <f>+F47/E47-1</f>
        <v>0.15008825796186454</v>
      </c>
      <c r="G48" s="1067">
        <f t="shared" ref="G48:O48" si="165">+G47/F47-1</f>
        <v>9.5957630782533831E-2</v>
      </c>
      <c r="H48" s="1067">
        <f t="shared" ref="H48" si="166">+H47/G47-1</f>
        <v>0.35499713998303717</v>
      </c>
      <c r="I48" s="1067">
        <f t="shared" si="165"/>
        <v>0.20709783542221705</v>
      </c>
      <c r="J48" s="1067">
        <f t="shared" si="165"/>
        <v>8.9358931069396519E-3</v>
      </c>
      <c r="K48" s="1067">
        <f t="shared" si="165"/>
        <v>0.34999103567800205</v>
      </c>
      <c r="L48" s="1067">
        <f t="shared" si="165"/>
        <v>0.1623681903901828</v>
      </c>
      <c r="M48" s="1067">
        <f t="shared" ref="M48" si="167">+M47/L47-1</f>
        <v>5.5725667626404629E-2</v>
      </c>
      <c r="N48" s="1337">
        <f t="shared" ref="N48" si="168">+N47/M47-1</f>
        <v>7.3252911213402161E-2</v>
      </c>
      <c r="O48" s="1346">
        <f t="shared" si="165"/>
        <v>0.16451059880340146</v>
      </c>
      <c r="P48" s="1067">
        <f t="shared" ref="P48" si="169">+P47/O47-1</f>
        <v>0.16432978681435695</v>
      </c>
      <c r="Q48" s="1067">
        <f t="shared" ref="Q48" si="170">+Q47/P47-1</f>
        <v>0.1641534254496726</v>
      </c>
      <c r="R48" s="1067">
        <f t="shared" ref="R48" si="171">+R47/Q47-1</f>
        <v>0.16398135238131251</v>
      </c>
      <c r="S48" s="1067">
        <f t="shared" ref="S48" si="172">+S47/R47-1</f>
        <v>0.16381341308055752</v>
      </c>
      <c r="T48" s="1067">
        <f t="shared" ref="T48" si="173">+T47/S47-1</f>
        <v>0.16364946035515548</v>
      </c>
      <c r="U48" s="1067">
        <f t="shared" ref="U48" si="174">+U47/T47-1</f>
        <v>0.16348935391903852</v>
      </c>
      <c r="V48" s="1067">
        <f t="shared" ref="V48" si="175">+V47/U47-1</f>
        <v>0.16333295999197728</v>
      </c>
      <c r="W48" s="1067">
        <f t="shared" ref="W48" si="176">+W47/V47-1</f>
        <v>0.16318015092676497</v>
      </c>
      <c r="X48" s="1067">
        <f t="shared" ref="X48" si="177">+X47/W47-1</f>
        <v>0.16303080486174304</v>
      </c>
      <c r="Y48" s="1067">
        <f t="shared" ref="Y48" si="178">+Y47/X47-1</f>
        <v>0.16288480539669425</v>
      </c>
      <c r="Z48" s="1067">
        <f t="shared" ref="Z48" si="179">+Z47/Y47-1</f>
        <v>0.1627420412902747</v>
      </c>
      <c r="AA48" s="937"/>
      <c r="AB48" s="1059"/>
      <c r="AC48" s="1042"/>
      <c r="AD48" s="1060"/>
      <c r="AE48" s="1042"/>
      <c r="AF48" s="1060"/>
    </row>
    <row r="49" spans="1:32" ht="14.5" x14ac:dyDescent="0.35">
      <c r="A49" s="1026" t="s">
        <v>1488</v>
      </c>
      <c r="C49" s="1067"/>
      <c r="D49" s="1067"/>
      <c r="E49" s="1067"/>
      <c r="F49" s="1067"/>
      <c r="G49" s="1067"/>
      <c r="H49" s="1067"/>
      <c r="I49" s="1067">
        <f>+I48</f>
        <v>0.20709783542221705</v>
      </c>
      <c r="J49" s="1067">
        <f t="shared" ref="J49:Z49" si="180">+J48</f>
        <v>8.9358931069396519E-3</v>
      </c>
      <c r="K49" s="1067">
        <f t="shared" si="180"/>
        <v>0.34999103567800205</v>
      </c>
      <c r="L49" s="1067">
        <f t="shared" si="180"/>
        <v>0.1623681903901828</v>
      </c>
      <c r="M49" s="1067">
        <f t="shared" si="180"/>
        <v>5.5725667626404629E-2</v>
      </c>
      <c r="N49" s="1337">
        <f t="shared" si="180"/>
        <v>7.3252911213402161E-2</v>
      </c>
      <c r="O49" s="1346">
        <f t="shared" si="180"/>
        <v>0.16451059880340146</v>
      </c>
      <c r="P49" s="1067">
        <f t="shared" si="180"/>
        <v>0.16432978681435695</v>
      </c>
      <c r="Q49" s="1067">
        <f t="shared" si="180"/>
        <v>0.1641534254496726</v>
      </c>
      <c r="R49" s="1067">
        <f t="shared" si="180"/>
        <v>0.16398135238131251</v>
      </c>
      <c r="S49" s="1067">
        <f t="shared" si="180"/>
        <v>0.16381341308055752</v>
      </c>
      <c r="T49" s="1067">
        <f t="shared" si="180"/>
        <v>0.16364946035515548</v>
      </c>
      <c r="U49" s="1067">
        <f t="shared" si="180"/>
        <v>0.16348935391903852</v>
      </c>
      <c r="V49" s="1067">
        <f t="shared" si="180"/>
        <v>0.16333295999197728</v>
      </c>
      <c r="W49" s="1067">
        <f t="shared" si="180"/>
        <v>0.16318015092676497</v>
      </c>
      <c r="X49" s="1067">
        <f t="shared" si="180"/>
        <v>0.16303080486174304</v>
      </c>
      <c r="Y49" s="1067">
        <f t="shared" si="180"/>
        <v>0.16288480539669425</v>
      </c>
      <c r="Z49" s="1067">
        <f t="shared" si="180"/>
        <v>0.1627420412902747</v>
      </c>
      <c r="AA49" s="937"/>
      <c r="AB49" s="1059"/>
      <c r="AC49" s="1042"/>
      <c r="AD49" s="1060"/>
      <c r="AE49" s="1042"/>
      <c r="AF49" s="1060"/>
    </row>
    <row r="50" spans="1:32" ht="14.5" x14ac:dyDescent="0.35">
      <c r="A50" s="1026" t="s">
        <v>45</v>
      </c>
      <c r="C50" s="1067">
        <f t="shared" ref="C50:X50" si="181">+C47/C18</f>
        <v>0.36075222305739496</v>
      </c>
      <c r="D50" s="1067">
        <f t="shared" si="181"/>
        <v>0.39712610566984113</v>
      </c>
      <c r="E50" s="1067">
        <f t="shared" si="181"/>
        <v>0.39136949647287683</v>
      </c>
      <c r="F50" s="1067">
        <f t="shared" si="181"/>
        <v>0.38321031834787139</v>
      </c>
      <c r="G50" s="1067">
        <f t="shared" si="181"/>
        <v>0.37195806401913384</v>
      </c>
      <c r="H50" s="1067">
        <f t="shared" si="181"/>
        <v>0.39218898968389443</v>
      </c>
      <c r="I50" s="1067">
        <f t="shared" si="181"/>
        <v>0.39273857054223932</v>
      </c>
      <c r="J50" s="1067">
        <f t="shared" si="181"/>
        <v>0.35495640737362361</v>
      </c>
      <c r="K50" s="1067">
        <f t="shared" si="181"/>
        <v>0.40869813792254955</v>
      </c>
      <c r="L50" s="1067">
        <f t="shared" si="181"/>
        <v>0.40122856880902147</v>
      </c>
      <c r="M50" s="1067">
        <f t="shared" si="181"/>
        <v>0.37076211112002794</v>
      </c>
      <c r="N50" s="1337">
        <f t="shared" si="181"/>
        <v>0.35608361878909306</v>
      </c>
      <c r="O50" s="1346">
        <f t="shared" si="181"/>
        <v>0.36057665055666865</v>
      </c>
      <c r="P50" s="1067">
        <f t="shared" si="181"/>
        <v>0.36506968232424425</v>
      </c>
      <c r="Q50" s="1067">
        <f t="shared" si="181"/>
        <v>0.36956271409181984</v>
      </c>
      <c r="R50" s="1067">
        <f t="shared" si="181"/>
        <v>0.37405574585939544</v>
      </c>
      <c r="S50" s="1067">
        <f t="shared" si="181"/>
        <v>0.37854877762697098</v>
      </c>
      <c r="T50" s="1067">
        <f t="shared" si="181"/>
        <v>0.38304180939454657</v>
      </c>
      <c r="U50" s="1067">
        <f t="shared" si="181"/>
        <v>0.38753484116212222</v>
      </c>
      <c r="V50" s="1067">
        <f t="shared" si="181"/>
        <v>0.39202787292969776</v>
      </c>
      <c r="W50" s="1067">
        <f t="shared" si="181"/>
        <v>0.39652090469727341</v>
      </c>
      <c r="X50" s="1067">
        <f t="shared" si="181"/>
        <v>0.40101393646484901</v>
      </c>
      <c r="Y50" s="1067">
        <f t="shared" ref="Y50:Z50" si="182">+Y47/Y18</f>
        <v>0.4055069682324246</v>
      </c>
      <c r="Z50" s="1161">
        <f t="shared" si="182"/>
        <v>0.41</v>
      </c>
      <c r="AA50" s="937"/>
      <c r="AB50" s="1059"/>
      <c r="AC50" s="1042"/>
      <c r="AD50" s="1060"/>
      <c r="AE50" s="1042"/>
      <c r="AF50" s="1060"/>
    </row>
    <row r="51" spans="1:32" x14ac:dyDescent="0.3">
      <c r="C51" s="759"/>
      <c r="D51" s="759"/>
      <c r="E51" s="759"/>
      <c r="F51" s="759"/>
      <c r="G51" s="759"/>
      <c r="H51" s="759"/>
      <c r="I51" s="759"/>
      <c r="J51" s="759"/>
      <c r="K51" s="759"/>
      <c r="L51" s="759"/>
      <c r="M51" s="759"/>
      <c r="N51" s="1004"/>
      <c r="O51" s="1005"/>
      <c r="P51" s="759"/>
      <c r="Q51" s="759"/>
      <c r="R51" s="759"/>
      <c r="S51" s="759"/>
      <c r="T51" s="759"/>
      <c r="U51" s="759"/>
      <c r="V51" s="759"/>
      <c r="W51" s="759"/>
      <c r="X51" s="759"/>
      <c r="Y51" s="759"/>
      <c r="Z51" s="759"/>
      <c r="AA51" s="937"/>
      <c r="AB51" s="1059"/>
      <c r="AC51" s="1042"/>
      <c r="AD51" s="1060"/>
      <c r="AE51" s="1042"/>
      <c r="AF51" s="1060"/>
    </row>
    <row r="52" spans="1:32" x14ac:dyDescent="0.3">
      <c r="A52" s="756" t="s">
        <v>54</v>
      </c>
      <c r="C52" s="1066">
        <f>'Historicals and forecast'!AM79</f>
        <v>-8.1000000000000003E-2</v>
      </c>
      <c r="D52" s="1066">
        <f>'Historicals and forecast'!AN79</f>
        <v>-0.10199999999999999</v>
      </c>
      <c r="E52" s="1066">
        <f>'Historicals and forecast'!AO79</f>
        <v>-0.19500000000000001</v>
      </c>
      <c r="F52" s="1066">
        <f>'Historicals and forecast'!AP79</f>
        <v>-0.21199999999999999</v>
      </c>
      <c r="G52" s="1066">
        <f>'Historicals and forecast'!AQ79</f>
        <v>-0.14199999999999999</v>
      </c>
      <c r="H52" s="1066">
        <f>'Historicals and forecast'!AR79</f>
        <v>-0.11700000000000001</v>
      </c>
      <c r="I52" s="1066">
        <f>'Historicals and forecast'!AS79</f>
        <v>-0.33300000000000002</v>
      </c>
      <c r="J52" s="1066">
        <f>'Historicals and forecast'!AT79</f>
        <v>0.11599999999999999</v>
      </c>
      <c r="K52" s="1066">
        <f>'Historicals and forecast'!AU79</f>
        <v>0.44899999999999995</v>
      </c>
      <c r="L52" s="1066">
        <f>'Historicals and forecast'!AV79</f>
        <v>1.0000000000000009E-3</v>
      </c>
      <c r="M52" s="1420">
        <f>'Historicals and forecast'!AW79</f>
        <v>-5.1999999999999991E-2</v>
      </c>
      <c r="N52" s="1336">
        <f>'Historicals and forecast'!AX79</f>
        <v>-5.335</v>
      </c>
      <c r="O52" s="1345">
        <f>'Historicals and forecast'!AY79</f>
        <v>0</v>
      </c>
      <c r="P52" s="1071">
        <f t="shared" ref="P52:Y52" si="183">5%*P66</f>
        <v>0</v>
      </c>
      <c r="Q52" s="1071">
        <f t="shared" si="183"/>
        <v>0</v>
      </c>
      <c r="R52" s="1071">
        <f t="shared" si="183"/>
        <v>0</v>
      </c>
      <c r="S52" s="1071">
        <f t="shared" si="183"/>
        <v>0</v>
      </c>
      <c r="T52" s="1071">
        <f t="shared" si="183"/>
        <v>0</v>
      </c>
      <c r="U52" s="1071">
        <f t="shared" si="183"/>
        <v>0</v>
      </c>
      <c r="V52" s="1071">
        <f t="shared" si="183"/>
        <v>0</v>
      </c>
      <c r="W52" s="1071">
        <f t="shared" si="183"/>
        <v>0</v>
      </c>
      <c r="X52" s="1071">
        <f t="shared" si="183"/>
        <v>0</v>
      </c>
      <c r="Y52" s="1071">
        <f t="shared" si="183"/>
        <v>0</v>
      </c>
      <c r="Z52" s="1071">
        <f t="shared" ref="Z52" si="184">5%*Z66</f>
        <v>0</v>
      </c>
      <c r="AA52" s="1048"/>
      <c r="AB52" s="910"/>
      <c r="AC52" s="911"/>
      <c r="AD52" s="912"/>
      <c r="AE52" s="911"/>
      <c r="AF52" s="912"/>
    </row>
    <row r="53" spans="1:32" x14ac:dyDescent="0.3">
      <c r="C53" s="759"/>
      <c r="D53" s="759"/>
      <c r="E53" s="759"/>
      <c r="F53" s="759"/>
      <c r="G53" s="759"/>
      <c r="H53" s="759"/>
      <c r="I53" s="759"/>
      <c r="J53" s="759"/>
      <c r="K53" s="759"/>
      <c r="L53" s="759"/>
      <c r="M53" s="759"/>
      <c r="N53" s="1004"/>
      <c r="O53" s="1005"/>
      <c r="P53" s="759"/>
      <c r="Q53" s="759"/>
      <c r="R53" s="759"/>
      <c r="S53" s="759"/>
      <c r="T53" s="759"/>
      <c r="U53" s="759"/>
      <c r="V53" s="759"/>
      <c r="W53" s="759"/>
      <c r="X53" s="759"/>
      <c r="Y53" s="759"/>
      <c r="Z53" s="759"/>
      <c r="AA53" s="1048"/>
      <c r="AB53" s="1059"/>
      <c r="AC53" s="1042"/>
      <c r="AD53" s="1060"/>
      <c r="AE53" s="1042"/>
      <c r="AF53" s="1060"/>
    </row>
    <row r="54" spans="1:32" x14ac:dyDescent="0.3">
      <c r="A54" s="756" t="s">
        <v>55</v>
      </c>
      <c r="C54" s="1066">
        <f>'Historicals and forecast'!AM81</f>
        <v>6.8622499999999915</v>
      </c>
      <c r="D54" s="1066">
        <f>'Historicals and forecast'!AN81</f>
        <v>8.9075000000000024</v>
      </c>
      <c r="E54" s="1066">
        <f>'Historicals and forecast'!AO81</f>
        <v>10.193999999999981</v>
      </c>
      <c r="F54" s="1066">
        <f>'Historicals and forecast'!AP81</f>
        <v>11.518749999999997</v>
      </c>
      <c r="G54" s="1066">
        <f>'Historicals and forecast'!AQ81</f>
        <v>12.573499999999999</v>
      </c>
      <c r="H54" s="1066">
        <f>'Historicals and forecast'!AR81</f>
        <v>17.034750000000003</v>
      </c>
      <c r="I54" s="1066">
        <f>'Historicals and forecast'!AS81</f>
        <v>21.016500000000011</v>
      </c>
      <c r="J54" s="1066">
        <f>'Historicals and forecast'!AT81</f>
        <v>23.27249999999998</v>
      </c>
      <c r="K54" s="1066">
        <f>'Historicals and forecast'!AU81</f>
        <v>29.687249999999981</v>
      </c>
      <c r="L54" s="1066">
        <f>'Historicals and forecast'!AV81</f>
        <v>34.049999999999969</v>
      </c>
      <c r="M54" s="1420">
        <f>'Historicals and forecast'!AW81</f>
        <v>35.238000000000007</v>
      </c>
      <c r="N54" s="1336">
        <f>'Historicals and forecast'!AX81</f>
        <v>39.84975</v>
      </c>
      <c r="O54" s="906">
        <f t="shared" ref="O54:X54" si="185">O55*(O39-O52-O36)</f>
        <v>44.705836239583327</v>
      </c>
      <c r="P54" s="903">
        <f t="shared" si="185"/>
        <v>51.886013351041669</v>
      </c>
      <c r="Q54" s="903">
        <f t="shared" si="185"/>
        <v>60.214362280546872</v>
      </c>
      <c r="R54" s="903">
        <f t="shared" si="185"/>
        <v>69.873780588505213</v>
      </c>
      <c r="S54" s="903">
        <f t="shared" si="185"/>
        <v>81.07620123753874</v>
      </c>
      <c r="T54" s="903">
        <f t="shared" si="185"/>
        <v>94.067188018040952</v>
      </c>
      <c r="U54" s="903">
        <f t="shared" si="185"/>
        <v>109.13125630484923</v>
      </c>
      <c r="V54" s="903">
        <f t="shared" si="185"/>
        <v>126.59803334729403</v>
      </c>
      <c r="W54" s="903">
        <f t="shared" si="185"/>
        <v>146.84939023561321</v>
      </c>
      <c r="X54" s="903">
        <f t="shared" si="185"/>
        <v>170.32769844011403</v>
      </c>
      <c r="Y54" s="903">
        <f t="shared" ref="Y54:Z54" si="186">Y55*(Y39-Y52-Y36)</f>
        <v>197.54538782566374</v>
      </c>
      <c r="Z54" s="903">
        <f t="shared" si="186"/>
        <v>229.09601081197573</v>
      </c>
      <c r="AA54" s="1048"/>
      <c r="AB54" s="910"/>
      <c r="AC54" s="911"/>
      <c r="AD54" s="912"/>
      <c r="AE54" s="911"/>
      <c r="AF54" s="912"/>
    </row>
    <row r="55" spans="1:32" ht="14.5" x14ac:dyDescent="0.35">
      <c r="A55" s="1026" t="s">
        <v>56</v>
      </c>
      <c r="C55" s="1067">
        <f t="shared" ref="C55:N55" si="187">C54/(C39-C52-C36)</f>
        <v>0.25</v>
      </c>
      <c r="D55" s="1067">
        <f t="shared" si="187"/>
        <v>0.25</v>
      </c>
      <c r="E55" s="1067">
        <f t="shared" si="187"/>
        <v>0.25</v>
      </c>
      <c r="F55" s="916">
        <f t="shared" si="187"/>
        <v>0.25</v>
      </c>
      <c r="G55" s="916">
        <f t="shared" si="187"/>
        <v>0.25</v>
      </c>
      <c r="H55" s="916">
        <f t="shared" si="187"/>
        <v>0.25</v>
      </c>
      <c r="I55" s="916">
        <f t="shared" si="187"/>
        <v>0.25</v>
      </c>
      <c r="J55" s="916">
        <f t="shared" si="187"/>
        <v>0.25</v>
      </c>
      <c r="K55" s="916">
        <f t="shared" si="187"/>
        <v>0.25</v>
      </c>
      <c r="L55" s="916">
        <f t="shared" si="187"/>
        <v>0.25</v>
      </c>
      <c r="M55" s="916">
        <f t="shared" si="187"/>
        <v>0.25000000000000006</v>
      </c>
      <c r="N55" s="918">
        <f t="shared" si="187"/>
        <v>0.25</v>
      </c>
      <c r="O55" s="1457">
        <f t="shared" ref="O55" si="188">N55</f>
        <v>0.25</v>
      </c>
      <c r="P55" s="1070">
        <f t="shared" ref="P55" si="189">O55</f>
        <v>0.25</v>
      </c>
      <c r="Q55" s="1070">
        <f t="shared" ref="Q55" si="190">P55</f>
        <v>0.25</v>
      </c>
      <c r="R55" s="1070">
        <f t="shared" ref="R55" si="191">Q55</f>
        <v>0.25</v>
      </c>
      <c r="S55" s="1070">
        <f t="shared" ref="S55" si="192">R55</f>
        <v>0.25</v>
      </c>
      <c r="T55" s="1070">
        <f t="shared" ref="T55" si="193">S55</f>
        <v>0.25</v>
      </c>
      <c r="U55" s="1070">
        <f t="shared" ref="U55" si="194">T55</f>
        <v>0.25</v>
      </c>
      <c r="V55" s="1070">
        <f t="shared" ref="V55" si="195">U55</f>
        <v>0.25</v>
      </c>
      <c r="W55" s="1070">
        <f t="shared" ref="W55" si="196">V55</f>
        <v>0.25</v>
      </c>
      <c r="X55" s="1070">
        <f t="shared" ref="X55" si="197">W55</f>
        <v>0.25</v>
      </c>
      <c r="Y55" s="1070">
        <f t="shared" ref="Y55" si="198">X55</f>
        <v>0.25</v>
      </c>
      <c r="Z55" s="1070">
        <f t="shared" ref="Z55" si="199">Y55</f>
        <v>0.25</v>
      </c>
      <c r="AA55" s="937" t="s">
        <v>57</v>
      </c>
      <c r="AB55" s="1072"/>
      <c r="AC55" s="1073"/>
      <c r="AD55" s="1074"/>
      <c r="AE55" s="1073"/>
      <c r="AF55" s="1074"/>
    </row>
    <row r="56" spans="1:32" x14ac:dyDescent="0.3">
      <c r="C56" s="759"/>
      <c r="D56" s="759"/>
      <c r="E56" s="759"/>
      <c r="F56" s="759"/>
      <c r="G56" s="759"/>
      <c r="H56" s="759"/>
      <c r="I56" s="759"/>
      <c r="J56" s="1075"/>
      <c r="K56" s="759"/>
      <c r="L56" s="759"/>
      <c r="M56" s="759"/>
      <c r="N56" s="1004"/>
      <c r="O56" s="1005"/>
      <c r="P56" s="759"/>
      <c r="Q56" s="759"/>
      <c r="R56" s="759"/>
      <c r="S56" s="759"/>
      <c r="T56" s="759"/>
      <c r="U56" s="759"/>
      <c r="V56" s="759"/>
      <c r="W56" s="759"/>
      <c r="X56" s="759"/>
      <c r="Y56" s="759"/>
      <c r="Z56" s="759"/>
      <c r="AA56" s="1048" t="s">
        <v>58</v>
      </c>
      <c r="AB56" s="1059"/>
      <c r="AC56" s="1042"/>
      <c r="AD56" s="1060"/>
      <c r="AE56" s="1042"/>
      <c r="AF56" s="1060"/>
    </row>
    <row r="57" spans="1:32" hidden="1" outlineLevel="1" x14ac:dyDescent="0.3">
      <c r="A57" s="756" t="s">
        <v>59</v>
      </c>
      <c r="C57" s="1066">
        <f>'Historicals and forecast'!AM92</f>
        <v>0</v>
      </c>
      <c r="D57" s="1066">
        <f>'Historicals and forecast'!AN92</f>
        <v>0</v>
      </c>
      <c r="E57" s="1066">
        <f>'Historicals and forecast'!AO92</f>
        <v>0</v>
      </c>
      <c r="F57" s="1066">
        <f>'Historicals and forecast'!AP92</f>
        <v>0</v>
      </c>
      <c r="G57" s="1066">
        <f>'Historicals and forecast'!AQ92</f>
        <v>0</v>
      </c>
      <c r="H57" s="1066">
        <f>'Historicals and forecast'!AR92</f>
        <v>0</v>
      </c>
      <c r="I57" s="1066">
        <f>'Historicals and forecast'!AS92</f>
        <v>0</v>
      </c>
      <c r="J57" s="1066">
        <f>'Historicals and forecast'!AT92</f>
        <v>0</v>
      </c>
      <c r="K57" s="1066">
        <f>'Historicals and forecast'!AU92</f>
        <v>0</v>
      </c>
      <c r="L57" s="1066">
        <f>'Historicals and forecast'!AV92</f>
        <v>0</v>
      </c>
      <c r="M57" s="974">
        <v>0</v>
      </c>
      <c r="N57" s="1312">
        <v>0</v>
      </c>
      <c r="O57" s="1349">
        <v>0</v>
      </c>
      <c r="P57" s="1071">
        <v>0</v>
      </c>
      <c r="Q57" s="1071">
        <v>0</v>
      </c>
      <c r="R57" s="1071">
        <v>0</v>
      </c>
      <c r="S57" s="1071">
        <v>0</v>
      </c>
      <c r="T57" s="1071">
        <v>0</v>
      </c>
      <c r="U57" s="1071">
        <v>0</v>
      </c>
      <c r="V57" s="1071">
        <v>0</v>
      </c>
      <c r="W57" s="1071">
        <v>0</v>
      </c>
      <c r="X57" s="1071">
        <v>0</v>
      </c>
      <c r="Y57" s="1071">
        <v>0</v>
      </c>
      <c r="Z57" s="1071">
        <v>0</v>
      </c>
      <c r="AA57" s="1048"/>
      <c r="AB57" s="910"/>
      <c r="AC57" s="911"/>
      <c r="AD57" s="912"/>
      <c r="AE57" s="911"/>
      <c r="AF57" s="912"/>
    </row>
    <row r="58" spans="1:32" hidden="1" outlineLevel="1" x14ac:dyDescent="0.3">
      <c r="C58" s="759"/>
      <c r="D58" s="759"/>
      <c r="E58" s="759"/>
      <c r="F58" s="759"/>
      <c r="G58" s="759"/>
      <c r="H58" s="759"/>
      <c r="I58" s="759"/>
      <c r="J58" s="1075"/>
      <c r="K58" s="759"/>
      <c r="L58" s="759"/>
      <c r="M58" s="759"/>
      <c r="N58" s="1004"/>
      <c r="O58" s="1005"/>
      <c r="P58" s="759"/>
      <c r="Q58" s="759"/>
      <c r="R58" s="759"/>
      <c r="S58" s="759"/>
      <c r="T58" s="759"/>
      <c r="U58" s="759"/>
      <c r="V58" s="759"/>
      <c r="W58" s="759"/>
      <c r="X58" s="759"/>
      <c r="Y58" s="759"/>
      <c r="Z58" s="759"/>
      <c r="AA58" s="1048"/>
      <c r="AB58" s="1059"/>
      <c r="AC58" s="1042"/>
      <c r="AD58" s="1060"/>
      <c r="AE58" s="1042"/>
      <c r="AF58" s="1060"/>
    </row>
    <row r="59" spans="1:32" s="759" customFormat="1" collapsed="1" x14ac:dyDescent="0.3">
      <c r="A59" s="759" t="s">
        <v>60</v>
      </c>
      <c r="C59" s="903">
        <f t="shared" ref="C59:X59" si="200">+C47-C52-C54-C57</f>
        <v>18.655749999999973</v>
      </c>
      <c r="D59" s="903">
        <f t="shared" si="200"/>
        <v>26.348500000000005</v>
      </c>
      <c r="E59" s="903">
        <f t="shared" si="200"/>
        <v>30.22399999999994</v>
      </c>
      <c r="F59" s="903">
        <f t="shared" si="200"/>
        <v>34.95324999999999</v>
      </c>
      <c r="G59" s="903">
        <f t="shared" si="200"/>
        <v>38.267499999999998</v>
      </c>
      <c r="H59" s="903">
        <f t="shared" si="200"/>
        <v>51.779250000000005</v>
      </c>
      <c r="I59" s="903">
        <f t="shared" si="200"/>
        <v>62.24050000000004</v>
      </c>
      <c r="J59" s="903">
        <f t="shared" si="200"/>
        <v>60.276499999999942</v>
      </c>
      <c r="K59" s="903">
        <f t="shared" si="200"/>
        <v>82.810749999999956</v>
      </c>
      <c r="L59" s="903">
        <f t="shared" si="200"/>
        <v>97.234999999999914</v>
      </c>
      <c r="M59" s="902">
        <f t="shared" si="200"/>
        <v>103.41600000000003</v>
      </c>
      <c r="N59" s="905">
        <f t="shared" si="200"/>
        <v>114.24025</v>
      </c>
      <c r="O59" s="906">
        <f t="shared" si="200"/>
        <v>128.52093788541666</v>
      </c>
      <c r="P59" s="903">
        <f t="shared" si="200"/>
        <v>149.80707963645833</v>
      </c>
      <c r="Q59" s="903">
        <f t="shared" si="200"/>
        <v>174.5873428103906</v>
      </c>
      <c r="R59" s="903">
        <f t="shared" si="200"/>
        <v>203.43102564468228</v>
      </c>
      <c r="S59" s="903">
        <f t="shared" si="200"/>
        <v>236.99959811602764</v>
      </c>
      <c r="T59" s="903">
        <f t="shared" si="200"/>
        <v>276.06154425177129</v>
      </c>
      <c r="U59" s="903">
        <f t="shared" si="200"/>
        <v>321.50958327062745</v>
      </c>
      <c r="V59" s="903">
        <f t="shared" si="200"/>
        <v>374.38064924947548</v>
      </c>
      <c r="W59" s="903">
        <f t="shared" si="200"/>
        <v>435.87906939838899</v>
      </c>
      <c r="X59" s="903">
        <f t="shared" si="200"/>
        <v>507.40345098386325</v>
      </c>
      <c r="Y59" s="903">
        <f t="shared" ref="Y59:Z59" si="201">+Y47-Y52-Y54-Y57</f>
        <v>590.57786798351594</v>
      </c>
      <c r="Z59" s="903">
        <f t="shared" si="201"/>
        <v>687.28803243592722</v>
      </c>
      <c r="AA59" s="937"/>
      <c r="AB59" s="910">
        <f>'Historicals and forecast'!BC93</f>
        <v>0.52589077604087398</v>
      </c>
      <c r="AC59" s="911">
        <f>'Historicals and forecast'!BD93</f>
        <v>0.31918130629750374</v>
      </c>
      <c r="AD59" s="912">
        <f>'Historicals and forecast'!BE93</f>
        <v>0.41877644017826565</v>
      </c>
      <c r="AE59" s="911">
        <f>(L59/G59)^(1/5)-1</f>
        <v>0.20503179368409441</v>
      </c>
      <c r="AF59" s="912">
        <f>(Q59/G59)^(1/10)-1</f>
        <v>0.16390696324360254</v>
      </c>
    </row>
    <row r="60" spans="1:32" ht="14.5" x14ac:dyDescent="0.35">
      <c r="A60" s="1026" t="s">
        <v>37</v>
      </c>
      <c r="C60" s="1067"/>
      <c r="D60" s="1067">
        <f>+D59/C59-1</f>
        <v>0.41235275987296371</v>
      </c>
      <c r="E60" s="1067">
        <f>+E59/D59-1</f>
        <v>0.14708617188834028</v>
      </c>
      <c r="F60" s="1067">
        <f t="shared" ref="F60:O60" si="202">+F59/E59-1</f>
        <v>0.15647333245103434</v>
      </c>
      <c r="G60" s="1067">
        <f t="shared" si="202"/>
        <v>9.4819508915480188E-2</v>
      </c>
      <c r="H60" s="1067">
        <f t="shared" ref="H60" si="203">+H59/G59-1</f>
        <v>0.35308682302214689</v>
      </c>
      <c r="I60" s="1067">
        <f t="shared" si="202"/>
        <v>0.20203556443942383</v>
      </c>
      <c r="J60" s="1067">
        <f t="shared" si="202"/>
        <v>-3.1555016428211458E-2</v>
      </c>
      <c r="K60" s="1067">
        <f t="shared" si="202"/>
        <v>0.37384801705474002</v>
      </c>
      <c r="L60" s="1067">
        <f t="shared" si="202"/>
        <v>0.17418330349622435</v>
      </c>
      <c r="M60" s="1067">
        <f t="shared" ref="M60" si="204">+M59/L59-1</f>
        <v>6.3567645395177896E-2</v>
      </c>
      <c r="N60" s="1337">
        <f t="shared" ref="N60" si="205">+N59/M59-1</f>
        <v>0.10466707279337806</v>
      </c>
      <c r="O60" s="1346">
        <f t="shared" si="202"/>
        <v>0.12500574784646079</v>
      </c>
      <c r="P60" s="1067">
        <f t="shared" ref="P60" si="206">+P59/O59-1</f>
        <v>0.16562392168363571</v>
      </c>
      <c r="Q60" s="1067">
        <f t="shared" ref="Q60" si="207">+Q59/P59-1</f>
        <v>0.16541449999604385</v>
      </c>
      <c r="R60" s="1067">
        <f t="shared" ref="R60" si="208">+R59/Q59-1</f>
        <v>0.1652106181925066</v>
      </c>
      <c r="S60" s="1067">
        <f t="shared" ref="S60" si="209">+S59/R59-1</f>
        <v>0.16501205932067142</v>
      </c>
      <c r="T60" s="1067">
        <f t="shared" ref="T60" si="210">+T59/S59-1</f>
        <v>0.16481861761056726</v>
      </c>
      <c r="U60" s="1067">
        <f t="shared" ref="U60" si="211">+U59/T59-1</f>
        <v>0.16463009776329818</v>
      </c>
      <c r="V60" s="1067">
        <f t="shared" ref="V60" si="212">+V59/U59-1</f>
        <v>0.16444631429335765</v>
      </c>
      <c r="W60" s="1067">
        <f t="shared" ref="W60" si="213">+W59/V59-1</f>
        <v>0.16426709091989666</v>
      </c>
      <c r="X60" s="1067">
        <f t="shared" ref="X60" si="214">+X59/W59-1</f>
        <v>0.16409226000274324</v>
      </c>
      <c r="Y60" s="1067">
        <f t="shared" ref="Y60" si="215">+Y59/X59-1</f>
        <v>0.16392166201939729</v>
      </c>
      <c r="Z60" s="1067">
        <f t="shared" ref="Z60" si="216">+Z59/Y59-1</f>
        <v>0.16375514507954891</v>
      </c>
      <c r="AA60" s="1048"/>
      <c r="AB60" s="1059"/>
      <c r="AC60" s="1042"/>
      <c r="AD60" s="1060"/>
      <c r="AE60" s="1042"/>
      <c r="AF60" s="1060"/>
    </row>
    <row r="61" spans="1:32" x14ac:dyDescent="0.3">
      <c r="C61" s="759"/>
      <c r="D61" s="759"/>
      <c r="E61" s="1075"/>
      <c r="F61" s="759"/>
      <c r="G61" s="759"/>
      <c r="H61" s="759"/>
      <c r="I61" s="759"/>
      <c r="J61" s="759"/>
      <c r="K61" s="759"/>
      <c r="L61" s="759"/>
      <c r="M61" s="759"/>
      <c r="N61" s="1004"/>
      <c r="O61" s="1005"/>
      <c r="P61" s="759"/>
      <c r="Q61" s="759"/>
      <c r="R61" s="759"/>
      <c r="S61" s="759"/>
      <c r="T61" s="759"/>
      <c r="U61" s="759"/>
      <c r="V61" s="759"/>
      <c r="W61" s="759"/>
      <c r="X61" s="759"/>
      <c r="Y61" s="759"/>
      <c r="Z61" s="759"/>
      <c r="AA61" s="1048"/>
      <c r="AB61" s="1059"/>
      <c r="AC61" s="1042"/>
      <c r="AD61" s="1060"/>
      <c r="AE61" s="1042"/>
      <c r="AF61" s="1060"/>
    </row>
    <row r="62" spans="1:32" x14ac:dyDescent="0.3">
      <c r="A62" s="756" t="s">
        <v>61</v>
      </c>
      <c r="C62" s="1076">
        <f t="shared" ref="C62:H62" si="217">+C63-C59</f>
        <v>-4.0957499999999722</v>
      </c>
      <c r="D62" s="1076">
        <f t="shared" si="217"/>
        <v>7.1724999999999959</v>
      </c>
      <c r="E62" s="1076">
        <f t="shared" si="217"/>
        <v>14.682000000000059</v>
      </c>
      <c r="F62" s="1076">
        <f t="shared" si="217"/>
        <v>-6.7542499999999919</v>
      </c>
      <c r="G62" s="1076">
        <f t="shared" si="217"/>
        <v>1.2424999999999997</v>
      </c>
      <c r="H62" s="1076">
        <f t="shared" si="217"/>
        <v>4.1877499999999941</v>
      </c>
      <c r="I62" s="1076">
        <f>+I63-I59</f>
        <v>8.9499999999979707E-2</v>
      </c>
      <c r="J62" s="1076">
        <f>+J63-J59</f>
        <v>-7.2614999999999412</v>
      </c>
      <c r="K62" s="1076">
        <f>+K63-K59</f>
        <v>-0.43874999999997044</v>
      </c>
      <c r="L62" s="1076">
        <f>+L63-L59</f>
        <v>-21.436999999999912</v>
      </c>
      <c r="M62" s="1076">
        <f t="shared" ref="M62:N62" si="218">+M63-M59</f>
        <v>-4.9030000000000058</v>
      </c>
      <c r="N62" s="1340">
        <f t="shared" si="218"/>
        <v>-8.136250000000004</v>
      </c>
      <c r="O62" s="1458">
        <v>-20</v>
      </c>
      <c r="P62" s="1157">
        <f t="shared" ref="P62:X62" si="219">O62</f>
        <v>-20</v>
      </c>
      <c r="Q62" s="1157">
        <f t="shared" si="219"/>
        <v>-20</v>
      </c>
      <c r="R62" s="1157">
        <f t="shared" si="219"/>
        <v>-20</v>
      </c>
      <c r="S62" s="1157">
        <f t="shared" si="219"/>
        <v>-20</v>
      </c>
      <c r="T62" s="1157">
        <f t="shared" si="219"/>
        <v>-20</v>
      </c>
      <c r="U62" s="1157">
        <f t="shared" si="219"/>
        <v>-20</v>
      </c>
      <c r="V62" s="1157">
        <f t="shared" si="219"/>
        <v>-20</v>
      </c>
      <c r="W62" s="1157">
        <f t="shared" si="219"/>
        <v>-20</v>
      </c>
      <c r="X62" s="1157">
        <f t="shared" si="219"/>
        <v>-20</v>
      </c>
      <c r="Y62" s="1157">
        <f t="shared" ref="Y62" si="220">X62</f>
        <v>-20</v>
      </c>
      <c r="Z62" s="1157">
        <f t="shared" ref="Z62" si="221">Y62</f>
        <v>-20</v>
      </c>
      <c r="AA62" s="1048"/>
      <c r="AB62" s="1059"/>
      <c r="AC62" s="1042"/>
      <c r="AD62" s="1060"/>
      <c r="AE62" s="1042"/>
      <c r="AF62" s="1060"/>
    </row>
    <row r="63" spans="1:32" x14ac:dyDescent="0.3">
      <c r="A63" s="1048" t="s">
        <v>62</v>
      </c>
      <c r="B63" s="1077"/>
      <c r="C63" s="1066">
        <f>'Historicals and forecast'!AM98</f>
        <v>14.56</v>
      </c>
      <c r="D63" s="1066">
        <f>'Historicals and forecast'!AN98</f>
        <v>33.521000000000001</v>
      </c>
      <c r="E63" s="1066">
        <f>'Historicals and forecast'!AO98</f>
        <v>44.905999999999999</v>
      </c>
      <c r="F63" s="1066">
        <f>'Historicals and forecast'!AP98</f>
        <v>28.198999999999998</v>
      </c>
      <c r="G63" s="1066">
        <f>'Historicals and forecast'!AQ98</f>
        <v>39.51</v>
      </c>
      <c r="H63" s="1066">
        <f>'Historicals and forecast'!AR98</f>
        <v>55.966999999999999</v>
      </c>
      <c r="I63" s="1066">
        <f>'Historicals and forecast'!AS98</f>
        <v>62.33000000000002</v>
      </c>
      <c r="J63" s="1066">
        <f>'Historicals and forecast'!AT98</f>
        <v>53.015000000000001</v>
      </c>
      <c r="K63" s="1066">
        <f>'Historicals and forecast'!AU98</f>
        <v>82.371999999999986</v>
      </c>
      <c r="L63" s="1066">
        <f>'Historicals and forecast'!AV98</f>
        <v>75.798000000000002</v>
      </c>
      <c r="M63" s="1420">
        <f>'Historicals and forecast'!AW98</f>
        <v>98.513000000000019</v>
      </c>
      <c r="N63" s="1336">
        <f>'Historicals and forecast'!AX98</f>
        <v>106.104</v>
      </c>
      <c r="O63" s="906">
        <f>O62+O59</f>
        <v>108.52093788541666</v>
      </c>
      <c r="P63" s="903">
        <f t="shared" ref="P63:X63" si="222">P62+P59</f>
        <v>129.80707963645833</v>
      </c>
      <c r="Q63" s="903">
        <f t="shared" si="222"/>
        <v>154.5873428103906</v>
      </c>
      <c r="R63" s="903">
        <f t="shared" si="222"/>
        <v>183.43102564468228</v>
      </c>
      <c r="S63" s="903">
        <f t="shared" si="222"/>
        <v>216.99959811602764</v>
      </c>
      <c r="T63" s="903">
        <f t="shared" si="222"/>
        <v>256.06154425177129</v>
      </c>
      <c r="U63" s="903">
        <f t="shared" si="222"/>
        <v>301.50958327062745</v>
      </c>
      <c r="V63" s="903">
        <f t="shared" si="222"/>
        <v>354.38064924947548</v>
      </c>
      <c r="W63" s="903">
        <f t="shared" si="222"/>
        <v>415.87906939838899</v>
      </c>
      <c r="X63" s="903">
        <f t="shared" si="222"/>
        <v>487.40345098386325</v>
      </c>
      <c r="Y63" s="903">
        <f t="shared" ref="Y63:Z63" si="223">Y62+Y59</f>
        <v>570.57786798351594</v>
      </c>
      <c r="Z63" s="903">
        <f t="shared" si="223"/>
        <v>667.28803243592722</v>
      </c>
      <c r="AA63" s="937" t="s">
        <v>63</v>
      </c>
      <c r="AB63" s="1078" t="str">
        <f>'Historicals and forecast'!BC98</f>
        <v>NA</v>
      </c>
      <c r="AC63" s="1079">
        <f>'Historicals and forecast'!BD98</f>
        <v>0.47405265328402746</v>
      </c>
      <c r="AD63" s="1080" t="str">
        <f>'Historicals and forecast'!BE98</f>
        <v>NA</v>
      </c>
      <c r="AE63" s="1079">
        <f>(L63/G63)^(1/5)-1</f>
        <v>0.13917420749955389</v>
      </c>
      <c r="AF63" s="1080">
        <f>(Q63/G63)^(1/10)-1</f>
        <v>0.1461638066079225</v>
      </c>
    </row>
    <row r="64" spans="1:32" s="758" customFormat="1" ht="14.5" outlineLevel="1" x14ac:dyDescent="0.35">
      <c r="A64" s="1026" t="s">
        <v>64</v>
      </c>
      <c r="B64" s="1081"/>
      <c r="C64" s="1082">
        <f t="shared" ref="C64:X64" si="224">+C63/(C39-C36-C54-C52)</f>
        <v>0.70725102310952526</v>
      </c>
      <c r="D64" s="1082">
        <f t="shared" si="224"/>
        <v>1.2544110768079328</v>
      </c>
      <c r="E64" s="1082">
        <f t="shared" si="224"/>
        <v>1.4683800928650868</v>
      </c>
      <c r="F64" s="1082">
        <f t="shared" si="224"/>
        <v>0.81603183215771402</v>
      </c>
      <c r="G64" s="1082">
        <f t="shared" si="224"/>
        <v>1.0474410466457234</v>
      </c>
      <c r="H64" s="1082">
        <f t="shared" si="224"/>
        <v>1.0951535341972536</v>
      </c>
      <c r="I64" s="1082">
        <f t="shared" si="224"/>
        <v>0.98858833139041524</v>
      </c>
      <c r="J64" s="1082">
        <f t="shared" si="224"/>
        <v>0.75933684248218636</v>
      </c>
      <c r="K64" s="1082">
        <f t="shared" si="224"/>
        <v>0.9248863850081549</v>
      </c>
      <c r="L64" s="1082">
        <f t="shared" si="224"/>
        <v>0.74202643171806237</v>
      </c>
      <c r="M64" s="1082">
        <f t="shared" si="224"/>
        <v>0.93188224833040101</v>
      </c>
      <c r="N64" s="1341">
        <f t="shared" si="224"/>
        <v>0.88753379883186223</v>
      </c>
      <c r="O64" s="1350">
        <f t="shared" si="224"/>
        <v>0.80914817850508691</v>
      </c>
      <c r="P64" s="1082">
        <f t="shared" si="224"/>
        <v>0.83392466969361856</v>
      </c>
      <c r="Q64" s="1082">
        <f t="shared" si="224"/>
        <v>0.85576118916694788</v>
      </c>
      <c r="R64" s="1082">
        <f t="shared" si="224"/>
        <v>0.8750589233889644</v>
      </c>
      <c r="S64" s="1082">
        <f t="shared" si="224"/>
        <v>0.89216315352622277</v>
      </c>
      <c r="T64" s="1082">
        <f t="shared" si="224"/>
        <v>0.90737110231841867</v>
      </c>
      <c r="U64" s="1082">
        <f t="shared" si="224"/>
        <v>0.9209386735436732</v>
      </c>
      <c r="V64" s="1082">
        <f t="shared" si="224"/>
        <v>0.93308624123017159</v>
      </c>
      <c r="W64" s="1082">
        <f t="shared" si="224"/>
        <v>0.94400362332938481</v>
      </c>
      <c r="X64" s="1082">
        <f t="shared" si="224"/>
        <v>0.95385435535456131</v>
      </c>
      <c r="Y64" s="1082">
        <f t="shared" ref="Y64:Z64" si="225">+Y63/(Y39-Y36-Y54-Y52)</f>
        <v>0.96277936303437939</v>
      </c>
      <c r="Z64" s="1082">
        <f t="shared" si="225"/>
        <v>0.97090011893686723</v>
      </c>
      <c r="AA64" s="1083" t="s">
        <v>65</v>
      </c>
      <c r="AB64" s="1084"/>
      <c r="AC64" s="1084"/>
      <c r="AD64" s="1084"/>
      <c r="AE64" s="1084"/>
      <c r="AF64" s="1084"/>
    </row>
    <row r="65" spans="1:32" x14ac:dyDescent="0.3">
      <c r="D65" s="759"/>
      <c r="E65" s="1085"/>
      <c r="F65" s="1085"/>
      <c r="G65" s="759"/>
      <c r="H65" s="759"/>
      <c r="I65" s="759"/>
      <c r="J65" s="759"/>
      <c r="K65" s="759"/>
      <c r="L65" s="759"/>
      <c r="M65" s="759"/>
      <c r="N65" s="1004"/>
      <c r="O65" s="1005"/>
      <c r="P65" s="759"/>
      <c r="Q65" s="759"/>
      <c r="R65" s="759"/>
      <c r="S65" s="759"/>
      <c r="T65" s="759"/>
      <c r="U65" s="759"/>
      <c r="V65" s="759"/>
      <c r="W65" s="759"/>
      <c r="X65" s="759"/>
      <c r="Y65" s="759"/>
      <c r="Z65" s="759"/>
      <c r="AA65" s="1086"/>
      <c r="AB65" s="911"/>
      <c r="AC65" s="911"/>
      <c r="AD65" s="911"/>
      <c r="AE65" s="911"/>
      <c r="AF65" s="911"/>
    </row>
    <row r="66" spans="1:32" x14ac:dyDescent="0.3">
      <c r="A66" s="756" t="s">
        <v>66</v>
      </c>
      <c r="B66" s="1077"/>
      <c r="C66" s="1066">
        <f>'Historicals and forecast'!AM108</f>
        <v>-8.6999999999999993</v>
      </c>
      <c r="D66" s="1066">
        <f>'Historicals and forecast'!AN108</f>
        <v>-37.700000000000003</v>
      </c>
      <c r="E66" s="1066">
        <f>'Historicals and forecast'!AO108</f>
        <v>-74.599999999999994</v>
      </c>
      <c r="F66" s="1066">
        <f>'Historicals and forecast'!AP108</f>
        <v>-62.4</v>
      </c>
      <c r="G66" s="1066">
        <f>'Historicals and forecast'!AQ108</f>
        <v>-61.643000000000001</v>
      </c>
      <c r="H66" s="1066">
        <f>'Historicals and forecast'!AR108</f>
        <v>-72.831000000000003</v>
      </c>
      <c r="I66" s="1066">
        <f>'Historicals and forecast'!AS108</f>
        <v>-79.263000000000005</v>
      </c>
      <c r="J66" s="1066">
        <f>'Historicals and forecast'!AT108</f>
        <v>-80.138999999999996</v>
      </c>
      <c r="K66" s="1066">
        <f>'Historicals and forecast'!AU108</f>
        <v>-101.724</v>
      </c>
      <c r="L66" s="1066">
        <f>'Historicals and forecast'!AV108</f>
        <v>-97.316000000000003</v>
      </c>
      <c r="M66" s="1420">
        <f>'Historicals and forecast'!AW108</f>
        <v>-122.621</v>
      </c>
      <c r="N66" s="1336">
        <f>'Historicals and forecast'!AX108</f>
        <v>-158.45400000000001</v>
      </c>
      <c r="O66" s="906">
        <f>+N66-O63</f>
        <v>-266.97493788541669</v>
      </c>
      <c r="P66" s="1071">
        <v>0</v>
      </c>
      <c r="Q66" s="1071">
        <f t="shared" ref="Q66:R66" si="226">P66</f>
        <v>0</v>
      </c>
      <c r="R66" s="1071">
        <f t="shared" si="226"/>
        <v>0</v>
      </c>
      <c r="S66" s="1071">
        <f t="shared" ref="S66" si="227">R66</f>
        <v>0</v>
      </c>
      <c r="T66" s="1071">
        <f t="shared" ref="T66" si="228">S66</f>
        <v>0</v>
      </c>
      <c r="U66" s="1071">
        <f t="shared" ref="U66" si="229">T66</f>
        <v>0</v>
      </c>
      <c r="V66" s="1071">
        <f t="shared" ref="V66" si="230">U66</f>
        <v>0</v>
      </c>
      <c r="W66" s="1071">
        <f t="shared" ref="W66" si="231">V66</f>
        <v>0</v>
      </c>
      <c r="X66" s="1071">
        <f t="shared" ref="X66" si="232">W66</f>
        <v>0</v>
      </c>
      <c r="Y66" s="1071">
        <f t="shared" ref="Y66" si="233">X66</f>
        <v>0</v>
      </c>
      <c r="Z66" s="1071">
        <f t="shared" ref="Z66" si="234">Y66</f>
        <v>0</v>
      </c>
      <c r="AA66" s="1086" t="s">
        <v>67</v>
      </c>
      <c r="AB66" s="911"/>
      <c r="AC66" s="911"/>
      <c r="AD66" s="911"/>
      <c r="AE66" s="911"/>
      <c r="AF66" s="911"/>
    </row>
    <row r="67" spans="1:32" ht="14.5" x14ac:dyDescent="0.35">
      <c r="A67" s="1026" t="s">
        <v>68</v>
      </c>
      <c r="B67" s="758"/>
      <c r="C67" s="1087">
        <f t="shared" ref="C67:S67" si="235">C66/C39</f>
        <v>-0.30489941823789196</v>
      </c>
      <c r="D67" s="1087">
        <f t="shared" si="235"/>
        <v>-1.0105613038117192</v>
      </c>
      <c r="E67" s="1087">
        <f t="shared" si="235"/>
        <v>-1.7459277288897239</v>
      </c>
      <c r="F67" s="1087">
        <f t="shared" si="235"/>
        <v>-1.3003792772892098</v>
      </c>
      <c r="G67" s="1087">
        <f t="shared" si="235"/>
        <v>-1.1818059815950921</v>
      </c>
      <c r="H67" s="1087">
        <f t="shared" si="235"/>
        <v>-1.0437081727117696</v>
      </c>
      <c r="I67" s="1087">
        <f t="shared" si="235"/>
        <v>-0.92973854292517522</v>
      </c>
      <c r="J67" s="1087">
        <f t="shared" si="235"/>
        <v>-0.84516979540181458</v>
      </c>
      <c r="K67" s="1087">
        <f t="shared" si="235"/>
        <v>-0.83498731808219906</v>
      </c>
      <c r="L67" s="1087">
        <f t="shared" si="235"/>
        <v>-0.69945088117758736</v>
      </c>
      <c r="M67" s="1087">
        <f t="shared" si="235"/>
        <v>-0.84629825178927598</v>
      </c>
      <c r="N67" s="1342">
        <f t="shared" ref="N67" si="236">N66/N39</f>
        <v>-1.0012321574128487</v>
      </c>
      <c r="O67" s="1010">
        <f t="shared" si="235"/>
        <v>-1.4497186923554537</v>
      </c>
      <c r="P67" s="1007">
        <f t="shared" si="235"/>
        <v>0</v>
      </c>
      <c r="Q67" s="1007">
        <f t="shared" si="235"/>
        <v>0</v>
      </c>
      <c r="R67" s="1007">
        <f t="shared" si="235"/>
        <v>0</v>
      </c>
      <c r="S67" s="1007">
        <f t="shared" si="235"/>
        <v>0</v>
      </c>
      <c r="T67" s="1007">
        <f t="shared" ref="T67:Y67" si="237">T66/T39</f>
        <v>0</v>
      </c>
      <c r="U67" s="1007">
        <f t="shared" si="237"/>
        <v>0</v>
      </c>
      <c r="V67" s="1007">
        <f t="shared" si="237"/>
        <v>0</v>
      </c>
      <c r="W67" s="1007">
        <f t="shared" si="237"/>
        <v>0</v>
      </c>
      <c r="X67" s="1007">
        <f t="shared" si="237"/>
        <v>0</v>
      </c>
      <c r="Y67" s="1007">
        <f t="shared" si="237"/>
        <v>0</v>
      </c>
      <c r="Z67" s="1007">
        <f t="shared" ref="Z67" si="238">Z66/Z39</f>
        <v>0</v>
      </c>
      <c r="AA67" s="1048"/>
      <c r="AB67" s="911"/>
      <c r="AC67" s="911"/>
      <c r="AD67" s="911"/>
      <c r="AE67" s="911"/>
      <c r="AF67" s="911"/>
    </row>
    <row r="68" spans="1:32" x14ac:dyDescent="0.3">
      <c r="D68" s="759"/>
      <c r="E68" s="759"/>
      <c r="F68" s="759"/>
      <c r="G68" s="759"/>
      <c r="H68" s="759"/>
      <c r="I68" s="759"/>
      <c r="J68" s="759"/>
      <c r="K68" s="759"/>
      <c r="L68" s="759"/>
      <c r="M68" s="759"/>
      <c r="N68" s="1004"/>
      <c r="O68" s="1005"/>
      <c r="P68" s="759"/>
      <c r="Q68" s="759"/>
      <c r="R68" s="759"/>
      <c r="S68" s="759"/>
      <c r="T68" s="759"/>
      <c r="U68" s="759"/>
      <c r="V68" s="759"/>
      <c r="W68" s="759"/>
      <c r="X68" s="759"/>
      <c r="Y68" s="759"/>
      <c r="Z68" s="759"/>
      <c r="AA68" s="1086"/>
      <c r="AB68" s="911"/>
      <c r="AC68" s="911"/>
      <c r="AD68" s="911"/>
      <c r="AE68" s="911"/>
      <c r="AF68" s="911"/>
    </row>
    <row r="69" spans="1:32" x14ac:dyDescent="0.3">
      <c r="A69" s="1048" t="s">
        <v>69</v>
      </c>
      <c r="B69" s="1077"/>
      <c r="C69" s="1077"/>
      <c r="D69" s="1077"/>
      <c r="E69" s="759"/>
      <c r="F69" s="1088"/>
      <c r="G69" s="1089"/>
      <c r="H69" s="1089"/>
      <c r="I69" s="1089"/>
      <c r="J69" s="1089"/>
      <c r="K69" s="1089"/>
      <c r="L69" s="1089"/>
      <c r="M69" s="1089"/>
      <c r="N69" s="905"/>
      <c r="O69" s="906">
        <f t="shared" ref="O69:Q69" si="239">+O63+(O66-N66)</f>
        <v>0</v>
      </c>
      <c r="P69" s="903">
        <f t="shared" si="239"/>
        <v>396.78201752187499</v>
      </c>
      <c r="Q69" s="903">
        <f t="shared" si="239"/>
        <v>154.5873428103906</v>
      </c>
      <c r="R69" s="903">
        <f t="shared" ref="R69" si="240">+R63+(R66-Q66)</f>
        <v>183.43102564468228</v>
      </c>
      <c r="S69" s="903">
        <f t="shared" ref="S69" si="241">+S63+(S66-R66)</f>
        <v>216.99959811602764</v>
      </c>
      <c r="T69" s="903">
        <f t="shared" ref="T69" si="242">+T63+(T66-S66)</f>
        <v>256.06154425177129</v>
      </c>
      <c r="U69" s="903">
        <f t="shared" ref="U69" si="243">+U63+(U66-T66)</f>
        <v>301.50958327062745</v>
      </c>
      <c r="V69" s="903">
        <f t="shared" ref="V69" si="244">+V63+(V66-U66)</f>
        <v>354.38064924947548</v>
      </c>
      <c r="W69" s="903">
        <f t="shared" ref="W69" si="245">+W63+(W66-V66)</f>
        <v>415.87906939838899</v>
      </c>
      <c r="X69" s="903">
        <f t="shared" ref="X69" si="246">+X63+(X66-W66)</f>
        <v>487.40345098386325</v>
      </c>
      <c r="Y69" s="903">
        <f t="shared" ref="Y69" si="247">+Y63+(Y66-X66)</f>
        <v>570.57786798351594</v>
      </c>
      <c r="Z69" s="903">
        <f t="shared" ref="Z69" si="248">+Z63+(Z66-Y66)</f>
        <v>667.28803243592722</v>
      </c>
      <c r="AA69" s="1086"/>
      <c r="AB69" s="911"/>
      <c r="AC69" s="911"/>
      <c r="AD69" s="911"/>
      <c r="AE69" s="911"/>
      <c r="AF69" s="911"/>
    </row>
    <row r="70" spans="1:32" ht="14.5" x14ac:dyDescent="0.35">
      <c r="A70" s="1090" t="s">
        <v>70</v>
      </c>
      <c r="D70" s="759"/>
      <c r="E70" s="759"/>
      <c r="F70" s="1091"/>
      <c r="G70" s="1067"/>
      <c r="H70" s="1067"/>
      <c r="I70" s="1067"/>
      <c r="J70" s="1067"/>
      <c r="K70" s="1067"/>
      <c r="L70" s="1067"/>
      <c r="M70" s="1067"/>
      <c r="N70" s="1337"/>
      <c r="O70" s="1346">
        <f t="shared" ref="O70:Y70" si="249">+O69/$L$96</f>
        <v>0</v>
      </c>
      <c r="P70" s="1067">
        <f t="shared" si="249"/>
        <v>0.12984283276242931</v>
      </c>
      <c r="Q70" s="1067">
        <f t="shared" si="249"/>
        <v>5.0587117392766619E-2</v>
      </c>
      <c r="R70" s="1067">
        <f t="shared" si="249"/>
        <v>6.0025915828986108E-2</v>
      </c>
      <c r="S70" s="1067">
        <f t="shared" si="249"/>
        <v>7.1010885784763125E-2</v>
      </c>
      <c r="T70" s="1067">
        <f t="shared" si="249"/>
        <v>8.3793505751149994E-2</v>
      </c>
      <c r="U70" s="1067">
        <f t="shared" si="249"/>
        <v>9.8665908907324698E-2</v>
      </c>
      <c r="V70" s="1067">
        <f t="shared" si="249"/>
        <v>0.11596742126097984</v>
      </c>
      <c r="W70" s="1067">
        <f t="shared" si="249"/>
        <v>0.13609214650034571</v>
      </c>
      <c r="X70" s="1067">
        <f t="shared" si="249"/>
        <v>0.1594977644631782</v>
      </c>
      <c r="Y70" s="1067">
        <f t="shared" si="249"/>
        <v>0.18671573664863156</v>
      </c>
      <c r="Z70" s="1067">
        <f t="shared" ref="Z70" si="250">+Z69/$L$96</f>
        <v>0.21836314291932823</v>
      </c>
      <c r="AA70" s="1048"/>
      <c r="AB70" s="1042"/>
      <c r="AC70" s="1042"/>
      <c r="AD70" s="1042"/>
      <c r="AE70" s="1042"/>
      <c r="AF70" s="1042"/>
    </row>
    <row r="71" spans="1:32" x14ac:dyDescent="0.3">
      <c r="D71" s="759"/>
      <c r="E71" s="759"/>
      <c r="F71" s="1092"/>
      <c r="G71" s="759"/>
      <c r="H71" s="759"/>
      <c r="I71" s="759"/>
      <c r="J71" s="759"/>
      <c r="K71" s="759"/>
      <c r="L71" s="759"/>
      <c r="M71" s="759"/>
      <c r="N71" s="1004"/>
      <c r="O71" s="1005"/>
      <c r="P71" s="759"/>
      <c r="Q71" s="759"/>
      <c r="R71" s="759"/>
      <c r="S71" s="759"/>
      <c r="T71" s="759"/>
      <c r="U71" s="759"/>
      <c r="V71" s="759"/>
      <c r="W71" s="759"/>
      <c r="X71" s="759"/>
      <c r="Y71" s="759"/>
      <c r="Z71" s="759"/>
      <c r="AA71" s="1048"/>
      <c r="AB71" s="1042"/>
      <c r="AC71" s="1042"/>
      <c r="AD71" s="1042"/>
      <c r="AE71" s="1042"/>
      <c r="AF71" s="1042"/>
    </row>
    <row r="72" spans="1:32" x14ac:dyDescent="0.3">
      <c r="A72" s="1048" t="s">
        <v>71</v>
      </c>
      <c r="B72" s="1077"/>
      <c r="C72" s="1077"/>
      <c r="D72" s="1077"/>
      <c r="E72" s="759"/>
      <c r="F72" s="1088"/>
      <c r="G72" s="1089"/>
      <c r="H72" s="1089"/>
      <c r="I72" s="1089"/>
      <c r="J72" s="1089"/>
      <c r="K72" s="1089"/>
      <c r="L72" s="1089"/>
      <c r="M72" s="1089"/>
      <c r="N72" s="905"/>
      <c r="O72" s="906">
        <f t="shared" ref="O72:Q72" si="251">O69+N72</f>
        <v>0</v>
      </c>
      <c r="P72" s="903">
        <f t="shared" si="251"/>
        <v>396.78201752187499</v>
      </c>
      <c r="Q72" s="903">
        <f t="shared" si="251"/>
        <v>551.36936033226561</v>
      </c>
      <c r="R72" s="903">
        <f t="shared" ref="R72" si="252">R69+Q72</f>
        <v>734.80038597694784</v>
      </c>
      <c r="S72" s="903">
        <f t="shared" ref="S72" si="253">S69+R72</f>
        <v>951.79998409297548</v>
      </c>
      <c r="T72" s="903">
        <f t="shared" ref="T72" si="254">T69+S72</f>
        <v>1207.8615283447468</v>
      </c>
      <c r="U72" s="903">
        <f t="shared" ref="U72" si="255">U69+T72</f>
        <v>1509.3711116153743</v>
      </c>
      <c r="V72" s="903">
        <f t="shared" ref="V72" si="256">V69+U72</f>
        <v>1863.7517608648498</v>
      </c>
      <c r="W72" s="903">
        <f t="shared" ref="W72" si="257">W69+V72</f>
        <v>2279.6308302632387</v>
      </c>
      <c r="X72" s="903">
        <f t="shared" ref="X72" si="258">X69+W72</f>
        <v>2767.0342812471022</v>
      </c>
      <c r="Y72" s="903">
        <f t="shared" ref="Y72" si="259">Y69+X72</f>
        <v>3337.6121492306183</v>
      </c>
      <c r="Z72" s="903">
        <f t="shared" ref="Z72" si="260">Z69+Y72</f>
        <v>4004.9001816665454</v>
      </c>
      <c r="AA72" s="1048"/>
      <c r="AB72" s="911"/>
      <c r="AC72" s="911"/>
      <c r="AD72" s="911"/>
      <c r="AE72" s="911"/>
      <c r="AF72" s="911"/>
    </row>
    <row r="73" spans="1:32" ht="14.5" x14ac:dyDescent="0.35">
      <c r="A73" s="1090" t="s">
        <v>70</v>
      </c>
      <c r="D73" s="759"/>
      <c r="F73" s="1091"/>
      <c r="G73" s="1067"/>
      <c r="H73" s="1067"/>
      <c r="I73" s="1067"/>
      <c r="J73" s="1067"/>
      <c r="K73" s="1067"/>
      <c r="L73" s="1067"/>
      <c r="M73" s="1067"/>
      <c r="N73" s="1337"/>
      <c r="O73" s="1346">
        <f t="shared" ref="O73:Y73" si="261">O72/$L$96</f>
        <v>0</v>
      </c>
      <c r="P73" s="1067">
        <f t="shared" si="261"/>
        <v>0.12984283276242931</v>
      </c>
      <c r="Q73" s="1067">
        <f t="shared" si="261"/>
        <v>0.18042995015519592</v>
      </c>
      <c r="R73" s="1067">
        <f t="shared" si="261"/>
        <v>0.240455865984182</v>
      </c>
      <c r="S73" s="1093">
        <f t="shared" si="261"/>
        <v>0.31146675176894512</v>
      </c>
      <c r="T73" s="1067">
        <f t="shared" si="261"/>
        <v>0.39526025752009514</v>
      </c>
      <c r="U73" s="1067">
        <f t="shared" si="261"/>
        <v>0.49392616642741982</v>
      </c>
      <c r="V73" s="1067">
        <f t="shared" si="261"/>
        <v>0.60989358768839963</v>
      </c>
      <c r="W73" s="1067">
        <f t="shared" si="261"/>
        <v>0.74598573418874536</v>
      </c>
      <c r="X73" s="1067">
        <f t="shared" si="261"/>
        <v>0.90548349865192368</v>
      </c>
      <c r="Y73" s="1067">
        <f t="shared" si="261"/>
        <v>1.0921992353005552</v>
      </c>
      <c r="Z73" s="1067">
        <f t="shared" ref="Z73" si="262">Z72/$L$96</f>
        <v>1.3105623782198834</v>
      </c>
      <c r="AA73" s="1048"/>
      <c r="AB73" s="1042"/>
      <c r="AC73" s="1042"/>
      <c r="AD73" s="1042"/>
      <c r="AE73" s="1042"/>
      <c r="AF73" s="1042"/>
    </row>
    <row r="74" spans="1:32" x14ac:dyDescent="0.3">
      <c r="D74" s="759"/>
      <c r="E74" s="759"/>
      <c r="F74" s="759"/>
      <c r="G74" s="759"/>
      <c r="H74" s="759"/>
      <c r="I74" s="759"/>
      <c r="J74" s="759"/>
      <c r="K74" s="759"/>
      <c r="L74" s="759"/>
      <c r="M74" s="759"/>
      <c r="N74" s="1004"/>
      <c r="O74" s="1005"/>
      <c r="P74" s="759"/>
      <c r="Q74" s="759"/>
      <c r="R74" s="759"/>
      <c r="S74" s="759"/>
      <c r="T74" s="759"/>
      <c r="U74" s="759"/>
      <c r="V74" s="759"/>
      <c r="W74" s="759"/>
      <c r="X74" s="759"/>
      <c r="Y74" s="759"/>
      <c r="Z74" s="759"/>
      <c r="AA74" s="1048"/>
      <c r="AB74" s="1042"/>
      <c r="AC74" s="1042"/>
      <c r="AD74" s="1042"/>
      <c r="AE74" s="1042"/>
      <c r="AF74" s="1042"/>
    </row>
    <row r="75" spans="1:32" x14ac:dyDescent="0.3">
      <c r="A75" s="759" t="s">
        <v>72</v>
      </c>
      <c r="B75" s="759"/>
      <c r="C75" s="759"/>
      <c r="D75" s="759"/>
      <c r="E75" s="1094"/>
      <c r="F75" s="1094"/>
      <c r="G75" s="1094"/>
      <c r="H75" s="1095"/>
      <c r="I75" s="1095"/>
      <c r="J75" s="1095"/>
      <c r="K75" s="1095"/>
      <c r="L75" s="1095"/>
      <c r="M75" s="1095"/>
      <c r="N75" s="1343"/>
      <c r="O75" s="1351">
        <f>+Base!O75</f>
        <v>28.80064691246324</v>
      </c>
      <c r="P75" s="1095"/>
      <c r="Q75" s="1095"/>
      <c r="R75" s="1095"/>
      <c r="S75" s="1095"/>
      <c r="T75" s="1095"/>
      <c r="U75" s="1095"/>
      <c r="V75" s="1095"/>
      <c r="W75" s="1095"/>
      <c r="X75" s="1095"/>
      <c r="Y75" s="1095"/>
      <c r="Z75" s="1095"/>
      <c r="AA75" s="937"/>
      <c r="AB75" s="759"/>
      <c r="AC75" s="759"/>
      <c r="AD75" s="1365"/>
      <c r="AE75" s="759"/>
      <c r="AF75" s="759"/>
    </row>
    <row r="76" spans="1:32" x14ac:dyDescent="0.3">
      <c r="A76" s="759" t="s">
        <v>73</v>
      </c>
      <c r="B76" s="759"/>
      <c r="C76" s="759"/>
      <c r="D76" s="759"/>
      <c r="E76" s="1095"/>
      <c r="F76" s="1095"/>
      <c r="G76" s="1095"/>
      <c r="H76" s="1095"/>
      <c r="I76" s="1095"/>
      <c r="J76" s="1095"/>
      <c r="K76" s="1095"/>
      <c r="L76" s="1095"/>
      <c r="M76" s="1095"/>
      <c r="N76" s="1343"/>
      <c r="O76" s="1351">
        <f t="shared" ref="O76:Y76" si="263">($L$96+O66-O72)/O47</f>
        <v>16.099641156523116</v>
      </c>
      <c r="P76" s="1095">
        <f t="shared" si="263"/>
        <v>13.183802097987176</v>
      </c>
      <c r="Q76" s="1095">
        <f t="shared" si="263"/>
        <v>10.666423732731229</v>
      </c>
      <c r="R76" s="1095">
        <f t="shared" si="263"/>
        <v>8.4925819125284185</v>
      </c>
      <c r="S76" s="1095">
        <f t="shared" si="263"/>
        <v>6.6149762420881046</v>
      </c>
      <c r="T76" s="1095">
        <f t="shared" si="263"/>
        <v>4.992863699941342</v>
      </c>
      <c r="U76" s="1095">
        <f t="shared" si="263"/>
        <v>3.5911427488139527</v>
      </c>
      <c r="V76" s="1095">
        <f t="shared" si="263"/>
        <v>2.3795664776711947</v>
      </c>
      <c r="W76" s="1095">
        <f t="shared" si="263"/>
        <v>1.3320664143026317</v>
      </c>
      <c r="X76" s="1095">
        <f t="shared" si="263"/>
        <v>0.4261712907815764</v>
      </c>
      <c r="Y76" s="1095">
        <f t="shared" si="263"/>
        <v>-0.35749269819648011</v>
      </c>
      <c r="Z76" s="1095">
        <f t="shared" ref="Z76" si="264">($L$96+Z66-Z72)/Z47</f>
        <v>-1.0356316750157655</v>
      </c>
      <c r="AA76" s="937"/>
      <c r="AB76" s="759"/>
      <c r="AC76" s="759"/>
      <c r="AD76" s="1365"/>
      <c r="AE76" s="759"/>
      <c r="AF76" s="759"/>
    </row>
    <row r="77" spans="1:32" x14ac:dyDescent="0.3">
      <c r="A77" s="759"/>
      <c r="B77" s="759"/>
      <c r="C77" s="759"/>
      <c r="D77" s="759"/>
      <c r="E77" s="1095"/>
      <c r="F77" s="1095"/>
      <c r="G77" s="1095"/>
      <c r="H77" s="1095"/>
      <c r="I77" s="1095"/>
      <c r="J77" s="1095"/>
      <c r="K77" s="1095"/>
      <c r="L77" s="1095"/>
      <c r="M77" s="1095"/>
      <c r="N77" s="1343"/>
      <c r="O77" s="1351"/>
      <c r="P77" s="1095"/>
      <c r="Q77" s="1095"/>
      <c r="R77" s="1095"/>
      <c r="S77" s="1095"/>
      <c r="T77" s="1095"/>
      <c r="U77" s="1095"/>
      <c r="V77" s="1095"/>
      <c r="W77" s="1095"/>
      <c r="X77" s="1095"/>
      <c r="Y77" s="1095"/>
      <c r="Z77" s="1095"/>
      <c r="AA77" s="937"/>
      <c r="AB77" s="759"/>
      <c r="AC77" s="759"/>
      <c r="AD77" s="1365"/>
      <c r="AE77" s="759"/>
      <c r="AF77" s="759"/>
    </row>
    <row r="78" spans="1:32" x14ac:dyDescent="0.3">
      <c r="A78" s="759" t="s">
        <v>74</v>
      </c>
      <c r="M78" s="1094"/>
      <c r="N78" s="1343"/>
      <c r="O78" s="1351">
        <f t="shared" ref="O78:Y78" si="265">($L$96+O66-O72)/O59</f>
        <v>21.699879786132808</v>
      </c>
      <c r="P78" s="1095">
        <f t="shared" si="265"/>
        <v>17.750041112416081</v>
      </c>
      <c r="Q78" s="1095">
        <f t="shared" si="265"/>
        <v>14.345223653399227</v>
      </c>
      <c r="R78" s="1095">
        <f t="shared" si="265"/>
        <v>11.409584386980773</v>
      </c>
      <c r="S78" s="1095">
        <f t="shared" si="265"/>
        <v>8.8779216194153214</v>
      </c>
      <c r="T78" s="1095">
        <f t="shared" si="265"/>
        <v>6.6941678409574275</v>
      </c>
      <c r="U78" s="1095">
        <f t="shared" si="265"/>
        <v>4.8100983885226247</v>
      </c>
      <c r="V78" s="1095">
        <f t="shared" si="265"/>
        <v>3.1842246161092698</v>
      </c>
      <c r="W78" s="1095">
        <f t="shared" si="265"/>
        <v>1.7808448816047466</v>
      </c>
      <c r="X78" s="1095">
        <f t="shared" si="265"/>
        <v>0.56923057616745165</v>
      </c>
      <c r="Y78" s="1095">
        <f t="shared" si="265"/>
        <v>-0.47707224483813954</v>
      </c>
      <c r="Z78" s="1095">
        <f t="shared" ref="Z78" si="266">($L$96+Z66-Z72)/Z59</f>
        <v>-1.380842233354354</v>
      </c>
      <c r="AA78" s="937"/>
      <c r="AB78" s="759"/>
      <c r="AC78" s="759"/>
      <c r="AD78" s="759"/>
      <c r="AE78" s="759"/>
      <c r="AF78" s="759"/>
    </row>
    <row r="79" spans="1:32" x14ac:dyDescent="0.3">
      <c r="A79" s="759" t="s">
        <v>75</v>
      </c>
      <c r="B79" s="759"/>
      <c r="C79" s="759"/>
      <c r="D79" s="759"/>
      <c r="E79" s="1094">
        <f t="shared" ref="E79:L79" si="267">($L$96-E72)/E59</f>
        <v>101.10719428268945</v>
      </c>
      <c r="F79" s="1094">
        <f t="shared" si="267"/>
        <v>87.427173152711148</v>
      </c>
      <c r="G79" s="1094">
        <f t="shared" si="267"/>
        <v>79.855329979747836</v>
      </c>
      <c r="H79" s="1094">
        <f t="shared" si="267"/>
        <v>59.017151465113912</v>
      </c>
      <c r="I79" s="1094">
        <f t="shared" si="267"/>
        <v>49.097674986544099</v>
      </c>
      <c r="J79" s="1094">
        <f t="shared" si="267"/>
        <v>50.697433328079818</v>
      </c>
      <c r="K79" s="1094">
        <f t="shared" si="267"/>
        <v>36.9017771243468</v>
      </c>
      <c r="L79" s="1094">
        <f t="shared" si="267"/>
        <v>31.4276118681545</v>
      </c>
      <c r="M79" s="1094">
        <f t="shared" ref="M79:Y79" si="268">($L$96-M72)/M59</f>
        <v>29.549236481782309</v>
      </c>
      <c r="N79" s="1352">
        <f t="shared" si="268"/>
        <v>26.749449865524628</v>
      </c>
      <c r="O79" s="1351">
        <f t="shared" si="268"/>
        <v>23.777167287126922</v>
      </c>
      <c r="P79" s="1095">
        <f t="shared" si="268"/>
        <v>17.750041112416081</v>
      </c>
      <c r="Q79" s="1095">
        <f t="shared" si="268"/>
        <v>14.345223653399227</v>
      </c>
      <c r="R79" s="1095">
        <f t="shared" si="268"/>
        <v>11.409584386980773</v>
      </c>
      <c r="S79" s="1095">
        <f t="shared" si="268"/>
        <v>8.8779216194153214</v>
      </c>
      <c r="T79" s="1095">
        <f t="shared" si="268"/>
        <v>6.6941678409574275</v>
      </c>
      <c r="U79" s="1095">
        <f t="shared" si="268"/>
        <v>4.8100983885226247</v>
      </c>
      <c r="V79" s="1095">
        <f t="shared" si="268"/>
        <v>3.1842246161092698</v>
      </c>
      <c r="W79" s="1095">
        <f t="shared" si="268"/>
        <v>1.7808448816047466</v>
      </c>
      <c r="X79" s="1095">
        <f t="shared" si="268"/>
        <v>0.56923057616745165</v>
      </c>
      <c r="Y79" s="1095">
        <f t="shared" si="268"/>
        <v>-0.47707224483813954</v>
      </c>
      <c r="Z79" s="1095">
        <f t="shared" ref="Z79" si="269">($L$96-Z72)/Z59</f>
        <v>-1.380842233354354</v>
      </c>
      <c r="AA79" s="937"/>
      <c r="AB79" s="759"/>
      <c r="AC79" s="759"/>
      <c r="AD79" s="759"/>
      <c r="AE79" s="759"/>
      <c r="AF79" s="759"/>
    </row>
    <row r="80" spans="1:32" x14ac:dyDescent="0.3">
      <c r="A80" s="759"/>
      <c r="B80" s="759"/>
      <c r="C80" s="759"/>
      <c r="D80" s="759"/>
      <c r="E80" s="1094"/>
      <c r="F80" s="1094"/>
      <c r="G80" s="1094"/>
      <c r="H80" s="1094"/>
      <c r="I80" s="1094"/>
      <c r="J80" s="1094"/>
      <c r="K80" s="1094"/>
      <c r="L80" s="1094"/>
      <c r="M80" s="1094"/>
      <c r="N80" s="1343"/>
      <c r="O80" s="1351"/>
      <c r="P80" s="1095"/>
      <c r="Q80" s="1095"/>
      <c r="R80" s="1095"/>
      <c r="S80" s="1095"/>
      <c r="T80" s="1095"/>
      <c r="U80" s="1095"/>
      <c r="V80" s="1095"/>
      <c r="W80" s="1095"/>
      <c r="X80" s="1095"/>
      <c r="Y80" s="1095"/>
      <c r="Z80" s="1095"/>
      <c r="AA80" s="937"/>
      <c r="AB80" s="759"/>
      <c r="AC80" s="759"/>
      <c r="AD80" s="759"/>
      <c r="AE80" s="759"/>
      <c r="AF80" s="759"/>
    </row>
    <row r="81" spans="1:32" x14ac:dyDescent="0.3">
      <c r="A81" s="759" t="s">
        <v>76</v>
      </c>
      <c r="B81" s="759"/>
      <c r="C81" s="759"/>
      <c r="D81" s="759"/>
      <c r="E81" s="1095"/>
      <c r="F81" s="1095"/>
      <c r="G81" s="1095"/>
      <c r="H81" s="1095"/>
      <c r="I81" s="1095"/>
      <c r="J81" s="1095"/>
      <c r="K81" s="1095"/>
      <c r="L81" s="1095"/>
      <c r="M81" s="1095"/>
      <c r="N81" s="1343"/>
      <c r="O81" s="1351">
        <f t="shared" ref="O81:Y81" si="270">($L$96+O66-O72)/(O39-O36-O52-O54)</f>
        <v>20.794368526207865</v>
      </c>
      <c r="P81" s="1095">
        <f t="shared" si="270"/>
        <v>17.082842759491246</v>
      </c>
      <c r="Q81" s="1095">
        <f t="shared" si="270"/>
        <v>13.86432508133168</v>
      </c>
      <c r="R81" s="1095">
        <f t="shared" si="270"/>
        <v>11.072648588517362</v>
      </c>
      <c r="S81" s="1095">
        <f t="shared" si="270"/>
        <v>8.6505609282412159</v>
      </c>
      <c r="T81" s="1095">
        <f t="shared" si="270"/>
        <v>6.5485190269917446</v>
      </c>
      <c r="U81" s="1095">
        <f t="shared" si="270"/>
        <v>4.7236474093930365</v>
      </c>
      <c r="V81" s="1095">
        <f t="shared" si="270"/>
        <v>3.1388378044937748</v>
      </c>
      <c r="W81" s="1095">
        <f t="shared" si="270"/>
        <v>1.7619707930947266</v>
      </c>
      <c r="X81" s="1095">
        <f t="shared" si="270"/>
        <v>0.56524288454557725</v>
      </c>
      <c r="Y81" s="1095">
        <f t="shared" si="270"/>
        <v>-0.47541531650313656</v>
      </c>
      <c r="Z81" s="1095">
        <f t="shared" ref="Z81" si="271">($L$96+Z66-Z72)/(Z39-Z36-Z52-Z54)</f>
        <v>-1.380842233354354</v>
      </c>
      <c r="AA81" s="937"/>
      <c r="AB81" s="759"/>
      <c r="AC81" s="759"/>
      <c r="AD81" s="759"/>
      <c r="AE81" s="759"/>
      <c r="AF81" s="759"/>
    </row>
    <row r="82" spans="1:32" x14ac:dyDescent="0.3">
      <c r="A82" s="759" t="s">
        <v>77</v>
      </c>
      <c r="B82" s="759"/>
      <c r="C82" s="759"/>
      <c r="D82" s="759"/>
      <c r="E82" s="1095"/>
      <c r="F82" s="1095"/>
      <c r="G82" s="1095"/>
      <c r="H82" s="1095"/>
      <c r="I82" s="1095"/>
      <c r="J82" s="1095"/>
      <c r="K82" s="1095"/>
      <c r="L82" s="1095"/>
      <c r="M82" s="1095"/>
      <c r="N82" s="1343"/>
      <c r="O82" s="1351">
        <f t="shared" ref="O82:Y82" si="272">($L$96-O72)/(O39-O36-O52-O54)</f>
        <v>22.784973186523128</v>
      </c>
      <c r="P82" s="1095">
        <f t="shared" si="272"/>
        <v>17.082842759491246</v>
      </c>
      <c r="Q82" s="1095">
        <f t="shared" si="272"/>
        <v>13.86432508133168</v>
      </c>
      <c r="R82" s="1095">
        <f t="shared" si="272"/>
        <v>11.072648588517362</v>
      </c>
      <c r="S82" s="1095">
        <f t="shared" si="272"/>
        <v>8.6505609282412159</v>
      </c>
      <c r="T82" s="1095">
        <f t="shared" si="272"/>
        <v>6.5485190269917446</v>
      </c>
      <c r="U82" s="1095">
        <f t="shared" si="272"/>
        <v>4.7236474093930365</v>
      </c>
      <c r="V82" s="1095">
        <f t="shared" si="272"/>
        <v>3.1388378044937748</v>
      </c>
      <c r="W82" s="1095">
        <f t="shared" si="272"/>
        <v>1.7619707930947266</v>
      </c>
      <c r="X82" s="1095">
        <f t="shared" si="272"/>
        <v>0.56524288454557725</v>
      </c>
      <c r="Y82" s="1095">
        <f t="shared" si="272"/>
        <v>-0.47541531650313656</v>
      </c>
      <c r="Z82" s="1095">
        <f t="shared" ref="Z82" si="273">($L$96-Z72)/(Z39-Z36-Z52-Z54)</f>
        <v>-1.380842233354354</v>
      </c>
      <c r="AA82" s="937"/>
      <c r="AB82" s="759"/>
      <c r="AC82" s="759"/>
      <c r="AD82" s="759"/>
      <c r="AE82" s="759"/>
      <c r="AF82" s="759"/>
    </row>
    <row r="83" spans="1:32" x14ac:dyDescent="0.3">
      <c r="A83" s="759"/>
      <c r="B83" s="759"/>
      <c r="C83" s="759"/>
      <c r="D83" s="759"/>
      <c r="E83" s="1095"/>
      <c r="F83" s="1095"/>
      <c r="G83" s="1095"/>
      <c r="H83" s="1095"/>
      <c r="I83" s="1095"/>
      <c r="J83" s="1095"/>
      <c r="K83" s="1095"/>
      <c r="L83" s="1095"/>
      <c r="M83" s="1095"/>
      <c r="N83" s="1343"/>
      <c r="O83" s="1351"/>
      <c r="P83" s="1095"/>
      <c r="Q83" s="1095"/>
      <c r="R83" s="1095"/>
      <c r="S83" s="1095"/>
      <c r="T83" s="1095"/>
      <c r="U83" s="1095"/>
      <c r="V83" s="1095"/>
      <c r="W83" s="1095"/>
      <c r="X83" s="1095"/>
      <c r="Y83" s="1095"/>
      <c r="Z83" s="1095"/>
      <c r="AA83" s="937"/>
      <c r="AB83" s="759"/>
      <c r="AC83" s="759"/>
      <c r="AD83" s="759"/>
      <c r="AE83" s="759"/>
      <c r="AF83" s="759"/>
    </row>
    <row r="84" spans="1:32" x14ac:dyDescent="0.3">
      <c r="A84" s="759" t="s">
        <v>78</v>
      </c>
      <c r="B84" s="759"/>
      <c r="C84" s="759"/>
      <c r="D84" s="759"/>
      <c r="E84" s="1095"/>
      <c r="F84" s="1095"/>
      <c r="G84" s="1095"/>
      <c r="H84" s="1095"/>
      <c r="I84" s="1095"/>
      <c r="J84" s="1095"/>
      <c r="K84" s="1095"/>
      <c r="L84" s="1095"/>
      <c r="M84" s="1095"/>
      <c r="N84" s="1343"/>
      <c r="O84" s="1351">
        <f>+Base!O84</f>
        <v>21.694970802563347</v>
      </c>
      <c r="P84" s="1095"/>
      <c r="Q84" s="1095"/>
      <c r="R84" s="1095"/>
      <c r="S84" s="1095"/>
      <c r="T84" s="1095"/>
      <c r="U84" s="1095"/>
      <c r="V84" s="1095"/>
      <c r="W84" s="1095"/>
      <c r="X84" s="1095"/>
      <c r="Y84" s="1095"/>
      <c r="Z84" s="1095"/>
      <c r="AA84" s="937" t="s">
        <v>79</v>
      </c>
      <c r="AB84" s="759"/>
      <c r="AC84" s="759"/>
      <c r="AD84" s="759"/>
      <c r="AE84" s="759"/>
      <c r="AF84" s="759"/>
    </row>
    <row r="85" spans="1:32" x14ac:dyDescent="0.3">
      <c r="D85" s="759"/>
      <c r="E85" s="759"/>
      <c r="F85" s="759"/>
      <c r="G85" s="759"/>
      <c r="H85" s="759"/>
      <c r="I85" s="759"/>
      <c r="J85" s="759"/>
      <c r="K85" s="759"/>
      <c r="L85" s="759"/>
      <c r="M85" s="759"/>
      <c r="N85" s="759"/>
      <c r="O85" s="759"/>
      <c r="P85" s="759"/>
      <c r="AA85" s="1048"/>
      <c r="AB85" s="1042"/>
      <c r="AC85" s="1042"/>
      <c r="AD85" s="1042"/>
      <c r="AE85" s="1042"/>
      <c r="AF85" s="1042"/>
    </row>
    <row r="86" spans="1:32" x14ac:dyDescent="0.3">
      <c r="A86" s="1061" t="s">
        <v>80</v>
      </c>
      <c r="B86" s="1526"/>
      <c r="C86" s="1526"/>
      <c r="D86" s="1096"/>
      <c r="E86" s="759"/>
      <c r="F86" s="759"/>
      <c r="G86" s="759"/>
      <c r="H86" s="759"/>
      <c r="I86" s="759"/>
      <c r="J86" s="759"/>
      <c r="K86" s="759"/>
      <c r="L86" s="759"/>
      <c r="M86" s="759"/>
      <c r="N86" s="759"/>
      <c r="O86" s="759"/>
      <c r="P86" s="759"/>
      <c r="AA86" s="1048"/>
      <c r="AB86" s="1042"/>
      <c r="AC86" s="1042"/>
      <c r="AD86" s="1042"/>
      <c r="AE86" s="1042"/>
      <c r="AF86" s="1042"/>
    </row>
    <row r="87" spans="1:32" x14ac:dyDescent="0.3">
      <c r="D87" s="759"/>
      <c r="E87" s="759"/>
      <c r="F87" s="759"/>
      <c r="G87" s="1097"/>
      <c r="H87" s="1098"/>
      <c r="I87" s="759"/>
      <c r="J87" s="759"/>
      <c r="K87" s="759"/>
      <c r="L87" s="759"/>
      <c r="M87" s="759"/>
      <c r="N87" s="759"/>
      <c r="O87" s="759"/>
      <c r="P87" s="759"/>
      <c r="AA87" s="1048"/>
      <c r="AB87" s="1042"/>
      <c r="AC87" s="1042"/>
      <c r="AD87" s="1042"/>
      <c r="AE87" s="1042"/>
      <c r="AF87" s="1042"/>
    </row>
    <row r="88" spans="1:32" x14ac:dyDescent="0.3">
      <c r="A88" s="1099" t="s">
        <v>81</v>
      </c>
      <c r="D88" s="759"/>
      <c r="E88" s="759"/>
      <c r="F88" s="759"/>
      <c r="G88" s="1097"/>
      <c r="H88" s="759"/>
      <c r="I88" s="759"/>
      <c r="J88" s="759"/>
      <c r="K88" s="759"/>
      <c r="L88" s="759"/>
      <c r="M88" s="759"/>
      <c r="N88" s="759"/>
      <c r="O88" s="759"/>
      <c r="P88" s="759"/>
      <c r="Q88" s="759"/>
      <c r="AA88" s="1048"/>
      <c r="AB88" s="1042"/>
      <c r="AC88" s="1042"/>
      <c r="AD88" s="1042"/>
      <c r="AE88" s="1042"/>
      <c r="AF88" s="1042"/>
    </row>
    <row r="89" spans="1:32" ht="17" x14ac:dyDescent="0.6">
      <c r="A89" s="756" t="s">
        <v>82</v>
      </c>
      <c r="D89" s="759"/>
      <c r="E89" s="759"/>
      <c r="K89" s="759"/>
      <c r="L89" s="759"/>
      <c r="M89" s="759"/>
      <c r="N89" s="759"/>
      <c r="O89" s="759"/>
      <c r="P89" s="759"/>
      <c r="Q89" s="759"/>
      <c r="R89" s="759"/>
      <c r="S89" s="759"/>
      <c r="T89" s="759"/>
      <c r="U89" s="759"/>
      <c r="V89" s="759"/>
      <c r="W89" s="759"/>
      <c r="X89" s="759"/>
      <c r="Y89" s="1100">
        <v>15</v>
      </c>
      <c r="AA89" s="1048"/>
      <c r="AB89" s="1042"/>
      <c r="AC89" s="1042"/>
      <c r="AD89" s="1042"/>
      <c r="AE89" s="1042"/>
      <c r="AF89" s="1042"/>
    </row>
    <row r="90" spans="1:32" x14ac:dyDescent="0.3">
      <c r="A90" s="1048" t="s">
        <v>83</v>
      </c>
      <c r="D90" s="759"/>
      <c r="E90" s="1089"/>
      <c r="K90" s="1089"/>
      <c r="L90" s="1089"/>
      <c r="M90" s="1089"/>
      <c r="N90" s="1089"/>
      <c r="O90" s="1089"/>
      <c r="P90" s="903"/>
      <c r="Q90" s="903"/>
      <c r="R90" s="903"/>
      <c r="S90" s="903"/>
      <c r="T90" s="903"/>
      <c r="U90" s="903"/>
      <c r="V90" s="903"/>
      <c r="W90" s="903"/>
      <c r="X90" s="903"/>
      <c r="Y90" s="903">
        <f>+Y89*Z59</f>
        <v>10309.320486538909</v>
      </c>
      <c r="AA90" s="1048"/>
      <c r="AB90" s="1042"/>
      <c r="AC90" s="1042"/>
      <c r="AD90" s="1042"/>
      <c r="AE90" s="1042"/>
      <c r="AF90" s="1042"/>
    </row>
    <row r="91" spans="1:32" x14ac:dyDescent="0.3">
      <c r="A91" s="1048" t="s">
        <v>84</v>
      </c>
      <c r="D91" s="759"/>
      <c r="E91" s="1089"/>
      <c r="K91" s="1089"/>
      <c r="L91" s="1089"/>
      <c r="M91" s="1089"/>
      <c r="N91" s="1089"/>
      <c r="O91" s="903">
        <f>-$L$96</f>
        <v>-3055.86384</v>
      </c>
      <c r="P91" s="903">
        <f t="shared" ref="P91:Y91" si="274">+P69+P90</f>
        <v>396.78201752187499</v>
      </c>
      <c r="Q91" s="903">
        <f t="shared" si="274"/>
        <v>154.5873428103906</v>
      </c>
      <c r="R91" s="903">
        <f t="shared" si="274"/>
        <v>183.43102564468228</v>
      </c>
      <c r="S91" s="903">
        <f t="shared" si="274"/>
        <v>216.99959811602764</v>
      </c>
      <c r="T91" s="903">
        <f t="shared" si="274"/>
        <v>256.06154425177129</v>
      </c>
      <c r="U91" s="903">
        <f t="shared" si="274"/>
        <v>301.50958327062745</v>
      </c>
      <c r="V91" s="903">
        <f t="shared" si="274"/>
        <v>354.38064924947548</v>
      </c>
      <c r="W91" s="903">
        <f t="shared" si="274"/>
        <v>415.87906939838899</v>
      </c>
      <c r="X91" s="903">
        <f t="shared" si="274"/>
        <v>487.40345098386325</v>
      </c>
      <c r="Y91" s="903">
        <f t="shared" si="274"/>
        <v>10879.898354522426</v>
      </c>
      <c r="AA91" s="1048"/>
      <c r="AB91" s="1042"/>
      <c r="AC91" s="1042"/>
      <c r="AD91" s="1042"/>
      <c r="AE91" s="1042"/>
      <c r="AF91" s="1042"/>
    </row>
    <row r="92" spans="1:32" x14ac:dyDescent="0.3">
      <c r="A92" s="1101" t="s">
        <v>85</v>
      </c>
      <c r="B92" s="1527"/>
      <c r="C92" s="1527"/>
      <c r="D92" s="1527"/>
      <c r="E92" s="1527"/>
      <c r="F92" s="1527"/>
      <c r="G92" s="1527"/>
      <c r="H92" s="1527"/>
      <c r="I92" s="1527"/>
      <c r="J92" s="1527"/>
      <c r="K92" s="1527"/>
      <c r="L92" s="1527"/>
      <c r="M92" s="1527"/>
      <c r="N92" s="1527"/>
      <c r="O92" s="1102">
        <f>XIRR(O91:Y91,O4:Y4)</f>
        <v>0.17742661833763121</v>
      </c>
      <c r="P92" s="1085"/>
      <c r="Q92" s="1085"/>
      <c r="R92" s="1085"/>
      <c r="S92" s="1085"/>
      <c r="T92" s="1085"/>
      <c r="U92" s="1085"/>
      <c r="V92" s="1085"/>
      <c r="W92" s="1085"/>
      <c r="X92" s="1085"/>
      <c r="Y92" s="981"/>
      <c r="AA92" s="1048"/>
      <c r="AB92" s="1042"/>
      <c r="AC92" s="1042"/>
      <c r="AD92" s="1042"/>
      <c r="AE92" s="1042"/>
      <c r="AF92" s="1042"/>
    </row>
    <row r="93" spans="1:32" x14ac:dyDescent="0.3">
      <c r="D93" s="759"/>
      <c r="L93" s="759"/>
      <c r="M93" s="759"/>
      <c r="N93" s="759"/>
      <c r="X93" s="1103">
        <f>+Base!X93</f>
        <v>45656</v>
      </c>
      <c r="Y93" s="1103">
        <f>+Base!Y93</f>
        <v>45657</v>
      </c>
      <c r="Z93" s="1103"/>
      <c r="AA93" s="1048"/>
      <c r="AB93" s="1042"/>
      <c r="AC93" s="1042"/>
      <c r="AD93" s="1042"/>
      <c r="AE93" s="1042"/>
      <c r="AF93" s="1042"/>
    </row>
    <row r="94" spans="1:32" x14ac:dyDescent="0.3">
      <c r="A94" s="1104" t="s">
        <v>86</v>
      </c>
      <c r="B94" s="1528"/>
      <c r="C94" s="1528"/>
      <c r="D94" s="1528"/>
      <c r="E94" s="1528"/>
      <c r="F94" s="1528"/>
      <c r="G94" s="1528"/>
      <c r="H94" s="1528"/>
      <c r="I94" s="1528"/>
      <c r="J94" s="1528"/>
      <c r="K94" s="1528"/>
      <c r="L94" s="1529"/>
      <c r="M94" s="1105"/>
      <c r="N94" s="759"/>
      <c r="R94" s="1104" t="s">
        <v>87</v>
      </c>
      <c r="S94" s="1528"/>
      <c r="T94" s="1528"/>
      <c r="U94" s="1106"/>
      <c r="X94" s="1107" t="s">
        <v>88</v>
      </c>
      <c r="Y94" s="1107" t="s">
        <v>89</v>
      </c>
      <c r="Z94" s="1107"/>
      <c r="AA94" s="1048"/>
      <c r="AB94" s="1042"/>
      <c r="AC94" s="1042"/>
      <c r="AD94" s="1042"/>
      <c r="AE94" s="1042"/>
      <c r="AF94" s="1042"/>
    </row>
    <row r="95" spans="1:32" x14ac:dyDescent="0.3">
      <c r="D95" s="759"/>
      <c r="L95" s="882" t="s">
        <v>90</v>
      </c>
      <c r="M95" s="1364" t="s">
        <v>91</v>
      </c>
      <c r="N95" s="759"/>
      <c r="T95" s="1018" t="s">
        <v>90</v>
      </c>
      <c r="U95" s="1019" t="s">
        <v>92</v>
      </c>
      <c r="X95" s="1108" t="s">
        <v>93</v>
      </c>
      <c r="Y95" s="1110">
        <f>1/(_xll.ciqfunctions.udf.CIQAVG("$"&amp;$Y94&amp;$X94,"iq_lastsaleprice",X93,Y93))</f>
        <v>0.7989499595625259</v>
      </c>
      <c r="Z95" s="1109"/>
      <c r="AA95" s="1048"/>
      <c r="AB95" s="1042"/>
      <c r="AC95" s="1042"/>
      <c r="AD95" s="1042"/>
      <c r="AE95" s="1042"/>
      <c r="AF95" s="1042"/>
    </row>
    <row r="96" spans="1:32" x14ac:dyDescent="0.3">
      <c r="A96" s="756" t="s">
        <v>94</v>
      </c>
      <c r="D96" s="759"/>
      <c r="L96" s="1089">
        <f>+M96*M99</f>
        <v>3055.86384</v>
      </c>
      <c r="M96" s="1098">
        <f>+Base!M96</f>
        <v>15.24</v>
      </c>
      <c r="N96" s="759"/>
      <c r="R96" s="756" t="s">
        <v>94</v>
      </c>
      <c r="T96" s="1085">
        <f>+U96*U99</f>
        <v>3824.8501091022931</v>
      </c>
      <c r="U96" s="1075">
        <f>+M96/Y95</f>
        <v>19.075036950180003</v>
      </c>
      <c r="V96" s="759"/>
      <c r="X96" s="1108" t="s">
        <v>95</v>
      </c>
      <c r="Y96" s="1110">
        <f>1/Y95</f>
        <v>1.2516428445000001</v>
      </c>
      <c r="Z96" s="1110"/>
      <c r="AA96" s="1048"/>
      <c r="AB96" s="1042"/>
      <c r="AC96" s="1042"/>
      <c r="AD96" s="1042"/>
      <c r="AE96" s="1042"/>
      <c r="AF96" s="1042"/>
    </row>
    <row r="97" spans="1:32" ht="17" x14ac:dyDescent="0.6">
      <c r="A97" s="756" t="s">
        <v>66</v>
      </c>
      <c r="D97" s="759"/>
      <c r="L97" s="1021">
        <f>+Base!L97</f>
        <v>-158.45400000000001</v>
      </c>
      <c r="M97" s="1022">
        <f>+L97/M99</f>
        <v>-0.79023120349498299</v>
      </c>
      <c r="N97" s="759"/>
      <c r="R97" s="756" t="s">
        <v>96</v>
      </c>
      <c r="T97" s="1113">
        <f>+L97/Y95</f>
        <v>-198.32781528240304</v>
      </c>
      <c r="U97" s="1022">
        <f>+T97/U99</f>
        <v>-0.989087231355119</v>
      </c>
      <c r="V97" s="759"/>
      <c r="AA97" s="1048"/>
      <c r="AB97" s="1042"/>
      <c r="AC97" s="1042"/>
      <c r="AD97" s="1042"/>
      <c r="AE97" s="1042"/>
      <c r="AF97" s="1042"/>
    </row>
    <row r="98" spans="1:32" x14ac:dyDescent="0.3">
      <c r="A98" s="1023" t="s">
        <v>97</v>
      </c>
      <c r="B98" s="1038"/>
      <c r="C98" s="1038"/>
      <c r="D98" s="1038"/>
      <c r="L98" s="1114">
        <f>+L97+L96</f>
        <v>2897.4098399999998</v>
      </c>
      <c r="M98" s="1115">
        <f>+L98/M99</f>
        <v>14.449768796505017</v>
      </c>
      <c r="N98" s="759"/>
      <c r="R98" s="1023" t="s">
        <v>97</v>
      </c>
      <c r="T98" s="1116">
        <f>+T97+T96</f>
        <v>3626.5222938198899</v>
      </c>
      <c r="U98" s="1117">
        <f>+T98/U99</f>
        <v>18.085949718824882</v>
      </c>
      <c r="V98" s="759"/>
      <c r="AA98" s="1048"/>
      <c r="AB98" s="1042"/>
      <c r="AC98" s="1042"/>
      <c r="AD98" s="1042"/>
      <c r="AE98" s="1042"/>
      <c r="AF98" s="1042"/>
    </row>
    <row r="99" spans="1:32" s="758" customFormat="1" ht="14.5" x14ac:dyDescent="0.35">
      <c r="A99" s="1026" t="s">
        <v>98</v>
      </c>
      <c r="D99" s="915"/>
      <c r="L99" s="915"/>
      <c r="M99" s="926">
        <f>+Base!M99</f>
        <v>200.51599999999999</v>
      </c>
      <c r="N99" s="915"/>
      <c r="R99" s="1026" t="s">
        <v>98</v>
      </c>
      <c r="T99" s="915"/>
      <c r="U99" s="926">
        <f>+M99</f>
        <v>200.51599999999999</v>
      </c>
      <c r="V99" s="915"/>
      <c r="AA99" s="1026"/>
      <c r="AB99" s="1119"/>
      <c r="AC99" s="1119"/>
      <c r="AD99" s="1119"/>
      <c r="AE99" s="1119"/>
      <c r="AF99" s="1119"/>
    </row>
    <row r="100" spans="1:32" x14ac:dyDescent="0.3">
      <c r="AA100" s="1048"/>
    </row>
    <row r="101" spans="1:32" x14ac:dyDescent="0.3">
      <c r="F101" s="1120"/>
      <c r="G101" s="1120"/>
      <c r="AA101" s="1048"/>
    </row>
    <row r="102" spans="1:32" x14ac:dyDescent="0.3">
      <c r="E102" s="1121"/>
      <c r="F102" s="1122"/>
      <c r="G102" s="1122"/>
      <c r="H102" s="1122">
        <f>M92</f>
        <v>0</v>
      </c>
      <c r="AA102" s="1048"/>
    </row>
    <row r="103" spans="1:32" x14ac:dyDescent="0.3">
      <c r="M103" s="1160"/>
      <c r="N103" s="1160">
        <f>N92</f>
        <v>0</v>
      </c>
      <c r="AA103" s="1048"/>
    </row>
    <row r="104" spans="1:32" x14ac:dyDescent="0.3">
      <c r="Y104" s="755">
        <v>42321</v>
      </c>
      <c r="Z104" s="755"/>
      <c r="AA104" s="1048"/>
    </row>
    <row r="105" spans="1:32" x14ac:dyDescent="0.3">
      <c r="Y105" s="755">
        <v>45569</v>
      </c>
      <c r="Z105" s="755"/>
    </row>
    <row r="106" spans="1:32" x14ac:dyDescent="0.3">
      <c r="O106" s="1295">
        <f>O31-O52-O54</f>
        <v>134.11750871874997</v>
      </c>
      <c r="Y106" s="1293">
        <f>+Y105-Y104</f>
        <v>3248</v>
      </c>
      <c r="Z106" s="1293"/>
    </row>
    <row r="107" spans="1:32" ht="14.5" thickBot="1" x14ac:dyDescent="0.35">
      <c r="D107" s="890" t="s">
        <v>100</v>
      </c>
      <c r="E107" s="1075"/>
      <c r="F107" s="759"/>
      <c r="G107" s="759"/>
      <c r="H107" s="759"/>
      <c r="I107" s="759"/>
      <c r="J107" s="759"/>
      <c r="K107" s="759"/>
      <c r="L107" s="759"/>
      <c r="M107" s="759"/>
      <c r="N107" s="759"/>
      <c r="O107" s="759">
        <f>O106/M99</f>
        <v>0.66886187994349566</v>
      </c>
      <c r="P107" s="759"/>
      <c r="Q107" s="759"/>
      <c r="R107" s="759"/>
      <c r="S107" s="759"/>
      <c r="T107" s="759"/>
      <c r="U107" s="759"/>
      <c r="V107" s="759"/>
      <c r="W107" s="759"/>
      <c r="X107" s="759"/>
      <c r="Y107" s="1129">
        <f>+Y106/365.25</f>
        <v>8.8925393566050648</v>
      </c>
      <c r="Z107" s="1129"/>
    </row>
    <row r="108" spans="1:32" x14ac:dyDescent="0.3">
      <c r="D108" s="1123" t="s">
        <v>101</v>
      </c>
      <c r="E108" s="1124" t="s">
        <v>102</v>
      </c>
      <c r="F108" s="1125"/>
      <c r="G108" s="1125"/>
      <c r="H108" s="1125"/>
      <c r="I108" s="1126"/>
      <c r="J108" s="1126"/>
      <c r="K108" s="1126"/>
      <c r="L108" s="1126"/>
      <c r="M108" s="1126"/>
      <c r="N108" s="1126"/>
      <c r="O108" s="1126"/>
      <c r="P108" s="1126"/>
      <c r="Q108" s="1127"/>
      <c r="R108" s="759"/>
      <c r="S108" s="759"/>
      <c r="T108" s="759"/>
      <c r="U108" s="759"/>
      <c r="V108" s="759"/>
      <c r="W108" s="759"/>
      <c r="X108" s="759"/>
      <c r="Y108" s="759"/>
      <c r="Z108" s="759"/>
    </row>
    <row r="109" spans="1:32" x14ac:dyDescent="0.3">
      <c r="D109" s="1128"/>
      <c r="E109" s="1129">
        <f>+Y96</f>
        <v>1.2516428445000001</v>
      </c>
      <c r="I109" s="759"/>
      <c r="J109" s="759"/>
      <c r="K109" s="759"/>
      <c r="L109" s="759"/>
      <c r="M109" s="759"/>
      <c r="N109" s="759"/>
      <c r="O109" s="759"/>
      <c r="P109" s="759"/>
      <c r="Q109" s="1130"/>
      <c r="R109" s="759"/>
      <c r="S109" s="759"/>
      <c r="T109" s="759"/>
      <c r="U109" s="759"/>
      <c r="V109" s="759"/>
      <c r="W109" s="759"/>
      <c r="X109" s="759"/>
      <c r="Y109" s="759">
        <f>(15.67/2.11)^(1/Y107)-1</f>
        <v>0.25291979567607648</v>
      </c>
      <c r="Z109" s="759"/>
    </row>
    <row r="110" spans="1:32" x14ac:dyDescent="0.3">
      <c r="D110" s="1128"/>
      <c r="I110" s="759"/>
      <c r="J110" s="759"/>
      <c r="K110" s="759"/>
      <c r="L110" s="759"/>
      <c r="M110" s="759"/>
      <c r="N110" s="759"/>
      <c r="O110" s="759"/>
      <c r="P110" s="759"/>
      <c r="Q110" s="1130"/>
      <c r="R110" s="759"/>
      <c r="S110" s="759"/>
      <c r="T110" s="759"/>
      <c r="U110" s="759"/>
      <c r="V110" s="759"/>
      <c r="W110" s="759"/>
      <c r="X110" s="759"/>
      <c r="Y110" s="759"/>
      <c r="Z110" s="759"/>
    </row>
    <row r="111" spans="1:32" x14ac:dyDescent="0.3">
      <c r="D111" s="1131" t="s">
        <v>103</v>
      </c>
      <c r="I111" s="759"/>
      <c r="J111" s="759"/>
      <c r="K111" s="759"/>
      <c r="L111" s="759"/>
      <c r="M111" s="759"/>
      <c r="N111" s="759"/>
      <c r="O111" s="759"/>
      <c r="P111" s="759"/>
      <c r="Q111" s="759"/>
      <c r="R111" s="759"/>
      <c r="S111" s="759"/>
      <c r="T111" s="759"/>
      <c r="U111" s="759"/>
      <c r="V111" s="759"/>
      <c r="W111" s="759"/>
      <c r="X111" s="759"/>
      <c r="Y111" s="759"/>
      <c r="Z111" s="759"/>
    </row>
    <row r="112" spans="1:32" x14ac:dyDescent="0.3">
      <c r="D112" s="1128" t="s">
        <v>88</v>
      </c>
      <c r="E112" s="1132">
        <f t="shared" ref="E112:M112" si="275">$M$96/E79</f>
        <v>0.15073111372658513</v>
      </c>
      <c r="F112" s="1132">
        <f t="shared" si="275"/>
        <v>0.17431651339543972</v>
      </c>
      <c r="G112" s="1132">
        <f t="shared" si="275"/>
        <v>0.19084511959145403</v>
      </c>
      <c r="H112" s="1132">
        <f t="shared" si="275"/>
        <v>0.25823001655728228</v>
      </c>
      <c r="I112" s="1132">
        <f t="shared" si="275"/>
        <v>0.3104016637076345</v>
      </c>
      <c r="J112" s="1132">
        <f t="shared" si="275"/>
        <v>0.30060693410999589</v>
      </c>
      <c r="K112" s="1132">
        <f t="shared" si="275"/>
        <v>0.41298824033992276</v>
      </c>
      <c r="L112" s="1132">
        <f t="shared" si="275"/>
        <v>0.48492389634742322</v>
      </c>
      <c r="M112" s="1132">
        <f t="shared" si="275"/>
        <v>0.51574936663408422</v>
      </c>
      <c r="N112" s="1132" t="e">
        <f t="shared" ref="N112" si="276">$M$96/N78</f>
        <v>#DIV/0!</v>
      </c>
      <c r="O112" s="1132">
        <f t="shared" ref="O112:T112" si="277">$M$96/O78</f>
        <v>0.70230803811821307</v>
      </c>
      <c r="P112" s="1132">
        <f t="shared" si="277"/>
        <v>0.85858956063711211</v>
      </c>
      <c r="Q112" s="1132">
        <f t="shared" si="277"/>
        <v>1.0623745135119416</v>
      </c>
      <c r="R112" s="1132">
        <f t="shared" si="277"/>
        <v>1.3357191185149593</v>
      </c>
      <c r="S112" s="1132">
        <f t="shared" si="277"/>
        <v>1.7166179938637114</v>
      </c>
      <c r="T112" s="1132">
        <f t="shared" si="277"/>
        <v>2.2766085885621168</v>
      </c>
      <c r="U112" s="1132"/>
      <c r="V112" s="1132"/>
      <c r="W112" s="1132"/>
      <c r="X112" s="1132"/>
      <c r="Y112" s="1132"/>
      <c r="Z112" s="1132"/>
    </row>
    <row r="113" spans="4:32" x14ac:dyDescent="0.3">
      <c r="D113" s="1133" t="s">
        <v>89</v>
      </c>
      <c r="E113" s="1134">
        <f t="shared" ref="E113" si="278">E112*$E$109</f>
        <v>0.18866151993939601</v>
      </c>
      <c r="F113" s="1134">
        <f t="shared" ref="F113:N113" si="279">F112*$E$109</f>
        <v>0.21818201666959053</v>
      </c>
      <c r="G113" s="1134">
        <f t="shared" si="279"/>
        <v>0.23886992834439022</v>
      </c>
      <c r="H113" s="1134">
        <f t="shared" si="279"/>
        <v>0.32321175245903894</v>
      </c>
      <c r="I113" s="1134">
        <f t="shared" si="279"/>
        <v>0.38851202130055607</v>
      </c>
      <c r="J113" s="1134">
        <f t="shared" si="279"/>
        <v>0.37625251808585936</v>
      </c>
      <c r="K113" s="1134">
        <f t="shared" si="279"/>
        <v>0.51691377588411058</v>
      </c>
      <c r="L113" s="1134">
        <f t="shared" si="279"/>
        <v>0.60695152499031202</v>
      </c>
      <c r="M113" s="1134">
        <f t="shared" si="279"/>
        <v>0.6455340043029586</v>
      </c>
      <c r="N113" s="1134" t="e">
        <f t="shared" si="279"/>
        <v>#DIV/0!</v>
      </c>
      <c r="O113" s="1134">
        <f t="shared" ref="O113:T113" si="280">O112*$E$109</f>
        <v>0.8790388305454947</v>
      </c>
      <c r="P113" s="1134">
        <f t="shared" si="280"/>
        <v>1.0746474799338404</v>
      </c>
      <c r="Q113" s="1134">
        <f t="shared" si="280"/>
        <v>1.3297134580163903</v>
      </c>
      <c r="R113" s="1134">
        <f t="shared" si="280"/>
        <v>1.6718432769510962</v>
      </c>
      <c r="S113" s="1134">
        <f t="shared" si="280"/>
        <v>2.1485926287594594</v>
      </c>
      <c r="T113" s="1134">
        <f t="shared" si="280"/>
        <v>2.8495008496010183</v>
      </c>
      <c r="U113" s="1134"/>
      <c r="V113" s="1134"/>
      <c r="W113" s="1134"/>
      <c r="X113" s="1134"/>
      <c r="Y113" s="1134"/>
      <c r="Z113" s="1134"/>
    </row>
    <row r="114" spans="4:32" x14ac:dyDescent="0.3">
      <c r="D114" s="1133"/>
      <c r="E114" s="1135">
        <f t="shared" ref="E114:M114" si="281">1/E79</f>
        <v>9.8904930266788139E-3</v>
      </c>
      <c r="F114" s="1135">
        <f t="shared" si="281"/>
        <v>1.1438091430146962E-2</v>
      </c>
      <c r="G114" s="1135">
        <f t="shared" si="281"/>
        <v>1.252264564248386E-2</v>
      </c>
      <c r="H114" s="1135">
        <f t="shared" si="281"/>
        <v>1.6944226808220619E-2</v>
      </c>
      <c r="I114" s="1135">
        <f t="shared" si="281"/>
        <v>2.036756323540909E-2</v>
      </c>
      <c r="J114" s="1135">
        <f t="shared" si="281"/>
        <v>1.9724864442913118E-2</v>
      </c>
      <c r="K114" s="1135">
        <f t="shared" si="281"/>
        <v>2.7098965901569735E-2</v>
      </c>
      <c r="L114" s="1135">
        <f t="shared" si="281"/>
        <v>3.1819153303636695E-2</v>
      </c>
      <c r="M114" s="1135">
        <f t="shared" si="281"/>
        <v>3.384182195761707E-2</v>
      </c>
      <c r="N114" s="1135" t="e">
        <f t="shared" ref="N114" si="282">1/N78</f>
        <v>#DIV/0!</v>
      </c>
      <c r="O114" s="1135">
        <f t="shared" ref="O114:T114" si="283">1/O78</f>
        <v>4.6083204600932612E-2</v>
      </c>
      <c r="P114" s="1135">
        <f t="shared" si="283"/>
        <v>5.6337897679600533E-2</v>
      </c>
      <c r="Q114" s="1135">
        <f t="shared" si="283"/>
        <v>6.970961374750273E-2</v>
      </c>
      <c r="R114" s="1135">
        <f t="shared" si="283"/>
        <v>8.7645611451112812E-2</v>
      </c>
      <c r="S114" s="1135">
        <f t="shared" si="283"/>
        <v>0.11263897597530914</v>
      </c>
      <c r="T114" s="1135">
        <f t="shared" si="283"/>
        <v>0.14938376565368219</v>
      </c>
      <c r="U114" s="759"/>
      <c r="V114" s="759"/>
      <c r="W114" s="759"/>
      <c r="X114" s="759"/>
      <c r="Y114" s="759"/>
      <c r="Z114" s="759"/>
    </row>
    <row r="115" spans="4:32" x14ac:dyDescent="0.3">
      <c r="D115" s="1133"/>
      <c r="E115" s="1135"/>
      <c r="F115" s="908">
        <v>2015</v>
      </c>
      <c r="G115" s="908">
        <f>+F115+1</f>
        <v>2016</v>
      </c>
      <c r="H115" s="908">
        <f t="shared" ref="H115:T115" si="284">+G115+1</f>
        <v>2017</v>
      </c>
      <c r="I115" s="908">
        <f t="shared" si="284"/>
        <v>2018</v>
      </c>
      <c r="J115" s="908">
        <f t="shared" si="284"/>
        <v>2019</v>
      </c>
      <c r="K115" s="908">
        <f t="shared" si="284"/>
        <v>2020</v>
      </c>
      <c r="L115" s="908">
        <f t="shared" si="284"/>
        <v>2021</v>
      </c>
      <c r="M115" s="908">
        <f t="shared" si="284"/>
        <v>2022</v>
      </c>
      <c r="N115" s="908">
        <f t="shared" si="284"/>
        <v>2023</v>
      </c>
      <c r="O115" s="908">
        <f t="shared" si="284"/>
        <v>2024</v>
      </c>
      <c r="P115" s="908">
        <f t="shared" si="284"/>
        <v>2025</v>
      </c>
      <c r="Q115" s="908">
        <f t="shared" si="284"/>
        <v>2026</v>
      </c>
      <c r="R115" s="908">
        <f t="shared" si="284"/>
        <v>2027</v>
      </c>
      <c r="S115" s="908">
        <f t="shared" si="284"/>
        <v>2028</v>
      </c>
      <c r="T115" s="908">
        <f t="shared" si="284"/>
        <v>2029</v>
      </c>
      <c r="U115" s="759"/>
      <c r="V115" s="759"/>
      <c r="W115" s="759"/>
      <c r="X115" s="759"/>
      <c r="Y115" s="759"/>
      <c r="Z115" s="759"/>
    </row>
    <row r="116" spans="4:32" x14ac:dyDescent="0.3">
      <c r="D116" s="1133" t="s">
        <v>104</v>
      </c>
      <c r="F116" s="1132">
        <f t="shared" ref="F116:N116" si="285">AVERAGE(E113:F113)</f>
        <v>0.20342176830449327</v>
      </c>
      <c r="G116" s="1132">
        <f t="shared" si="285"/>
        <v>0.22852597250699036</v>
      </c>
      <c r="H116" s="1132">
        <f t="shared" si="285"/>
        <v>0.28104084040171456</v>
      </c>
      <c r="I116" s="1132">
        <f t="shared" si="285"/>
        <v>0.35586188687979747</v>
      </c>
      <c r="J116" s="1132">
        <f t="shared" si="285"/>
        <v>0.38238226969320771</v>
      </c>
      <c r="K116" s="1132">
        <f t="shared" si="285"/>
        <v>0.44658314698498497</v>
      </c>
      <c r="L116" s="1132">
        <f t="shared" si="285"/>
        <v>0.5619326504372113</v>
      </c>
      <c r="M116" s="1132">
        <f t="shared" si="285"/>
        <v>0.62624276464663531</v>
      </c>
      <c r="N116" s="1132" t="e">
        <f t="shared" si="285"/>
        <v>#DIV/0!</v>
      </c>
      <c r="O116" s="1132" t="e">
        <f t="shared" ref="O116" si="286">AVERAGE(N113:O113)</f>
        <v>#DIV/0!</v>
      </c>
      <c r="P116" s="1132">
        <f t="shared" ref="P116" si="287">AVERAGE(O113:P113)</f>
        <v>0.97684315523966747</v>
      </c>
      <c r="Q116" s="1132">
        <f t="shared" ref="Q116" si="288">AVERAGE(P113:Q113)</f>
        <v>1.2021804689751154</v>
      </c>
      <c r="R116" s="1132">
        <f t="shared" ref="R116" si="289">AVERAGE(Q113:R113)</f>
        <v>1.5007783674837434</v>
      </c>
      <c r="S116" s="1132">
        <f t="shared" ref="S116" si="290">AVERAGE(R113:S113)</f>
        <v>1.9102179528552778</v>
      </c>
      <c r="T116" s="1132">
        <f t="shared" ref="T116" si="291">AVERAGE(S113:T113)</f>
        <v>2.4990467391802387</v>
      </c>
      <c r="U116" s="1132"/>
      <c r="V116" s="1132"/>
      <c r="W116" s="1132"/>
      <c r="X116" s="1132"/>
      <c r="Y116" s="1132"/>
      <c r="Z116" s="1132"/>
      <c r="AF116" s="756">
        <f>1.4*12</f>
        <v>16.799999999999997</v>
      </c>
    </row>
    <row r="117" spans="4:32" ht="14.5" thickBot="1" x14ac:dyDescent="0.35">
      <c r="D117" s="1136"/>
      <c r="E117" s="1137"/>
      <c r="F117" s="1137"/>
      <c r="G117" s="1137"/>
      <c r="H117" s="1138"/>
      <c r="I117" s="1137"/>
      <c r="J117" s="1139"/>
      <c r="K117" s="1139"/>
      <c r="L117" s="1139"/>
      <c r="M117" s="1139"/>
      <c r="N117" s="1139"/>
      <c r="O117" s="1139"/>
      <c r="P117" s="1139"/>
      <c r="Q117" s="1140"/>
      <c r="R117" s="759"/>
      <c r="S117" s="759"/>
      <c r="T117" s="759"/>
      <c r="U117" s="759"/>
      <c r="V117" s="759"/>
      <c r="W117" s="759"/>
      <c r="X117" s="759"/>
      <c r="Y117" s="759"/>
      <c r="Z117" s="759"/>
      <c r="AF117" s="756">
        <f>+AF116*0.025</f>
        <v>0.41999999999999993</v>
      </c>
    </row>
    <row r="118" spans="4:32" x14ac:dyDescent="0.3">
      <c r="AF118" s="756">
        <f>+AF117*0.15</f>
        <v>6.2999999999999987E-2</v>
      </c>
    </row>
  </sheetData>
  <printOptions horizontalCentered="1"/>
  <pageMargins left="0.3" right="0.3" top="0.3" bottom="0.3" header="0.3" footer="0.3"/>
  <pageSetup scale="48" orientation="portrait" r:id="rId1"/>
  <headerFooter>
    <oddFooter>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BN183"/>
  <sheetViews>
    <sheetView view="pageBreakPreview" zoomScale="70" zoomScaleNormal="75" zoomScaleSheetLayoutView="70" workbookViewId="0">
      <pane xSplit="1" ySplit="5" topLeftCell="B6" activePane="bottomRight" state="frozen"/>
      <selection pane="topRight" activeCell="M91" sqref="M91"/>
      <selection pane="bottomLeft" activeCell="M91" sqref="M91"/>
      <selection pane="bottomRight" activeCell="B6" sqref="B6"/>
    </sheetView>
  </sheetViews>
  <sheetFormatPr defaultColWidth="9.1796875" defaultRowHeight="14" outlineLevelRow="1" outlineLevelCol="1" x14ac:dyDescent="0.3"/>
  <cols>
    <col min="1" max="1" width="24" style="756" customWidth="1"/>
    <col min="2" max="2" width="2.7265625" style="756" customWidth="1"/>
    <col min="3" max="4" width="8.7265625" style="756" hidden="1" customWidth="1" outlineLevel="1"/>
    <col min="5" max="5" width="9.26953125" style="756" customWidth="1" collapsed="1"/>
    <col min="6" max="20" width="9.26953125" style="756" customWidth="1"/>
    <col min="21" max="24" width="9.26953125" style="756" customWidth="1" outlineLevel="1"/>
    <col min="25" max="25" width="3.7265625" style="756" customWidth="1"/>
    <col min="26" max="36" width="9.1796875" style="756" hidden="1" customWidth="1" outlineLevel="1"/>
    <col min="37" max="37" width="9.1796875" style="756" hidden="1" customWidth="1" outlineLevel="1" collapsed="1"/>
    <col min="38" max="39" width="9.1796875" style="756" hidden="1" customWidth="1" outlineLevel="1"/>
    <col min="40" max="40" width="9.26953125" style="756" customWidth="1" collapsed="1"/>
    <col min="41" max="47" width="9.26953125" style="756" customWidth="1"/>
    <col min="48" max="48" width="10.26953125" style="756" customWidth="1"/>
    <col min="49" max="49" width="10" style="756" customWidth="1"/>
    <col min="50" max="50" width="11.1796875" style="756" bestFit="1" customWidth="1"/>
    <col min="51" max="51" width="11.1796875" style="756" customWidth="1"/>
    <col min="52" max="52" width="66.54296875" style="756" bestFit="1" customWidth="1"/>
    <col min="53" max="53" width="1.7265625" style="756" customWidth="1" outlineLevel="1"/>
    <col min="54" max="58" width="12.1796875" style="756" customWidth="1" outlineLevel="1"/>
    <col min="59" max="59" width="9.1796875" style="756"/>
    <col min="60" max="60" width="21.54296875" style="756" bestFit="1" customWidth="1"/>
    <col min="61" max="16384" width="9.1796875" style="756"/>
  </cols>
  <sheetData>
    <row r="1" spans="1:58" ht="14.5" x14ac:dyDescent="0.35">
      <c r="A1" s="759" t="s">
        <v>0</v>
      </c>
      <c r="B1" s="759"/>
      <c r="C1" s="759"/>
      <c r="D1" s="759"/>
      <c r="E1" s="759"/>
      <c r="F1" s="759"/>
      <c r="G1" s="759"/>
      <c r="H1" s="759"/>
      <c r="I1" s="759"/>
      <c r="J1" s="759"/>
      <c r="K1" s="759"/>
      <c r="L1" s="759"/>
      <c r="M1" s="759"/>
      <c r="N1" s="759"/>
      <c r="O1" s="759"/>
      <c r="P1" s="759"/>
      <c r="Q1" s="759"/>
      <c r="R1" s="759"/>
      <c r="S1" s="759"/>
      <c r="T1" s="759"/>
      <c r="U1" s="759"/>
      <c r="V1" s="759"/>
      <c r="W1" s="759"/>
      <c r="X1" s="759"/>
      <c r="Y1" s="759"/>
      <c r="Z1" s="759"/>
      <c r="AA1" s="759"/>
      <c r="AB1" s="759"/>
      <c r="AC1" s="759"/>
      <c r="AD1" s="759"/>
      <c r="AE1" s="759"/>
      <c r="AF1" s="759"/>
      <c r="AG1" s="759"/>
      <c r="AH1" s="759"/>
      <c r="AI1" s="759"/>
      <c r="AJ1" s="759"/>
      <c r="AK1" s="759"/>
      <c r="AL1" s="759"/>
      <c r="AM1" s="759"/>
      <c r="AN1" s="755"/>
      <c r="AO1" s="755"/>
      <c r="AP1" s="755"/>
      <c r="AQ1" s="755"/>
      <c r="AR1" s="755"/>
      <c r="AS1" s="755"/>
      <c r="AT1" s="755"/>
      <c r="AU1" s="755"/>
      <c r="AV1" s="755"/>
      <c r="AW1" s="870"/>
      <c r="AX1" s="870"/>
      <c r="AY1" s="870">
        <f t="shared" ref="AY1" ca="1" si="0">TODAY()</f>
        <v>45797</v>
      </c>
      <c r="AZ1" s="755"/>
      <c r="BA1" s="759"/>
      <c r="BB1" s="759"/>
      <c r="BC1" s="759"/>
      <c r="BD1" s="759"/>
      <c r="BE1" s="759"/>
    </row>
    <row r="2" spans="1:58" x14ac:dyDescent="0.3">
      <c r="A2" s="871" t="s">
        <v>106</v>
      </c>
      <c r="B2" s="759"/>
      <c r="C2" s="759"/>
      <c r="D2" s="759"/>
      <c r="E2" s="759"/>
      <c r="F2" s="759"/>
      <c r="G2" s="759"/>
      <c r="H2" s="759"/>
      <c r="I2" s="759"/>
      <c r="J2" s="759"/>
      <c r="K2" s="759"/>
      <c r="L2" s="759"/>
      <c r="M2" s="759"/>
      <c r="N2" s="759"/>
      <c r="O2" s="759"/>
      <c r="P2" s="759"/>
      <c r="Q2" s="759"/>
      <c r="R2" s="759"/>
      <c r="S2" s="759"/>
      <c r="T2" s="759"/>
      <c r="U2" s="759"/>
      <c r="V2" s="759"/>
      <c r="W2" s="759"/>
      <c r="X2" s="759"/>
      <c r="Y2" s="759"/>
      <c r="Z2" s="759"/>
      <c r="AA2" s="759"/>
      <c r="AB2" s="759"/>
      <c r="AC2" s="759"/>
      <c r="AD2" s="759"/>
      <c r="AE2" s="759"/>
      <c r="AF2" s="759"/>
      <c r="AG2" s="759"/>
      <c r="AH2" s="759"/>
      <c r="AI2" s="759"/>
      <c r="AJ2" s="759"/>
      <c r="AK2" s="759"/>
      <c r="AL2" s="759"/>
      <c r="AM2" s="759"/>
      <c r="AN2" s="757"/>
      <c r="AO2" s="757"/>
      <c r="AP2" s="757"/>
      <c r="AQ2" s="757"/>
      <c r="AR2" s="757"/>
      <c r="AS2" s="757"/>
      <c r="AT2" s="757"/>
      <c r="AU2" s="757"/>
      <c r="AV2" s="757"/>
      <c r="AW2" s="757"/>
      <c r="AX2" s="757"/>
      <c r="AY2" s="757"/>
      <c r="AZ2" s="757"/>
      <c r="BA2" s="759"/>
      <c r="BB2" s="759"/>
      <c r="BC2" s="759"/>
      <c r="BD2" s="759"/>
      <c r="BE2" s="759"/>
      <c r="BF2" s="759"/>
    </row>
    <row r="3" spans="1:58" ht="14.5" x14ac:dyDescent="0.35">
      <c r="A3" s="872" t="s">
        <v>3</v>
      </c>
      <c r="B3" s="873"/>
      <c r="C3" s="873"/>
      <c r="D3" s="873"/>
      <c r="E3" s="874"/>
      <c r="F3" s="874"/>
      <c r="G3" s="874"/>
      <c r="H3" s="874"/>
      <c r="I3" s="874"/>
      <c r="J3" s="874"/>
      <c r="K3" s="874"/>
      <c r="L3" s="874"/>
      <c r="M3" s="874"/>
      <c r="N3" s="874"/>
      <c r="O3" s="874"/>
      <c r="P3" s="874"/>
      <c r="Q3" s="875" t="s">
        <v>107</v>
      </c>
      <c r="R3" s="875" t="s">
        <v>108</v>
      </c>
      <c r="S3" s="875" t="s">
        <v>109</v>
      </c>
      <c r="T3" s="875" t="s">
        <v>110</v>
      </c>
      <c r="U3" s="875" t="s">
        <v>111</v>
      </c>
      <c r="V3" s="875" t="s">
        <v>112</v>
      </c>
      <c r="W3" s="875" t="s">
        <v>112</v>
      </c>
      <c r="X3" s="875" t="s">
        <v>112</v>
      </c>
      <c r="Y3" s="875" t="s">
        <v>112</v>
      </c>
      <c r="Z3" s="873"/>
      <c r="AA3" s="873"/>
      <c r="AB3" s="873"/>
      <c r="AC3" s="873"/>
      <c r="AD3" s="873"/>
      <c r="AE3" s="873"/>
      <c r="AF3" s="873"/>
      <c r="AG3" s="873"/>
      <c r="AH3" s="874"/>
      <c r="AI3" s="874"/>
      <c r="AJ3" s="874"/>
      <c r="AK3" s="874"/>
      <c r="AL3" s="874"/>
      <c r="AM3" s="874"/>
      <c r="AN3" s="874"/>
      <c r="AO3" s="874"/>
      <c r="AP3" s="874"/>
      <c r="AQ3" s="874"/>
      <c r="AR3" s="874"/>
      <c r="AS3" s="874"/>
      <c r="AT3" s="874"/>
      <c r="AU3" s="874"/>
      <c r="AV3" s="874"/>
      <c r="AW3" s="874"/>
      <c r="AX3" s="874"/>
      <c r="AY3" s="874"/>
      <c r="AZ3" s="874"/>
      <c r="BA3" s="874"/>
      <c r="BB3" s="874"/>
      <c r="BC3" s="874"/>
      <c r="BD3" s="874"/>
      <c r="BE3" s="874"/>
      <c r="BF3" s="874"/>
    </row>
    <row r="4" spans="1:58" ht="17" x14ac:dyDescent="0.6">
      <c r="A4" s="759"/>
      <c r="B4" s="759"/>
      <c r="D4" s="876"/>
      <c r="E4" s="876" t="s">
        <v>113</v>
      </c>
      <c r="F4" s="876"/>
      <c r="G4" s="876"/>
      <c r="H4" s="876"/>
      <c r="I4" s="876"/>
      <c r="J4" s="876"/>
      <c r="K4" s="876"/>
      <c r="L4" s="876"/>
      <c r="M4" s="876"/>
      <c r="N4" s="876"/>
      <c r="O4" s="876"/>
      <c r="P4" s="876"/>
      <c r="Q4" s="876"/>
      <c r="R4" s="876"/>
      <c r="S4" s="876"/>
      <c r="T4" s="876"/>
      <c r="U4" s="876"/>
      <c r="V4" s="876"/>
      <c r="W4" s="876"/>
      <c r="X4" s="876"/>
      <c r="Y4" s="759"/>
      <c r="Z4" s="876"/>
      <c r="AA4" s="876"/>
      <c r="AB4" s="876"/>
      <c r="AC4" s="876"/>
      <c r="AD4" s="876"/>
      <c r="AE4" s="876"/>
      <c r="AH4" s="876"/>
      <c r="AI4" s="876"/>
      <c r="AJ4" s="876"/>
      <c r="AK4" s="876"/>
      <c r="AL4" s="876"/>
      <c r="AM4" s="876"/>
      <c r="AN4" s="876" t="s">
        <v>113</v>
      </c>
      <c r="AO4" s="876"/>
      <c r="AP4" s="876"/>
      <c r="AQ4" s="876"/>
      <c r="AR4" s="876"/>
      <c r="AS4" s="876"/>
      <c r="AT4" s="876"/>
      <c r="AU4" s="876"/>
      <c r="AV4" s="876"/>
      <c r="AW4" s="876"/>
      <c r="AX4" s="876"/>
      <c r="AY4" s="876"/>
      <c r="AZ4" s="876"/>
      <c r="BA4" s="877"/>
      <c r="BB4" s="878" t="s">
        <v>114</v>
      </c>
      <c r="BC4" s="879"/>
      <c r="BD4" s="880"/>
      <c r="BE4" s="881" t="s">
        <v>115</v>
      </c>
      <c r="BF4" s="880" t="s">
        <v>116</v>
      </c>
    </row>
    <row r="5" spans="1:58" x14ac:dyDescent="0.3">
      <c r="A5" s="877"/>
      <c r="B5" s="877"/>
      <c r="C5" s="882" t="s">
        <v>117</v>
      </c>
      <c r="D5" s="882" t="s">
        <v>118</v>
      </c>
      <c r="E5" s="882" t="s">
        <v>119</v>
      </c>
      <c r="F5" s="882" t="s">
        <v>120</v>
      </c>
      <c r="G5" s="883" t="s">
        <v>121</v>
      </c>
      <c r="H5" s="884" t="s">
        <v>122</v>
      </c>
      <c r="I5" s="882" t="s">
        <v>123</v>
      </c>
      <c r="J5" s="884" t="s">
        <v>124</v>
      </c>
      <c r="K5" s="883" t="s">
        <v>125</v>
      </c>
      <c r="L5" s="884" t="s">
        <v>126</v>
      </c>
      <c r="M5" s="882" t="s">
        <v>127</v>
      </c>
      <c r="N5" s="884" t="s">
        <v>128</v>
      </c>
      <c r="O5" s="882" t="s">
        <v>129</v>
      </c>
      <c r="P5" s="884" t="s">
        <v>130</v>
      </c>
      <c r="Q5" s="882" t="s">
        <v>131</v>
      </c>
      <c r="R5" s="884" t="s">
        <v>132</v>
      </c>
      <c r="S5" s="882" t="s">
        <v>133</v>
      </c>
      <c r="T5" s="882" t="s">
        <v>134</v>
      </c>
      <c r="U5" s="883" t="s">
        <v>135</v>
      </c>
      <c r="V5" s="885" t="s">
        <v>136</v>
      </c>
      <c r="W5" s="882" t="s">
        <v>137</v>
      </c>
      <c r="X5" s="882" t="s">
        <v>138</v>
      </c>
      <c r="Y5" s="882"/>
      <c r="Z5" s="882">
        <f t="shared" ref="Z5:AB5" si="1">AA5-1</f>
        <v>2000</v>
      </c>
      <c r="AA5" s="882">
        <f t="shared" si="1"/>
        <v>2001</v>
      </c>
      <c r="AB5" s="882">
        <f t="shared" si="1"/>
        <v>2002</v>
      </c>
      <c r="AC5" s="882">
        <f>AD5-1</f>
        <v>2003</v>
      </c>
      <c r="AD5" s="882">
        <v>2004</v>
      </c>
      <c r="AE5" s="882">
        <f t="shared" ref="AE5:AF5" si="2">+AD5+1</f>
        <v>2005</v>
      </c>
      <c r="AF5" s="882">
        <f t="shared" si="2"/>
        <v>2006</v>
      </c>
      <c r="AG5" s="882">
        <f>+AF5+1</f>
        <v>2007</v>
      </c>
      <c r="AH5" s="882">
        <f t="shared" ref="AH5:AO5" si="3">+AG5+1</f>
        <v>2008</v>
      </c>
      <c r="AI5" s="882">
        <f t="shared" si="3"/>
        <v>2009</v>
      </c>
      <c r="AJ5" s="882">
        <f t="shared" si="3"/>
        <v>2010</v>
      </c>
      <c r="AK5" s="882">
        <f t="shared" si="3"/>
        <v>2011</v>
      </c>
      <c r="AL5" s="882">
        <f t="shared" si="3"/>
        <v>2012</v>
      </c>
      <c r="AM5" s="882">
        <f t="shared" si="3"/>
        <v>2013</v>
      </c>
      <c r="AN5" s="882">
        <f t="shared" si="3"/>
        <v>2014</v>
      </c>
      <c r="AO5" s="882">
        <f t="shared" si="3"/>
        <v>2015</v>
      </c>
      <c r="AP5" s="882">
        <v>2016</v>
      </c>
      <c r="AQ5" s="882">
        <v>2017</v>
      </c>
      <c r="AR5" s="882">
        <v>2018</v>
      </c>
      <c r="AS5" s="882">
        <v>2019</v>
      </c>
      <c r="AT5" s="882">
        <v>2020</v>
      </c>
      <c r="AU5" s="882">
        <v>2021</v>
      </c>
      <c r="AV5" s="882">
        <v>2022</v>
      </c>
      <c r="AW5" s="882">
        <v>2023</v>
      </c>
      <c r="AX5" s="885">
        <v>2024</v>
      </c>
      <c r="AY5" s="882" t="s">
        <v>139</v>
      </c>
      <c r="AZ5" s="882"/>
      <c r="BA5" s="877"/>
      <c r="BB5" s="886" t="s">
        <v>140</v>
      </c>
      <c r="BC5" s="887" t="s">
        <v>31</v>
      </c>
      <c r="BD5" s="888" t="s">
        <v>32</v>
      </c>
      <c r="BE5" s="889" t="s">
        <v>33</v>
      </c>
      <c r="BF5" s="888" t="s">
        <v>141</v>
      </c>
    </row>
    <row r="6" spans="1:58" ht="17" x14ac:dyDescent="0.6">
      <c r="A6" s="759"/>
      <c r="B6" s="759"/>
      <c r="C6" s="890"/>
      <c r="D6" s="890"/>
      <c r="E6" s="890"/>
      <c r="F6" s="890"/>
      <c r="G6" s="891"/>
      <c r="H6" s="892"/>
      <c r="I6" s="890"/>
      <c r="J6" s="892"/>
      <c r="K6" s="890"/>
      <c r="L6" s="892"/>
      <c r="M6" s="890"/>
      <c r="N6" s="892"/>
      <c r="O6" s="890"/>
      <c r="P6" s="892"/>
      <c r="Q6" s="890"/>
      <c r="R6" s="892"/>
      <c r="S6" s="1354"/>
      <c r="T6" s="1406"/>
      <c r="U6" s="1418"/>
      <c r="V6" s="1356"/>
      <c r="W6" s="1039"/>
      <c r="X6" s="1039"/>
      <c r="Y6" s="759"/>
      <c r="Z6" s="892"/>
      <c r="AA6" s="894"/>
      <c r="AB6" s="894"/>
      <c r="AC6" s="894"/>
      <c r="AD6" s="894"/>
      <c r="AE6" s="891"/>
      <c r="AF6" s="890"/>
      <c r="AG6" s="890"/>
      <c r="AH6" s="890"/>
      <c r="AI6" s="890"/>
      <c r="AJ6" s="890"/>
      <c r="AK6" s="890"/>
      <c r="AL6" s="890"/>
      <c r="AM6" s="890"/>
      <c r="AN6" s="890"/>
      <c r="AO6" s="890"/>
      <c r="AP6" s="890"/>
      <c r="AQ6" s="890"/>
      <c r="AR6" s="890"/>
      <c r="AS6" s="890"/>
      <c r="AT6" s="890"/>
      <c r="AU6" s="890"/>
      <c r="AV6" s="890"/>
      <c r="AW6" s="1039"/>
      <c r="AX6" s="1356"/>
      <c r="AY6" s="1039"/>
      <c r="AZ6" s="890"/>
      <c r="BA6" s="759"/>
      <c r="BB6" s="895"/>
      <c r="BC6" s="896"/>
      <c r="BD6" s="897"/>
      <c r="BE6" s="898"/>
      <c r="BF6" s="897"/>
    </row>
    <row r="7" spans="1:58" x14ac:dyDescent="0.3">
      <c r="A7" s="899" t="s">
        <v>142</v>
      </c>
      <c r="B7" s="759"/>
      <c r="C7" s="890"/>
      <c r="D7" s="890"/>
      <c r="E7" s="890"/>
      <c r="F7" s="890"/>
      <c r="G7" s="891"/>
      <c r="H7" s="892"/>
      <c r="I7" s="890"/>
      <c r="J7" s="892"/>
      <c r="K7" s="890"/>
      <c r="L7" s="892"/>
      <c r="M7" s="890"/>
      <c r="N7" s="892"/>
      <c r="O7" s="890"/>
      <c r="P7" s="892"/>
      <c r="Q7" s="890"/>
      <c r="R7" s="892"/>
      <c r="S7" s="1355"/>
      <c r="T7" s="890"/>
      <c r="U7" s="891"/>
      <c r="V7" s="893"/>
      <c r="W7" s="890"/>
      <c r="X7" s="890"/>
      <c r="Y7" s="759"/>
      <c r="Z7" s="892"/>
      <c r="AA7" s="894"/>
      <c r="AB7" s="894"/>
      <c r="AC7" s="894"/>
      <c r="AD7" s="894"/>
      <c r="AE7" s="891"/>
      <c r="AF7" s="890"/>
      <c r="AG7" s="890"/>
      <c r="AH7" s="890"/>
      <c r="AI7" s="890"/>
      <c r="AJ7" s="890"/>
      <c r="AK7" s="890"/>
      <c r="AL7" s="890"/>
      <c r="AM7" s="890"/>
      <c r="AN7" s="890"/>
      <c r="AO7" s="890"/>
      <c r="AP7" s="890"/>
      <c r="AQ7" s="890"/>
      <c r="AR7" s="890"/>
      <c r="AS7" s="890"/>
      <c r="AT7" s="890"/>
      <c r="AU7" s="890"/>
      <c r="AV7" s="890"/>
      <c r="AW7" s="890"/>
      <c r="AX7" s="893"/>
      <c r="AY7" s="890"/>
      <c r="AZ7" s="890"/>
      <c r="BA7" s="759"/>
      <c r="BB7" s="895"/>
      <c r="BC7" s="896"/>
      <c r="BD7" s="897"/>
      <c r="BE7" s="898"/>
      <c r="BF7" s="897"/>
    </row>
    <row r="8" spans="1:58" x14ac:dyDescent="0.3">
      <c r="A8" s="759"/>
      <c r="B8" s="759"/>
      <c r="C8" s="890"/>
      <c r="D8" s="890"/>
      <c r="E8" s="890"/>
      <c r="F8" s="890"/>
      <c r="G8" s="891"/>
      <c r="H8" s="892"/>
      <c r="I8" s="890"/>
      <c r="J8" s="892"/>
      <c r="K8" s="890"/>
      <c r="L8" s="892"/>
      <c r="M8" s="890"/>
      <c r="N8" s="892"/>
      <c r="O8" s="890"/>
      <c r="P8" s="892"/>
      <c r="Q8" s="890"/>
      <c r="R8" s="892"/>
      <c r="S8" s="890"/>
      <c r="T8" s="890"/>
      <c r="U8" s="891"/>
      <c r="V8" s="893"/>
      <c r="W8" s="1435"/>
      <c r="X8" s="890"/>
      <c r="Y8" s="759"/>
      <c r="Z8" s="892"/>
      <c r="AA8" s="894"/>
      <c r="AB8" s="894"/>
      <c r="AC8" s="894"/>
      <c r="AD8" s="894"/>
      <c r="AE8" s="891"/>
      <c r="AF8" s="890"/>
      <c r="AG8" s="890"/>
      <c r="AH8" s="890"/>
      <c r="AI8" s="890"/>
      <c r="AJ8" s="890"/>
      <c r="AK8" s="890"/>
      <c r="AL8" s="890"/>
      <c r="AM8" s="890"/>
      <c r="AN8" s="890"/>
      <c r="AO8" s="890"/>
      <c r="AP8" s="890"/>
      <c r="AQ8" s="890"/>
      <c r="AR8" s="890"/>
      <c r="AS8" s="890"/>
      <c r="AT8" s="890"/>
      <c r="AU8" s="890"/>
      <c r="AV8" s="890"/>
      <c r="AW8" s="890"/>
      <c r="AX8" s="893"/>
      <c r="AY8" s="890"/>
      <c r="AZ8" s="890"/>
      <c r="BA8" s="759"/>
      <c r="BB8" s="895"/>
      <c r="BC8" s="896"/>
      <c r="BD8" s="897"/>
      <c r="BE8" s="898"/>
      <c r="BF8" s="897"/>
    </row>
    <row r="9" spans="1:58" x14ac:dyDescent="0.3">
      <c r="A9" s="900" t="str">
        <f>+'Disclosed financials'!A255</f>
        <v>Gross Invoiced Income</v>
      </c>
      <c r="B9" s="901"/>
      <c r="C9" s="902">
        <f>'Disclosed financials'!C255</f>
        <v>265.82</v>
      </c>
      <c r="D9" s="902">
        <f>'Disclosed financials'!D255</f>
        <v>330.26400000000001</v>
      </c>
      <c r="E9" s="902">
        <f>'Disclosed financials'!E255</f>
        <v>293.59100000000001</v>
      </c>
      <c r="F9" s="903">
        <f>AP9-E9</f>
        <v>378.76</v>
      </c>
      <c r="G9" s="904">
        <f>'Disclosed financials'!G255</f>
        <v>378.5</v>
      </c>
      <c r="H9" s="905">
        <f>'Disclosed financials'!H255</f>
        <v>453.976</v>
      </c>
      <c r="I9" s="902">
        <f>'Disclosed financials'!I255</f>
        <v>472.84300000000002</v>
      </c>
      <c r="J9" s="905">
        <f>'Disclosed financials'!J255</f>
        <v>608.83500000000004</v>
      </c>
      <c r="K9" s="902">
        <f>'Disclosed financials'!K255</f>
        <v>607.75600000000009</v>
      </c>
      <c r="L9" s="905">
        <f>'Disclosed financials'!L255</f>
        <v>806.30799999999999</v>
      </c>
      <c r="M9" s="902">
        <f>'Disclosed financials'!M255</f>
        <v>727.72200000000009</v>
      </c>
      <c r="N9" s="905">
        <f>'Disclosed financials'!N255</f>
        <v>918.46900000000005</v>
      </c>
      <c r="O9" s="902">
        <f>'Disclosed financials'!O255</f>
        <v>870.81599999999992</v>
      </c>
      <c r="P9" s="905">
        <f>'Disclosed financials'!P255</f>
        <v>1067.624</v>
      </c>
      <c r="Q9" s="902">
        <f>'Disclosed financials'!Q255</f>
        <v>1158.3409999999999</v>
      </c>
      <c r="R9" s="905">
        <f>'Disclosed financials'!R255</f>
        <v>1349.1960000000001</v>
      </c>
      <c r="S9" s="902">
        <f>'Disclosed financials'!S255</f>
        <v>1214.7279999999998</v>
      </c>
      <c r="T9" s="902">
        <f>'Disclosed financials'!T255</f>
        <v>1348.2720000000002</v>
      </c>
      <c r="U9" s="904">
        <f>'Disclosed financials'!U255</f>
        <v>1263.5</v>
      </c>
      <c r="V9" s="906">
        <f>'Disclosed financials'!V255</f>
        <v>1588.6999999999998</v>
      </c>
      <c r="W9" s="1199">
        <f t="shared" ref="W9" si="4">+U9*(1+W23)</f>
        <v>1415.1200000000001</v>
      </c>
      <c r="X9" s="1199">
        <f t="shared" ref="X9" si="5">+V9*(1+X23)</f>
        <v>1779.3440000000001</v>
      </c>
      <c r="Y9" s="908"/>
      <c r="Z9" s="905">
        <f>'Disclosed financials'!AE255</f>
        <v>18.367162</v>
      </c>
      <c r="AA9" s="909">
        <f>'Disclosed financials'!AF255</f>
        <v>31.868970000000001</v>
      </c>
      <c r="AB9" s="909">
        <f>'Disclosed financials'!AG255</f>
        <v>38.608544999999999</v>
      </c>
      <c r="AC9" s="909">
        <f>'Disclosed financials'!AH255</f>
        <v>39.477041</v>
      </c>
      <c r="AD9" s="909">
        <f>'Disclosed financials'!AI255</f>
        <v>51.132738000000003</v>
      </c>
      <c r="AE9" s="904">
        <f>'Disclosed financials'!AJ255</f>
        <v>57.104958000000003</v>
      </c>
      <c r="AF9" s="902">
        <f>'Disclosed financials'!AK255</f>
        <v>67.277880999999994</v>
      </c>
      <c r="AG9" s="902">
        <f>'Disclosed financials'!AL255</f>
        <v>89.142482000000001</v>
      </c>
      <c r="AH9" s="902">
        <f>'Disclosed financials'!AM255</f>
        <v>102.915905</v>
      </c>
      <c r="AI9" s="902">
        <f>'Disclosed financials'!AN255</f>
        <v>113.11424700000001</v>
      </c>
      <c r="AJ9" s="902">
        <f>'Disclosed financials'!AO255</f>
        <v>145.75140099999999</v>
      </c>
      <c r="AK9" s="902">
        <f>'Disclosed financials'!AP255</f>
        <v>219.22811799999999</v>
      </c>
      <c r="AL9" s="902">
        <f>'Disclosed financials'!AQ255</f>
        <v>304.055497</v>
      </c>
      <c r="AM9" s="902">
        <f>'Disclosed financials'!AR255</f>
        <v>395.75599999999997</v>
      </c>
      <c r="AN9" s="902">
        <f>'Disclosed financials'!AS255</f>
        <v>504.79700000000003</v>
      </c>
      <c r="AO9" s="902">
        <f>SUM(C9:D9)</f>
        <v>596.08400000000006</v>
      </c>
      <c r="AP9" s="902">
        <f>'Disclosed financials'!AU255</f>
        <v>672.351</v>
      </c>
      <c r="AQ9" s="902">
        <f>'Disclosed financials'!AV255</f>
        <v>832.476</v>
      </c>
      <c r="AR9" s="902">
        <f>'Disclosed financials'!AW255</f>
        <v>1081.6780000000001</v>
      </c>
      <c r="AS9" s="902">
        <f>'Disclosed financials'!AX255</f>
        <v>1414.0640000000001</v>
      </c>
      <c r="AT9" s="902">
        <f>'Disclosed financials'!AY255</f>
        <v>1646.191</v>
      </c>
      <c r="AU9" s="902">
        <f>'Disclosed financials'!AZ255</f>
        <v>1938.44</v>
      </c>
      <c r="AV9" s="902">
        <f>'Disclosed financials'!BA255</f>
        <v>2507.5369999999998</v>
      </c>
      <c r="AW9" s="902">
        <f>SUM(S9:T9)</f>
        <v>2563</v>
      </c>
      <c r="AX9" s="906">
        <f>SUM(U9:V9)</f>
        <v>2852.2</v>
      </c>
      <c r="AY9" s="902">
        <f>+SUM(W9:X9)</f>
        <v>3194.4639999999999</v>
      </c>
      <c r="AZ9" s="902"/>
      <c r="BA9" s="903"/>
      <c r="BB9" s="910">
        <f>(AE9/Z9)^(1/5)-1</f>
        <v>0.25466086546923417</v>
      </c>
      <c r="BC9" s="911">
        <f>(AJ9/AE9)^(1/5)-1</f>
        <v>0.2061124051602603</v>
      </c>
      <c r="BD9" s="912">
        <f>(AO9/AJ9)^(1/5)-1</f>
        <v>0.32537552163540839</v>
      </c>
      <c r="BE9" s="913">
        <f>(AO9/AE9)^(1/10)-1</f>
        <v>0.26433850615261134</v>
      </c>
      <c r="BF9" s="912">
        <f>(AO9/Z9)^(1/15)-1</f>
        <v>0.26110436011467897</v>
      </c>
    </row>
    <row r="10" spans="1:58" ht="14.5" x14ac:dyDescent="0.35">
      <c r="A10" s="914" t="s">
        <v>37</v>
      </c>
      <c r="B10" s="915"/>
      <c r="C10" s="916"/>
      <c r="D10" s="916"/>
      <c r="E10" s="916">
        <f>E9/C9-1</f>
        <v>0.10447295162139802</v>
      </c>
      <c r="F10" s="916">
        <f>F9/D9-1</f>
        <v>0.14684010367463607</v>
      </c>
      <c r="G10" s="917">
        <f>G9/E9-1</f>
        <v>0.28920845666249995</v>
      </c>
      <c r="H10" s="918">
        <f t="shared" ref="H10" si="6">H9/F9-1</f>
        <v>0.19858485584539021</v>
      </c>
      <c r="I10" s="916">
        <f t="shared" ref="I10" si="7">I9/G9-1</f>
        <v>0.2492549537648614</v>
      </c>
      <c r="J10" s="918">
        <f t="shared" ref="J10" si="8">J9/H9-1</f>
        <v>0.34111715156748379</v>
      </c>
      <c r="K10" s="916">
        <f t="shared" ref="K10" si="9">K9/I9-1</f>
        <v>0.28532303534154058</v>
      </c>
      <c r="L10" s="918">
        <f t="shared" ref="L10" si="10">L9/J9-1</f>
        <v>0.32434567657904023</v>
      </c>
      <c r="M10" s="916">
        <f t="shared" ref="M10" si="11">M9/K9-1</f>
        <v>0.19739171641250763</v>
      </c>
      <c r="N10" s="918">
        <f t="shared" ref="N10" si="12">N9/L9-1</f>
        <v>0.13910441171363797</v>
      </c>
      <c r="O10" s="916">
        <f t="shared" ref="O10" si="13">O9/M9-1</f>
        <v>0.19663278010009289</v>
      </c>
      <c r="P10" s="918">
        <f t="shared" ref="P10" si="14">P9/N9-1</f>
        <v>0.16239524687278495</v>
      </c>
      <c r="Q10" s="916">
        <f t="shared" ref="Q10" si="15">Q9/O9-1</f>
        <v>0.33017882078418404</v>
      </c>
      <c r="R10" s="918">
        <f t="shared" ref="R10" si="16">R9/P9-1</f>
        <v>0.26373704600121406</v>
      </c>
      <c r="S10" s="916">
        <f t="shared" ref="S10" si="17">S9/Q9-1</f>
        <v>4.8679102267812357E-2</v>
      </c>
      <c r="T10" s="916">
        <f t="shared" ref="T10" si="18">T9/R9-1</f>
        <v>-6.8485231204362673E-4</v>
      </c>
      <c r="U10" s="917">
        <f t="shared" ref="U10:V10" si="19">U9/S9-1</f>
        <v>4.0150552222390612E-2</v>
      </c>
      <c r="V10" s="919">
        <f t="shared" si="19"/>
        <v>0.17832306834229272</v>
      </c>
      <c r="W10" s="916">
        <f t="shared" ref="W10" si="20">W9/U9-1</f>
        <v>0.12000000000000011</v>
      </c>
      <c r="X10" s="916">
        <f t="shared" ref="X10" si="21">X9/V9-1</f>
        <v>0.12000000000000011</v>
      </c>
      <c r="Y10" s="915"/>
      <c r="Z10" s="918" t="str">
        <f>IFERROR(Z9/#REF!-1,"")</f>
        <v/>
      </c>
      <c r="AA10" s="920">
        <f t="shared" ref="AA10:AP10" si="22">IFERROR(AA9/Z9-1,"")</f>
        <v>0.73510583725455247</v>
      </c>
      <c r="AB10" s="920">
        <f t="shared" si="22"/>
        <v>0.2114776536549503</v>
      </c>
      <c r="AC10" s="920">
        <f t="shared" si="22"/>
        <v>2.2494916604601345E-2</v>
      </c>
      <c r="AD10" s="920">
        <f t="shared" si="22"/>
        <v>0.2952525494501983</v>
      </c>
      <c r="AE10" s="917">
        <f t="shared" si="22"/>
        <v>0.11679836115953734</v>
      </c>
      <c r="AF10" s="916">
        <f t="shared" si="22"/>
        <v>0.17814430403748815</v>
      </c>
      <c r="AG10" s="916">
        <f t="shared" si="22"/>
        <v>0.3249894419237136</v>
      </c>
      <c r="AH10" s="916">
        <f t="shared" si="22"/>
        <v>0.15451020311505337</v>
      </c>
      <c r="AI10" s="916">
        <f t="shared" si="22"/>
        <v>9.9093934994790356E-2</v>
      </c>
      <c r="AJ10" s="916">
        <f t="shared" si="22"/>
        <v>0.28853265495371216</v>
      </c>
      <c r="AK10" s="916">
        <f t="shared" si="22"/>
        <v>0.50412357271269048</v>
      </c>
      <c r="AL10" s="916">
        <f t="shared" si="22"/>
        <v>0.38693658356361027</v>
      </c>
      <c r="AM10" s="916">
        <f t="shared" si="22"/>
        <v>0.30159133416357853</v>
      </c>
      <c r="AN10" s="916">
        <f t="shared" si="22"/>
        <v>0.27552582904618017</v>
      </c>
      <c r="AO10" s="916">
        <f t="shared" si="22"/>
        <v>0.18083903034289039</v>
      </c>
      <c r="AP10" s="916">
        <f t="shared" si="22"/>
        <v>0.12794673233973719</v>
      </c>
      <c r="AQ10" s="916">
        <f t="shared" ref="AQ10" si="23">IFERROR(AQ9/AP9-1,"")</f>
        <v>0.2381568555709741</v>
      </c>
      <c r="AR10" s="916">
        <f t="shared" ref="AR10" si="24">IFERROR(AR9/AQ9-1,"")</f>
        <v>0.29935037166236644</v>
      </c>
      <c r="AS10" s="916">
        <f t="shared" ref="AS10" si="25">IFERROR(AS9/AR9-1,"")</f>
        <v>0.30728738127243038</v>
      </c>
      <c r="AT10" s="916">
        <f t="shared" ref="AT10" si="26">IFERROR(AT9/AS9-1,"")</f>
        <v>0.16415593636497361</v>
      </c>
      <c r="AU10" s="916">
        <f t="shared" ref="AU10" si="27">IFERROR(AU9/AT9-1,"")</f>
        <v>0.17753043237388622</v>
      </c>
      <c r="AV10" s="916">
        <f t="shared" ref="AV10" si="28">IFERROR(AV9/AU9-1,"")</f>
        <v>0.29358504777037187</v>
      </c>
      <c r="AW10" s="916">
        <f t="shared" ref="AW10" si="29">IFERROR(AW9/AV9-1,"")</f>
        <v>2.211851709466317E-2</v>
      </c>
      <c r="AX10" s="919">
        <f t="shared" ref="AX10" si="30">IFERROR(AX9/AW9-1,"")</f>
        <v>0.11283651970347242</v>
      </c>
      <c r="AY10" s="916">
        <f t="shared" ref="AY10" si="31">IFERROR(AY9/AX9-1,"")</f>
        <v>0.12000000000000011</v>
      </c>
      <c r="AZ10" s="916"/>
      <c r="BA10" s="915"/>
      <c r="BB10" s="921"/>
      <c r="BC10" s="922"/>
      <c r="BD10" s="923"/>
      <c r="BE10" s="924"/>
      <c r="BF10" s="923"/>
    </row>
    <row r="11" spans="1:58" ht="14.5" x14ac:dyDescent="0.35">
      <c r="A11" s="914" t="s">
        <v>1488</v>
      </c>
      <c r="B11" s="916"/>
      <c r="C11" s="916">
        <f t="shared" ref="C11:D11" si="32">+C10</f>
        <v>0</v>
      </c>
      <c r="D11" s="916">
        <f t="shared" si="32"/>
        <v>0</v>
      </c>
      <c r="E11" s="916">
        <f>+E10</f>
        <v>0.10447295162139802</v>
      </c>
      <c r="F11" s="916">
        <f t="shared" ref="F11:AY11" si="33">+F10</f>
        <v>0.14684010367463607</v>
      </c>
      <c r="G11" s="917">
        <f t="shared" si="33"/>
        <v>0.28920845666249995</v>
      </c>
      <c r="H11" s="918">
        <f t="shared" si="33"/>
        <v>0.19858485584539021</v>
      </c>
      <c r="I11" s="916">
        <f t="shared" si="33"/>
        <v>0.2492549537648614</v>
      </c>
      <c r="J11" s="918">
        <f t="shared" si="33"/>
        <v>0.34111715156748379</v>
      </c>
      <c r="K11" s="916">
        <f t="shared" si="33"/>
        <v>0.28532303534154058</v>
      </c>
      <c r="L11" s="918">
        <f t="shared" si="33"/>
        <v>0.32434567657904023</v>
      </c>
      <c r="M11" s="916">
        <f t="shared" si="33"/>
        <v>0.19739171641250763</v>
      </c>
      <c r="N11" s="918">
        <f t="shared" si="33"/>
        <v>0.13910441171363797</v>
      </c>
      <c r="O11" s="916">
        <f t="shared" si="33"/>
        <v>0.19663278010009289</v>
      </c>
      <c r="P11" s="918">
        <f t="shared" si="33"/>
        <v>0.16239524687278495</v>
      </c>
      <c r="Q11" s="916">
        <f t="shared" si="33"/>
        <v>0.33017882078418404</v>
      </c>
      <c r="R11" s="918">
        <f t="shared" si="33"/>
        <v>0.26373704600121406</v>
      </c>
      <c r="S11" s="916">
        <f t="shared" si="33"/>
        <v>4.8679102267812357E-2</v>
      </c>
      <c r="T11" s="916">
        <f t="shared" si="33"/>
        <v>-6.8485231204362673E-4</v>
      </c>
      <c r="U11" s="917">
        <f t="shared" si="33"/>
        <v>4.0150552222390612E-2</v>
      </c>
      <c r="V11" s="919">
        <f t="shared" si="33"/>
        <v>0.17832306834229272</v>
      </c>
      <c r="W11" s="916">
        <f t="shared" si="33"/>
        <v>0.12000000000000011</v>
      </c>
      <c r="X11" s="916">
        <f t="shared" si="33"/>
        <v>0.12000000000000011</v>
      </c>
      <c r="Y11" s="915"/>
      <c r="Z11" s="918" t="str">
        <f t="shared" si="33"/>
        <v/>
      </c>
      <c r="AA11" s="920">
        <f t="shared" si="33"/>
        <v>0.73510583725455247</v>
      </c>
      <c r="AB11" s="920">
        <f t="shared" si="33"/>
        <v>0.2114776536549503</v>
      </c>
      <c r="AC11" s="920">
        <f t="shared" si="33"/>
        <v>2.2494916604601345E-2</v>
      </c>
      <c r="AD11" s="920">
        <f t="shared" si="33"/>
        <v>0.2952525494501983</v>
      </c>
      <c r="AE11" s="917">
        <f t="shared" si="33"/>
        <v>0.11679836115953734</v>
      </c>
      <c r="AF11" s="916">
        <f t="shared" si="33"/>
        <v>0.17814430403748815</v>
      </c>
      <c r="AG11" s="916">
        <f t="shared" si="33"/>
        <v>0.3249894419237136</v>
      </c>
      <c r="AH11" s="916">
        <f t="shared" si="33"/>
        <v>0.15451020311505337</v>
      </c>
      <c r="AI11" s="916">
        <f t="shared" si="33"/>
        <v>9.9093934994790356E-2</v>
      </c>
      <c r="AJ11" s="916">
        <f t="shared" si="33"/>
        <v>0.28853265495371216</v>
      </c>
      <c r="AK11" s="916">
        <f t="shared" si="33"/>
        <v>0.50412357271269048</v>
      </c>
      <c r="AL11" s="916">
        <f t="shared" si="33"/>
        <v>0.38693658356361027</v>
      </c>
      <c r="AM11" s="916">
        <f t="shared" si="33"/>
        <v>0.30159133416357853</v>
      </c>
      <c r="AN11" s="916">
        <f t="shared" si="33"/>
        <v>0.27552582904618017</v>
      </c>
      <c r="AO11" s="916">
        <f t="shared" si="33"/>
        <v>0.18083903034289039</v>
      </c>
      <c r="AP11" s="916">
        <f t="shared" si="33"/>
        <v>0.12794673233973719</v>
      </c>
      <c r="AQ11" s="916">
        <f t="shared" si="33"/>
        <v>0.2381568555709741</v>
      </c>
      <c r="AR11" s="916">
        <f t="shared" si="33"/>
        <v>0.29935037166236644</v>
      </c>
      <c r="AS11" s="916">
        <f t="shared" si="33"/>
        <v>0.30728738127243038</v>
      </c>
      <c r="AT11" s="916">
        <f t="shared" si="33"/>
        <v>0.16415593636497361</v>
      </c>
      <c r="AU11" s="916">
        <f t="shared" si="33"/>
        <v>0.17753043237388622</v>
      </c>
      <c r="AV11" s="916">
        <f t="shared" si="33"/>
        <v>0.29358504777037187</v>
      </c>
      <c r="AW11" s="916">
        <f t="shared" si="33"/>
        <v>2.211851709466317E-2</v>
      </c>
      <c r="AX11" s="919">
        <f t="shared" si="33"/>
        <v>0.11283651970347242</v>
      </c>
      <c r="AY11" s="916">
        <f t="shared" si="33"/>
        <v>0.12000000000000011</v>
      </c>
      <c r="AZ11" s="916"/>
      <c r="BA11" s="915"/>
      <c r="BB11" s="921"/>
      <c r="BC11" s="922"/>
      <c r="BD11" s="923"/>
      <c r="BE11" s="924"/>
      <c r="BF11" s="923"/>
    </row>
    <row r="12" spans="1:58" s="758" customFormat="1" ht="14.5" x14ac:dyDescent="0.35">
      <c r="A12" s="914" t="s">
        <v>38</v>
      </c>
      <c r="B12" s="925"/>
      <c r="C12" s="926"/>
      <c r="D12" s="926">
        <f>+D9-C9</f>
        <v>64.444000000000017</v>
      </c>
      <c r="E12" s="926">
        <f t="shared" ref="E12:S12" si="34">+E9-D9</f>
        <v>-36.673000000000002</v>
      </c>
      <c r="F12" s="927">
        <f t="shared" si="34"/>
        <v>85.168999999999983</v>
      </c>
      <c r="G12" s="928">
        <f t="shared" si="34"/>
        <v>-0.25999999999999091</v>
      </c>
      <c r="H12" s="929">
        <f t="shared" si="34"/>
        <v>75.475999999999999</v>
      </c>
      <c r="I12" s="926">
        <f t="shared" si="34"/>
        <v>18.867000000000019</v>
      </c>
      <c r="J12" s="929">
        <f t="shared" si="34"/>
        <v>135.99200000000002</v>
      </c>
      <c r="K12" s="926">
        <f t="shared" si="34"/>
        <v>-1.0789999999999509</v>
      </c>
      <c r="L12" s="929">
        <f t="shared" si="34"/>
        <v>198.55199999999991</v>
      </c>
      <c r="M12" s="926">
        <f t="shared" si="34"/>
        <v>-78.585999999999899</v>
      </c>
      <c r="N12" s="929">
        <f t="shared" si="34"/>
        <v>190.74699999999996</v>
      </c>
      <c r="O12" s="926">
        <f t="shared" si="34"/>
        <v>-47.653000000000134</v>
      </c>
      <c r="P12" s="929">
        <f t="shared" si="34"/>
        <v>196.80800000000011</v>
      </c>
      <c r="Q12" s="926">
        <f t="shared" si="34"/>
        <v>90.716999999999871</v>
      </c>
      <c r="R12" s="929">
        <f t="shared" si="34"/>
        <v>190.85500000000025</v>
      </c>
      <c r="S12" s="926">
        <f t="shared" si="34"/>
        <v>-134.4680000000003</v>
      </c>
      <c r="T12" s="926">
        <f t="shared" ref="T12" si="35">+T9-S9</f>
        <v>133.54400000000032</v>
      </c>
      <c r="U12" s="928">
        <f t="shared" ref="U12:V12" si="36">+U9-T9</f>
        <v>-84.772000000000162</v>
      </c>
      <c r="V12" s="930">
        <f t="shared" si="36"/>
        <v>325.19999999999982</v>
      </c>
      <c r="W12" s="926">
        <f t="shared" ref="W12" si="37">+W9-V9</f>
        <v>-173.5799999999997</v>
      </c>
      <c r="X12" s="926">
        <f t="shared" ref="X12" si="38">+X9-W9</f>
        <v>364.22399999999993</v>
      </c>
      <c r="Y12" s="931"/>
      <c r="Z12" s="929"/>
      <c r="AA12" s="932">
        <f t="shared" ref="AA12:AR12" si="39">AA9-Z9</f>
        <v>13.501808</v>
      </c>
      <c r="AB12" s="932">
        <f t="shared" si="39"/>
        <v>6.7395749999999985</v>
      </c>
      <c r="AC12" s="932">
        <f t="shared" si="39"/>
        <v>0.86849600000000038</v>
      </c>
      <c r="AD12" s="932">
        <f t="shared" si="39"/>
        <v>11.655697000000004</v>
      </c>
      <c r="AE12" s="928">
        <f t="shared" si="39"/>
        <v>5.9722200000000001</v>
      </c>
      <c r="AF12" s="926">
        <f t="shared" si="39"/>
        <v>10.17292299999999</v>
      </c>
      <c r="AG12" s="926">
        <f t="shared" si="39"/>
        <v>21.864601000000008</v>
      </c>
      <c r="AH12" s="926">
        <f t="shared" si="39"/>
        <v>13.773422999999994</v>
      </c>
      <c r="AI12" s="926">
        <f t="shared" si="39"/>
        <v>10.198342000000011</v>
      </c>
      <c r="AJ12" s="926">
        <f t="shared" si="39"/>
        <v>32.637153999999981</v>
      </c>
      <c r="AK12" s="926">
        <f t="shared" si="39"/>
        <v>73.476717000000008</v>
      </c>
      <c r="AL12" s="926">
        <f t="shared" si="39"/>
        <v>84.827379000000008</v>
      </c>
      <c r="AM12" s="926">
        <f t="shared" si="39"/>
        <v>91.700502999999969</v>
      </c>
      <c r="AN12" s="926">
        <f t="shared" si="39"/>
        <v>109.04100000000005</v>
      </c>
      <c r="AO12" s="926">
        <f t="shared" si="39"/>
        <v>91.287000000000035</v>
      </c>
      <c r="AP12" s="926">
        <f t="shared" si="39"/>
        <v>76.266999999999939</v>
      </c>
      <c r="AQ12" s="926">
        <f t="shared" si="39"/>
        <v>160.125</v>
      </c>
      <c r="AR12" s="926">
        <f t="shared" si="39"/>
        <v>249.20200000000011</v>
      </c>
      <c r="AS12" s="926">
        <f t="shared" ref="AS12:AV12" si="40">AS9-AR9</f>
        <v>332.38599999999997</v>
      </c>
      <c r="AT12" s="926">
        <f t="shared" si="40"/>
        <v>232.12699999999995</v>
      </c>
      <c r="AU12" s="926">
        <f t="shared" si="40"/>
        <v>292.24900000000002</v>
      </c>
      <c r="AV12" s="926">
        <f t="shared" si="40"/>
        <v>569.09699999999975</v>
      </c>
      <c r="AW12" s="926">
        <f t="shared" ref="AW12:AX12" si="41">AW9-AV9</f>
        <v>55.463000000000193</v>
      </c>
      <c r="AX12" s="930">
        <f t="shared" si="41"/>
        <v>289.19999999999982</v>
      </c>
      <c r="AY12" s="926">
        <f t="shared" ref="AY12" si="42">AY9-AX9</f>
        <v>342.26400000000012</v>
      </c>
      <c r="AZ12" s="926"/>
      <c r="BA12" s="927"/>
      <c r="BB12" s="933"/>
      <c r="BC12" s="934"/>
      <c r="BD12" s="935"/>
      <c r="BE12" s="936"/>
      <c r="BF12" s="935"/>
    </row>
    <row r="13" spans="1:58" s="758" customFormat="1" ht="14.5" x14ac:dyDescent="0.35">
      <c r="A13" s="914" t="s">
        <v>143</v>
      </c>
      <c r="B13" s="925"/>
      <c r="C13" s="926"/>
      <c r="D13" s="926"/>
      <c r="E13" s="926">
        <f>+E9-C9</f>
        <v>27.771000000000015</v>
      </c>
      <c r="F13" s="927">
        <f t="shared" ref="F13:S13" si="43">+F9-D9</f>
        <v>48.495999999999981</v>
      </c>
      <c r="G13" s="928">
        <f t="shared" si="43"/>
        <v>84.908999999999992</v>
      </c>
      <c r="H13" s="929">
        <f t="shared" si="43"/>
        <v>75.216000000000008</v>
      </c>
      <c r="I13" s="926">
        <f t="shared" si="43"/>
        <v>94.343000000000018</v>
      </c>
      <c r="J13" s="929">
        <f t="shared" si="43"/>
        <v>154.85900000000004</v>
      </c>
      <c r="K13" s="926">
        <f t="shared" si="43"/>
        <v>134.91300000000007</v>
      </c>
      <c r="L13" s="929">
        <f t="shared" si="43"/>
        <v>197.47299999999996</v>
      </c>
      <c r="M13" s="926">
        <f t="shared" si="43"/>
        <v>119.96600000000001</v>
      </c>
      <c r="N13" s="929">
        <f t="shared" si="43"/>
        <v>112.16100000000006</v>
      </c>
      <c r="O13" s="926">
        <f t="shared" si="43"/>
        <v>143.09399999999982</v>
      </c>
      <c r="P13" s="929">
        <f t="shared" si="43"/>
        <v>149.15499999999997</v>
      </c>
      <c r="Q13" s="926">
        <f t="shared" si="43"/>
        <v>287.52499999999998</v>
      </c>
      <c r="R13" s="929">
        <f t="shared" si="43"/>
        <v>281.57200000000012</v>
      </c>
      <c r="S13" s="926">
        <f t="shared" si="43"/>
        <v>56.386999999999944</v>
      </c>
      <c r="T13" s="926">
        <f t="shared" ref="T13" si="44">+T9-R9</f>
        <v>-0.92399999999997817</v>
      </c>
      <c r="U13" s="928">
        <f t="shared" ref="U13:V13" si="45">+U9-S9</f>
        <v>48.772000000000162</v>
      </c>
      <c r="V13" s="930">
        <f t="shared" si="45"/>
        <v>240.42799999999966</v>
      </c>
      <c r="W13" s="926">
        <f t="shared" ref="W13" si="46">+W9-U9</f>
        <v>151.62000000000012</v>
      </c>
      <c r="X13" s="926">
        <f t="shared" ref="X13" si="47">+X9-V9</f>
        <v>190.64400000000023</v>
      </c>
      <c r="Y13" s="931"/>
      <c r="Z13" s="929"/>
      <c r="AA13" s="932"/>
      <c r="AB13" s="932"/>
      <c r="AC13" s="932"/>
      <c r="AD13" s="932"/>
      <c r="AE13" s="928"/>
      <c r="AF13" s="926">
        <f>+AF12</f>
        <v>10.17292299999999</v>
      </c>
      <c r="AG13" s="926">
        <f t="shared" ref="AG13:AR13" si="48">+AG12</f>
        <v>21.864601000000008</v>
      </c>
      <c r="AH13" s="926">
        <f t="shared" si="48"/>
        <v>13.773422999999994</v>
      </c>
      <c r="AI13" s="926">
        <f t="shared" si="48"/>
        <v>10.198342000000011</v>
      </c>
      <c r="AJ13" s="926">
        <f t="shared" si="48"/>
        <v>32.637153999999981</v>
      </c>
      <c r="AK13" s="926">
        <f t="shared" si="48"/>
        <v>73.476717000000008</v>
      </c>
      <c r="AL13" s="926">
        <f t="shared" si="48"/>
        <v>84.827379000000008</v>
      </c>
      <c r="AM13" s="926">
        <f t="shared" si="48"/>
        <v>91.700502999999969</v>
      </c>
      <c r="AN13" s="926">
        <f t="shared" si="48"/>
        <v>109.04100000000005</v>
      </c>
      <c r="AO13" s="926">
        <f t="shared" si="48"/>
        <v>91.287000000000035</v>
      </c>
      <c r="AP13" s="926">
        <f t="shared" si="48"/>
        <v>76.266999999999939</v>
      </c>
      <c r="AQ13" s="926">
        <f t="shared" si="48"/>
        <v>160.125</v>
      </c>
      <c r="AR13" s="926">
        <f t="shared" si="48"/>
        <v>249.20200000000011</v>
      </c>
      <c r="AS13" s="926">
        <f t="shared" ref="AS13" si="49">+AS12</f>
        <v>332.38599999999997</v>
      </c>
      <c r="AT13" s="926">
        <f t="shared" ref="AT13" si="50">+AT12</f>
        <v>232.12699999999995</v>
      </c>
      <c r="AU13" s="926">
        <f t="shared" ref="AU13" si="51">+AU12</f>
        <v>292.24900000000002</v>
      </c>
      <c r="AV13" s="926">
        <f t="shared" ref="AV13" si="52">+AV12</f>
        <v>569.09699999999975</v>
      </c>
      <c r="AW13" s="926">
        <f t="shared" ref="AW13" si="53">+AW12</f>
        <v>55.463000000000193</v>
      </c>
      <c r="AX13" s="930">
        <f t="shared" ref="AX13:AY13" si="54">+AX12</f>
        <v>289.19999999999982</v>
      </c>
      <c r="AY13" s="926">
        <f t="shared" si="54"/>
        <v>342.26400000000012</v>
      </c>
      <c r="AZ13" s="926"/>
      <c r="BA13" s="927"/>
      <c r="BB13" s="933"/>
      <c r="BC13" s="934"/>
      <c r="BD13" s="935"/>
      <c r="BE13" s="936"/>
      <c r="BF13" s="935"/>
    </row>
    <row r="14" spans="1:58" ht="14.5" x14ac:dyDescent="0.35">
      <c r="A14" s="937"/>
      <c r="B14" s="759"/>
      <c r="C14" s="938"/>
      <c r="D14" s="938"/>
      <c r="E14" s="938"/>
      <c r="F14" s="938"/>
      <c r="G14" s="939"/>
      <c r="H14" s="940"/>
      <c r="I14" s="938"/>
      <c r="J14" s="940"/>
      <c r="K14" s="938"/>
      <c r="L14" s="940"/>
      <c r="M14" s="938"/>
      <c r="N14" s="940"/>
      <c r="O14" s="938"/>
      <c r="P14" s="940"/>
      <c r="Q14" s="938"/>
      <c r="R14" s="940"/>
      <c r="S14" s="938"/>
      <c r="T14" s="938"/>
      <c r="U14" s="939"/>
      <c r="V14" s="1436"/>
      <c r="W14" s="1417"/>
      <c r="X14" s="1417"/>
      <c r="Y14" s="759"/>
      <c r="Z14" s="940"/>
      <c r="AA14" s="942"/>
      <c r="AB14" s="942"/>
      <c r="AC14" s="942"/>
      <c r="AD14" s="942"/>
      <c r="AE14" s="939"/>
      <c r="AF14" s="938"/>
      <c r="AG14" s="938"/>
      <c r="AH14" s="938"/>
      <c r="AI14" s="938"/>
      <c r="AJ14" s="938"/>
      <c r="AK14" s="938"/>
      <c r="AL14" s="938"/>
      <c r="AM14" s="938"/>
      <c r="AN14" s="938"/>
      <c r="AO14" s="938"/>
      <c r="AP14" s="938"/>
      <c r="AQ14" s="938"/>
      <c r="AR14" s="926"/>
      <c r="AS14" s="926"/>
      <c r="AT14" s="926"/>
      <c r="AU14" s="926"/>
      <c r="AV14" s="926"/>
      <c r="AW14" s="926"/>
      <c r="AX14" s="941"/>
      <c r="AY14" s="938"/>
      <c r="AZ14" s="938"/>
      <c r="BA14" s="759"/>
      <c r="BB14" s="895"/>
      <c r="BC14" s="896"/>
      <c r="BD14" s="897"/>
      <c r="BE14" s="898"/>
      <c r="BF14" s="897"/>
    </row>
    <row r="15" spans="1:58" ht="14.5" hidden="1" outlineLevel="1" x14ac:dyDescent="0.35">
      <c r="A15" s="900" t="s">
        <v>39</v>
      </c>
      <c r="B15" s="901"/>
      <c r="C15" s="902"/>
      <c r="D15" s="902"/>
      <c r="E15" s="902"/>
      <c r="F15" s="903"/>
      <c r="G15" s="904"/>
      <c r="H15" s="905"/>
      <c r="I15" s="902">
        <f>+'Disclosed financials'!I259</f>
        <v>358.30399999999992</v>
      </c>
      <c r="J15" s="905">
        <f>+'Disclosed financials'!J259</f>
        <v>438.904</v>
      </c>
      <c r="K15" s="902">
        <f>+'Disclosed financials'!K259</f>
        <v>433.96999999999997</v>
      </c>
      <c r="L15" s="905">
        <f>+'Disclosed financials'!L259</f>
        <v>557.87900000000002</v>
      </c>
      <c r="M15" s="902">
        <f>+'Disclosed financials'!M259</f>
        <v>524.14800000000002</v>
      </c>
      <c r="N15" s="905">
        <f>+'Disclosed financials'!N259</f>
        <v>552.97899999999993</v>
      </c>
      <c r="O15" s="902">
        <f>+'Disclosed financials'!O259</f>
        <v>576.98800000000006</v>
      </c>
      <c r="P15" s="905">
        <f>+'Disclosed financials'!P259</f>
        <v>579.67899999999997</v>
      </c>
      <c r="Q15" s="902">
        <f>+'Disclosed financials'!Q259</f>
        <v>577.82000000000005</v>
      </c>
      <c r="R15" s="905">
        <f>+'Disclosed financials'!R259</f>
        <v>500.12600000000009</v>
      </c>
      <c r="S15" s="902">
        <f>+'Disclosed financials'!S259</f>
        <v>512.40499999999997</v>
      </c>
      <c r="T15" s="902">
        <f>+'Disclosed financials'!T259</f>
        <v>472.89499999999998</v>
      </c>
      <c r="U15" s="904">
        <f>+'Disclosed financials'!U259</f>
        <v>467.15199999999999</v>
      </c>
      <c r="V15" s="1437"/>
      <c r="W15" s="907"/>
      <c r="X15" s="907"/>
      <c r="Y15" s="908"/>
      <c r="Z15" s="905"/>
      <c r="AA15" s="909"/>
      <c r="AB15" s="909"/>
      <c r="AC15" s="909"/>
      <c r="AD15" s="909"/>
      <c r="AE15" s="904"/>
      <c r="AF15" s="902"/>
      <c r="AG15" s="902"/>
      <c r="AH15" s="902"/>
      <c r="AI15" s="902"/>
      <c r="AJ15" s="902"/>
      <c r="AK15" s="902"/>
      <c r="AL15" s="902"/>
      <c r="AM15" s="902"/>
      <c r="AN15" s="902"/>
      <c r="AO15" s="902"/>
      <c r="AP15" s="902"/>
      <c r="AQ15" s="902"/>
      <c r="AR15" s="926"/>
      <c r="AS15" s="926"/>
      <c r="AT15" s="926"/>
      <c r="AU15" s="926"/>
      <c r="AV15" s="926"/>
      <c r="AW15" s="926"/>
      <c r="AX15" s="906"/>
      <c r="AY15" s="902"/>
      <c r="AZ15" s="902"/>
      <c r="BA15" s="903"/>
      <c r="BB15" s="910" t="e">
        <f>(AE15/Z15)^(1/5)-1</f>
        <v>#DIV/0!</v>
      </c>
      <c r="BC15" s="911" t="e">
        <f>(AJ15/AE15)^(1/5)-1</f>
        <v>#DIV/0!</v>
      </c>
      <c r="BD15" s="912" t="e">
        <f>(AO15/AJ15)^(1/5)-1</f>
        <v>#DIV/0!</v>
      </c>
      <c r="BE15" s="913" t="e">
        <f>(AO15/AE15)^(1/10)-1</f>
        <v>#DIV/0!</v>
      </c>
      <c r="BF15" s="912" t="e">
        <f>(AO15/Z15)^(1/15)-1</f>
        <v>#DIV/0!</v>
      </c>
    </row>
    <row r="16" spans="1:58" ht="14.5" hidden="1" outlineLevel="1" x14ac:dyDescent="0.35">
      <c r="A16" s="914" t="s">
        <v>37</v>
      </c>
      <c r="B16" s="915"/>
      <c r="C16" s="916"/>
      <c r="D16" s="916"/>
      <c r="E16" s="916"/>
      <c r="F16" s="916"/>
      <c r="G16" s="917"/>
      <c r="H16" s="918"/>
      <c r="I16" s="916"/>
      <c r="J16" s="918"/>
      <c r="K16" s="916">
        <f t="shared" ref="K16" si="55">K15/I15-1</f>
        <v>0.21117821737965548</v>
      </c>
      <c r="L16" s="918">
        <f t="shared" ref="L16" si="56">L15/J15-1</f>
        <v>0.27107294533656567</v>
      </c>
      <c r="M16" s="916">
        <f t="shared" ref="M16" si="57">M15/K15-1</f>
        <v>0.20779777403968036</v>
      </c>
      <c r="N16" s="918">
        <f t="shared" ref="N16" si="58">N15/L15-1</f>
        <v>-8.7832666223321976E-3</v>
      </c>
      <c r="O16" s="916">
        <f t="shared" ref="O16" si="59">O15/M15-1</f>
        <v>0.10081122125811803</v>
      </c>
      <c r="P16" s="918">
        <f t="shared" ref="P16" si="60">P15/N15-1</f>
        <v>4.8283931216194453E-2</v>
      </c>
      <c r="Q16" s="916">
        <f t="shared" ref="Q16" si="61">Q15/O15-1</f>
        <v>1.441971063522951E-3</v>
      </c>
      <c r="R16" s="918">
        <f t="shared" ref="R16" si="62">R15/P15-1</f>
        <v>-0.13723629802011095</v>
      </c>
      <c r="S16" s="916">
        <f t="shared" ref="S16" si="63">S15/Q15-1</f>
        <v>-0.11320999619258609</v>
      </c>
      <c r="T16" s="916">
        <f t="shared" ref="T16" si="64">T15/R15-1</f>
        <v>-5.4448279033683766E-2</v>
      </c>
      <c r="U16" s="917">
        <f t="shared" ref="U16" si="65">U15/S15-1</f>
        <v>-8.8314907153521083E-2</v>
      </c>
      <c r="V16" s="919"/>
      <c r="W16" s="916"/>
      <c r="X16" s="916"/>
      <c r="Y16" s="915"/>
      <c r="Z16" s="918"/>
      <c r="AA16" s="920"/>
      <c r="AB16" s="920"/>
      <c r="AC16" s="920"/>
      <c r="AD16" s="920"/>
      <c r="AE16" s="917"/>
      <c r="AF16" s="916"/>
      <c r="AG16" s="916"/>
      <c r="AH16" s="916"/>
      <c r="AI16" s="916"/>
      <c r="AJ16" s="916"/>
      <c r="AK16" s="916"/>
      <c r="AL16" s="916"/>
      <c r="AM16" s="916"/>
      <c r="AN16" s="916"/>
      <c r="AO16" s="916"/>
      <c r="AP16" s="916"/>
      <c r="AQ16" s="916"/>
      <c r="AR16" s="926"/>
      <c r="AS16" s="926"/>
      <c r="AT16" s="926"/>
      <c r="AU16" s="926"/>
      <c r="AV16" s="926"/>
      <c r="AW16" s="926"/>
      <c r="AX16" s="919"/>
      <c r="AY16" s="916"/>
      <c r="AZ16" s="916"/>
      <c r="BA16" s="915"/>
      <c r="BB16" s="921"/>
      <c r="BC16" s="922"/>
      <c r="BD16" s="923"/>
      <c r="BE16" s="924"/>
      <c r="BF16" s="923"/>
    </row>
    <row r="17" spans="1:66" s="758" customFormat="1" ht="14.5" hidden="1" outlineLevel="1" x14ac:dyDescent="0.35">
      <c r="A17" s="914" t="s">
        <v>38</v>
      </c>
      <c r="B17" s="925"/>
      <c r="C17" s="926"/>
      <c r="D17" s="926"/>
      <c r="E17" s="926"/>
      <c r="F17" s="927"/>
      <c r="G17" s="928"/>
      <c r="H17" s="929"/>
      <c r="I17" s="926"/>
      <c r="J17" s="929">
        <f>+J15-I15</f>
        <v>80.60000000000008</v>
      </c>
      <c r="K17" s="926">
        <f t="shared" ref="K17:S17" si="66">+K15-J15</f>
        <v>-4.9340000000000259</v>
      </c>
      <c r="L17" s="929">
        <f t="shared" si="66"/>
        <v>123.90900000000005</v>
      </c>
      <c r="M17" s="926">
        <f t="shared" si="66"/>
        <v>-33.730999999999995</v>
      </c>
      <c r="N17" s="929">
        <f t="shared" si="66"/>
        <v>28.830999999999904</v>
      </c>
      <c r="O17" s="926">
        <f t="shared" si="66"/>
        <v>24.009000000000128</v>
      </c>
      <c r="P17" s="929">
        <f t="shared" si="66"/>
        <v>2.6909999999999172</v>
      </c>
      <c r="Q17" s="926">
        <f t="shared" si="66"/>
        <v>-1.8589999999999236</v>
      </c>
      <c r="R17" s="929">
        <f t="shared" si="66"/>
        <v>-77.69399999999996</v>
      </c>
      <c r="S17" s="926">
        <f t="shared" si="66"/>
        <v>12.278999999999883</v>
      </c>
      <c r="T17" s="926">
        <f t="shared" ref="T17" si="67">+T15-S15</f>
        <v>-39.509999999999991</v>
      </c>
      <c r="U17" s="928">
        <f t="shared" ref="U17" si="68">+U15-T15</f>
        <v>-5.742999999999995</v>
      </c>
      <c r="V17" s="930"/>
      <c r="W17" s="926"/>
      <c r="X17" s="926"/>
      <c r="Y17" s="931"/>
      <c r="Z17" s="929"/>
      <c r="AA17" s="932"/>
      <c r="AB17" s="932"/>
      <c r="AC17" s="932"/>
      <c r="AD17" s="932"/>
      <c r="AE17" s="928"/>
      <c r="AF17" s="926"/>
      <c r="AG17" s="926"/>
      <c r="AH17" s="926"/>
      <c r="AI17" s="926"/>
      <c r="AJ17" s="926"/>
      <c r="AK17" s="926"/>
      <c r="AL17" s="926"/>
      <c r="AM17" s="926"/>
      <c r="AN17" s="926"/>
      <c r="AO17" s="926"/>
      <c r="AP17" s="926"/>
      <c r="AQ17" s="926"/>
      <c r="AR17" s="926"/>
      <c r="AS17" s="926"/>
      <c r="AT17" s="926"/>
      <c r="AU17" s="926"/>
      <c r="AV17" s="926"/>
      <c r="AW17" s="926"/>
      <c r="AX17" s="930"/>
      <c r="AY17" s="926"/>
      <c r="AZ17" s="926"/>
      <c r="BA17" s="927"/>
      <c r="BB17" s="933"/>
      <c r="BC17" s="934"/>
      <c r="BD17" s="935"/>
      <c r="BE17" s="936"/>
      <c r="BF17" s="935"/>
    </row>
    <row r="18" spans="1:66" s="758" customFormat="1" ht="14.5" hidden="1" outlineLevel="1" x14ac:dyDescent="0.35">
      <c r="A18" s="914" t="s">
        <v>143</v>
      </c>
      <c r="B18" s="925"/>
      <c r="C18" s="926"/>
      <c r="D18" s="926"/>
      <c r="E18" s="926"/>
      <c r="F18" s="927"/>
      <c r="G18" s="928"/>
      <c r="H18" s="929"/>
      <c r="I18" s="926"/>
      <c r="J18" s="929"/>
      <c r="K18" s="926">
        <f t="shared" ref="K18" si="69">+K15-I15</f>
        <v>75.666000000000054</v>
      </c>
      <c r="L18" s="929">
        <f t="shared" ref="L18" si="70">+L15-J15</f>
        <v>118.97500000000002</v>
      </c>
      <c r="M18" s="926">
        <f t="shared" ref="M18" si="71">+M15-K15</f>
        <v>90.178000000000054</v>
      </c>
      <c r="N18" s="929">
        <f t="shared" ref="N18" si="72">+N15-L15</f>
        <v>-4.9000000000000909</v>
      </c>
      <c r="O18" s="926">
        <f t="shared" ref="O18" si="73">+O15-M15</f>
        <v>52.840000000000032</v>
      </c>
      <c r="P18" s="929">
        <f t="shared" ref="P18" si="74">+P15-N15</f>
        <v>26.700000000000045</v>
      </c>
      <c r="Q18" s="926">
        <f t="shared" ref="Q18" si="75">+Q15-O15</f>
        <v>0.83199999999999363</v>
      </c>
      <c r="R18" s="929">
        <f t="shared" ref="R18" si="76">+R15-P15</f>
        <v>-79.552999999999884</v>
      </c>
      <c r="S18" s="926">
        <f t="shared" ref="S18" si="77">+S15-Q15</f>
        <v>-65.415000000000077</v>
      </c>
      <c r="T18" s="926">
        <f t="shared" ref="T18" si="78">+T15-R15</f>
        <v>-27.231000000000108</v>
      </c>
      <c r="U18" s="928">
        <f t="shared" ref="U18" si="79">+U15-S15</f>
        <v>-45.252999999999986</v>
      </c>
      <c r="V18" s="930"/>
      <c r="W18" s="926"/>
      <c r="X18" s="926"/>
      <c r="Y18" s="931"/>
      <c r="Z18" s="929"/>
      <c r="AA18" s="932"/>
      <c r="AB18" s="932"/>
      <c r="AC18" s="932"/>
      <c r="AD18" s="932"/>
      <c r="AE18" s="928"/>
      <c r="AF18" s="926"/>
      <c r="AG18" s="926"/>
      <c r="AH18" s="926"/>
      <c r="AI18" s="926"/>
      <c r="AJ18" s="926"/>
      <c r="AK18" s="926"/>
      <c r="AL18" s="926"/>
      <c r="AM18" s="926"/>
      <c r="AN18" s="926"/>
      <c r="AO18" s="926"/>
      <c r="AP18" s="926"/>
      <c r="AQ18" s="926"/>
      <c r="AR18" s="926"/>
      <c r="AS18" s="926"/>
      <c r="AT18" s="926"/>
      <c r="AU18" s="926"/>
      <c r="AV18" s="926"/>
      <c r="AW18" s="926"/>
      <c r="AX18" s="930"/>
      <c r="AY18" s="926"/>
      <c r="AZ18" s="926"/>
      <c r="BA18" s="927"/>
      <c r="BB18" s="933"/>
      <c r="BC18" s="934"/>
      <c r="BD18" s="935"/>
      <c r="BE18" s="936"/>
      <c r="BF18" s="935"/>
    </row>
    <row r="19" spans="1:66" ht="14.5" hidden="1" outlineLevel="1" x14ac:dyDescent="0.35">
      <c r="A19" s="914" t="s">
        <v>40</v>
      </c>
      <c r="B19" s="915"/>
      <c r="C19" s="916"/>
      <c r="D19" s="916"/>
      <c r="E19" s="916"/>
      <c r="F19" s="916"/>
      <c r="G19" s="917"/>
      <c r="H19" s="918"/>
      <c r="I19" s="916">
        <f t="shared" ref="I19:S19" si="80">+I15/I9</f>
        <v>0.75776526246555387</v>
      </c>
      <c r="J19" s="918">
        <f t="shared" si="80"/>
        <v>0.72089153875844847</v>
      </c>
      <c r="K19" s="916">
        <f t="shared" si="80"/>
        <v>0.71405300811509864</v>
      </c>
      <c r="L19" s="918">
        <f t="shared" si="80"/>
        <v>0.69189317233612968</v>
      </c>
      <c r="M19" s="916">
        <f t="shared" si="80"/>
        <v>0.72025856027439039</v>
      </c>
      <c r="N19" s="918">
        <f t="shared" si="80"/>
        <v>0.60206604686712328</v>
      </c>
      <c r="O19" s="916">
        <f t="shared" si="80"/>
        <v>0.66258314041083322</v>
      </c>
      <c r="P19" s="918">
        <f t="shared" si="80"/>
        <v>0.54296175432549287</v>
      </c>
      <c r="Q19" s="916">
        <f t="shared" si="80"/>
        <v>0.49883410843611692</v>
      </c>
      <c r="R19" s="918">
        <f t="shared" si="80"/>
        <v>0.3706844668973226</v>
      </c>
      <c r="S19" s="916">
        <f t="shared" si="80"/>
        <v>0.42182694397428894</v>
      </c>
      <c r="T19" s="916">
        <f t="shared" ref="T19:U19" si="81">+T15/T9</f>
        <v>0.3507415417660531</v>
      </c>
      <c r="U19" s="917">
        <f t="shared" si="81"/>
        <v>0.36972853185595567</v>
      </c>
      <c r="V19" s="919"/>
      <c r="W19" s="916"/>
      <c r="X19" s="916"/>
      <c r="Y19" s="915"/>
      <c r="Z19" s="918"/>
      <c r="AA19" s="920"/>
      <c r="AB19" s="920"/>
      <c r="AC19" s="920"/>
      <c r="AD19" s="920"/>
      <c r="AE19" s="917"/>
      <c r="AF19" s="916"/>
      <c r="AG19" s="916"/>
      <c r="AH19" s="916"/>
      <c r="AI19" s="916"/>
      <c r="AJ19" s="916"/>
      <c r="AK19" s="916"/>
      <c r="AL19" s="916"/>
      <c r="AM19" s="916"/>
      <c r="AN19" s="916"/>
      <c r="AO19" s="916"/>
      <c r="AP19" s="916"/>
      <c r="AQ19" s="916"/>
      <c r="AR19" s="926"/>
      <c r="AS19" s="926"/>
      <c r="AT19" s="926"/>
      <c r="AU19" s="926"/>
      <c r="AV19" s="926"/>
      <c r="AW19" s="926"/>
      <c r="AX19" s="919"/>
      <c r="AY19" s="916"/>
      <c r="AZ19" s="916"/>
      <c r="BA19" s="915"/>
      <c r="BB19" s="921"/>
      <c r="BC19" s="922"/>
      <c r="BD19" s="923"/>
      <c r="BE19" s="924"/>
      <c r="BF19" s="923"/>
    </row>
    <row r="20" spans="1:66" ht="14.5" hidden="1" outlineLevel="1" x14ac:dyDescent="0.35">
      <c r="A20" s="937"/>
      <c r="B20" s="759"/>
      <c r="C20" s="938"/>
      <c r="D20" s="938"/>
      <c r="E20" s="938"/>
      <c r="F20" s="938"/>
      <c r="G20" s="939"/>
      <c r="H20" s="940"/>
      <c r="I20" s="938"/>
      <c r="J20" s="940"/>
      <c r="K20" s="938"/>
      <c r="L20" s="940"/>
      <c r="M20" s="938"/>
      <c r="N20" s="940"/>
      <c r="O20" s="938"/>
      <c r="P20" s="940"/>
      <c r="Q20" s="938"/>
      <c r="R20" s="940"/>
      <c r="S20" s="938"/>
      <c r="T20" s="938"/>
      <c r="U20" s="939"/>
      <c r="V20" s="941"/>
      <c r="W20" s="938"/>
      <c r="X20" s="938"/>
      <c r="Y20" s="759"/>
      <c r="Z20" s="940"/>
      <c r="AA20" s="942"/>
      <c r="AB20" s="942"/>
      <c r="AC20" s="942"/>
      <c r="AD20" s="942"/>
      <c r="AE20" s="939"/>
      <c r="AF20" s="938"/>
      <c r="AG20" s="938"/>
      <c r="AH20" s="938"/>
      <c r="AI20" s="938"/>
      <c r="AJ20" s="938"/>
      <c r="AK20" s="938"/>
      <c r="AL20" s="938"/>
      <c r="AM20" s="938"/>
      <c r="AN20" s="938"/>
      <c r="AO20" s="938"/>
      <c r="AP20" s="938"/>
      <c r="AQ20" s="938"/>
      <c r="AR20" s="926"/>
      <c r="AS20" s="926"/>
      <c r="AT20" s="926"/>
      <c r="AU20" s="926"/>
      <c r="AV20" s="926"/>
      <c r="AW20" s="926"/>
      <c r="AX20" s="941"/>
      <c r="AY20" s="938"/>
      <c r="AZ20" s="938"/>
      <c r="BA20" s="759"/>
      <c r="BB20" s="895"/>
      <c r="BC20" s="896"/>
      <c r="BD20" s="897"/>
      <c r="BE20" s="898"/>
      <c r="BF20" s="897"/>
    </row>
    <row r="21" spans="1:66" ht="14.5" collapsed="1" x14ac:dyDescent="0.35">
      <c r="A21" s="937"/>
      <c r="B21" s="759"/>
      <c r="C21" s="938"/>
      <c r="D21" s="938"/>
      <c r="E21" s="938"/>
      <c r="F21" s="938"/>
      <c r="G21" s="939"/>
      <c r="H21" s="940"/>
      <c r="I21" s="938"/>
      <c r="J21" s="940"/>
      <c r="K21" s="938"/>
      <c r="L21" s="940"/>
      <c r="M21" s="938"/>
      <c r="N21" s="940"/>
      <c r="O21" s="938"/>
      <c r="P21" s="940"/>
      <c r="Q21" s="938"/>
      <c r="R21" s="940"/>
      <c r="S21" s="938"/>
      <c r="T21" s="938"/>
      <c r="U21" s="939"/>
      <c r="V21" s="941"/>
      <c r="W21" s="1265"/>
      <c r="X21" s="1419"/>
      <c r="Y21" s="1266"/>
      <c r="Z21" s="940"/>
      <c r="AA21" s="942"/>
      <c r="AB21" s="942"/>
      <c r="AC21" s="942"/>
      <c r="AD21" s="942"/>
      <c r="AE21" s="939"/>
      <c r="AF21" s="938"/>
      <c r="AG21" s="938"/>
      <c r="AH21" s="938"/>
      <c r="AI21" s="938"/>
      <c r="AJ21" s="938"/>
      <c r="AK21" s="938"/>
      <c r="AL21" s="938"/>
      <c r="AM21" s="938"/>
      <c r="AN21" s="938"/>
      <c r="AO21" s="938"/>
      <c r="AP21" s="938"/>
      <c r="AQ21" s="916"/>
      <c r="AR21" s="926"/>
      <c r="AS21" s="926"/>
      <c r="AT21" s="926"/>
      <c r="AU21" s="926"/>
      <c r="AV21" s="926"/>
      <c r="AW21" s="926"/>
      <c r="AX21" s="1357"/>
      <c r="AY21" s="1265" t="str">
        <f>+Base!O17</f>
        <v>c = 463</v>
      </c>
      <c r="AZ21" s="938"/>
      <c r="BA21" s="759"/>
      <c r="BB21" s="895"/>
      <c r="BC21" s="896"/>
      <c r="BD21" s="897"/>
      <c r="BE21" s="898"/>
      <c r="BF21" s="897"/>
      <c r="BI21" s="756" t="s">
        <v>144</v>
      </c>
      <c r="BJ21" s="756" t="s">
        <v>145</v>
      </c>
      <c r="BK21" s="756" t="s">
        <v>146</v>
      </c>
      <c r="BL21" s="756" t="s">
        <v>147</v>
      </c>
      <c r="BM21" s="756" t="s">
        <v>148</v>
      </c>
    </row>
    <row r="22" spans="1:66" x14ac:dyDescent="0.3">
      <c r="A22" s="900" t="s">
        <v>149</v>
      </c>
      <c r="B22" s="901"/>
      <c r="C22" s="902">
        <f>'Disclosed financials'!C264</f>
        <v>46.638999999999982</v>
      </c>
      <c r="D22" s="902">
        <f>'Disclosed financials'!D264</f>
        <v>56.136000000000024</v>
      </c>
      <c r="E22" s="902">
        <f>'Disclosed financials'!E264</f>
        <v>53.675000000000011</v>
      </c>
      <c r="F22" s="903">
        <f>AP22-E22</f>
        <v>67.041999999999973</v>
      </c>
      <c r="G22" s="904">
        <f>'Disclosed financials'!G264</f>
        <v>61.3</v>
      </c>
      <c r="H22" s="905">
        <f>'Disclosed financials'!H264</f>
        <v>75.003</v>
      </c>
      <c r="I22" s="902">
        <f>'Disclosed financials'!I264</f>
        <v>74.83499999999998</v>
      </c>
      <c r="J22" s="905">
        <f>'Disclosed financials'!J264</f>
        <v>100.32800000000003</v>
      </c>
      <c r="K22" s="902">
        <f>'Disclosed financials'!K264</f>
        <v>94.672000000000025</v>
      </c>
      <c r="L22" s="905">
        <f>'Disclosed financials'!L264</f>
        <v>116.471</v>
      </c>
      <c r="M22" s="902">
        <f>'Disclosed financials'!M264</f>
        <v>111.67200000000003</v>
      </c>
      <c r="N22" s="905">
        <f>'Disclosed financials'!N264</f>
        <v>124.0329999999999</v>
      </c>
      <c r="O22" s="902">
        <f>'Disclosed financials'!O264</f>
        <v>134.46400000000006</v>
      </c>
      <c r="P22" s="905">
        <f>'Disclosed financials'!P264</f>
        <v>141.89399999999989</v>
      </c>
      <c r="Q22" s="902">
        <f>'Disclosed financials'!Q264</f>
        <v>150.21100000000007</v>
      </c>
      <c r="R22" s="905">
        <f>'Disclosed financials'!R264</f>
        <v>176.99899999999985</v>
      </c>
      <c r="S22" s="902">
        <f>'Disclosed financials'!S264</f>
        <v>177.05399999999997</v>
      </c>
      <c r="T22" s="902">
        <f>'Disclosed financials'!T264</f>
        <v>196.77600000000001</v>
      </c>
      <c r="U22" s="904">
        <f>'Disclosed financials'!U264</f>
        <v>196.51400000000001</v>
      </c>
      <c r="V22" s="906">
        <f>'Disclosed financials'!V264</f>
        <v>221.23899999999998</v>
      </c>
      <c r="W22" s="1199">
        <f>+U22*1.12</f>
        <v>220.09568000000004</v>
      </c>
      <c r="X22" s="1199">
        <f>+V22*1.12</f>
        <v>247.78767999999999</v>
      </c>
      <c r="Y22" s="908"/>
      <c r="Z22" s="905">
        <f>'Disclosed financials'!AE264</f>
        <v>3.1774810000000002</v>
      </c>
      <c r="AA22" s="909">
        <f>'Disclosed financials'!AF264</f>
        <v>4.5370400000000011</v>
      </c>
      <c r="AB22" s="909">
        <f>'Disclosed financials'!AG264</f>
        <v>7.152474999999999</v>
      </c>
      <c r="AC22" s="909">
        <f>'Disclosed financials'!AH264</f>
        <v>7.3485730000000018</v>
      </c>
      <c r="AD22" s="909">
        <f>'Disclosed financials'!AI264</f>
        <v>8.7063690000000022</v>
      </c>
      <c r="AE22" s="904">
        <f>'Disclosed financials'!AJ264</f>
        <v>8.562453000000005</v>
      </c>
      <c r="AF22" s="902">
        <f>'Disclosed financials'!AK264</f>
        <v>10.858686999999996</v>
      </c>
      <c r="AG22" s="902">
        <f>'Disclosed financials'!AL264</f>
        <v>15.195045000000007</v>
      </c>
      <c r="AH22" s="902">
        <f>'Disclosed financials'!AM264</f>
        <v>19.758426999999998</v>
      </c>
      <c r="AI22" s="902">
        <f>'Disclosed financials'!AN264</f>
        <v>22.08221300000001</v>
      </c>
      <c r="AJ22" s="902">
        <f>'Disclosed financials'!AO264</f>
        <v>28.518751999999992</v>
      </c>
      <c r="AK22" s="902">
        <f>'Disclosed financials'!AP264</f>
        <v>43.306200999999987</v>
      </c>
      <c r="AL22" s="902">
        <f>'Disclosed financials'!AQ264</f>
        <v>56.284425999999996</v>
      </c>
      <c r="AM22" s="902">
        <f>'Disclosed financials'!AR264</f>
        <v>70.510999999999967</v>
      </c>
      <c r="AN22" s="902">
        <f>'Disclosed financials'!AS264</f>
        <v>88.521000000000015</v>
      </c>
      <c r="AO22" s="902">
        <f>SUM(C22:D22)</f>
        <v>102.77500000000001</v>
      </c>
      <c r="AP22" s="902">
        <f>'Disclosed financials'!AU264</f>
        <v>120.71699999999998</v>
      </c>
      <c r="AQ22" s="902">
        <f>'Disclosed financials'!AV264</f>
        <v>136.303</v>
      </c>
      <c r="AR22" s="902">
        <f>'Disclosed financials'!AW264</f>
        <v>175.16300000000001</v>
      </c>
      <c r="AS22" s="902">
        <f>'Disclosed financials'!AX264</f>
        <v>211.14300000000003</v>
      </c>
      <c r="AT22" s="902">
        <f>'Disclosed financials'!AY264</f>
        <v>235.70499999999993</v>
      </c>
      <c r="AU22" s="902">
        <f>'Disclosed financials'!AZ264</f>
        <v>276.35799999999995</v>
      </c>
      <c r="AV22" s="902">
        <f>'Disclosed financials'!BA264</f>
        <v>327.20999999999992</v>
      </c>
      <c r="AW22" s="902">
        <f>SUM(S22:T22)</f>
        <v>373.83</v>
      </c>
      <c r="AX22" s="906">
        <f>SUM(U22:V22)</f>
        <v>417.75299999999999</v>
      </c>
      <c r="AY22" s="902">
        <f>+SUM(W22:X22)</f>
        <v>467.88336000000004</v>
      </c>
      <c r="AZ22" s="902"/>
      <c r="BA22" s="903"/>
      <c r="BB22" s="910">
        <f>(AE22/Z22)^(1/5)-1</f>
        <v>0.21927887022176473</v>
      </c>
      <c r="BC22" s="911">
        <f>(AJ22/AE22)^(1/5)-1</f>
        <v>0.27205668074610689</v>
      </c>
      <c r="BD22" s="912">
        <f>(AO22/AJ22)^(1/5)-1</f>
        <v>0.29226444006753027</v>
      </c>
      <c r="BE22" s="913">
        <f>(AO22/AE22)^(1/10)-1</f>
        <v>0.28212074871227677</v>
      </c>
      <c r="BF22" s="912">
        <f>(AO22/Z22)^(1/15)-1</f>
        <v>0.26082158394114052</v>
      </c>
      <c r="BH22" s="1295">
        <f>+SUM(N22:O22)</f>
        <v>258.49699999999996</v>
      </c>
      <c r="BI22" s="1295">
        <f>+SUM(P22:Q22)</f>
        <v>292.10499999999996</v>
      </c>
      <c r="BJ22" s="1295">
        <f>+SUM(R22:S22)</f>
        <v>354.05299999999983</v>
      </c>
      <c r="BK22" s="1295">
        <f>+SUM(T22:U22)</f>
        <v>393.29</v>
      </c>
      <c r="BL22" s="1295">
        <f>+SUM(V22:W22)</f>
        <v>441.33468000000005</v>
      </c>
      <c r="BN22" s="1295"/>
    </row>
    <row r="23" spans="1:66" ht="14.5" x14ac:dyDescent="0.35">
      <c r="A23" s="914" t="s">
        <v>37</v>
      </c>
      <c r="B23" s="759"/>
      <c r="C23" s="916"/>
      <c r="D23" s="916"/>
      <c r="E23" s="916">
        <f>E22/C22-1</f>
        <v>0.15086086751431282</v>
      </c>
      <c r="F23" s="916">
        <f t="shared" ref="F23" si="82">F22/D22-1</f>
        <v>0.19427818155906973</v>
      </c>
      <c r="G23" s="917">
        <f>G22/E22-1</f>
        <v>0.14205868653935694</v>
      </c>
      <c r="H23" s="918">
        <f t="shared" ref="H23" si="83">H22/F22-1</f>
        <v>0.11874645744458734</v>
      </c>
      <c r="I23" s="916">
        <f t="shared" ref="I23" si="84">I22/G22-1</f>
        <v>0.22079934747145158</v>
      </c>
      <c r="J23" s="918">
        <f t="shared" ref="J23" si="85">J22/H22-1</f>
        <v>0.33765316054024552</v>
      </c>
      <c r="K23" s="916">
        <f t="shared" ref="K23" si="86">K22/I22-1</f>
        <v>0.26507650163693519</v>
      </c>
      <c r="L23" s="918">
        <f t="shared" ref="L23" si="87">L22/J22-1</f>
        <v>0.1609022406506655</v>
      </c>
      <c r="M23" s="916">
        <f t="shared" ref="M23" si="88">M22/K22-1</f>
        <v>0.1795673483184046</v>
      </c>
      <c r="N23" s="918">
        <f t="shared" ref="N23" si="89">N22/L22-1</f>
        <v>6.4926033089781177E-2</v>
      </c>
      <c r="O23" s="916">
        <f t="shared" ref="O23" si="90">O22/M22-1</f>
        <v>0.20409771473601279</v>
      </c>
      <c r="P23" s="918">
        <f t="shared" ref="P23" si="91">P22/N22-1</f>
        <v>0.14400199946788361</v>
      </c>
      <c r="Q23" s="916">
        <f t="shared" ref="Q23" si="92">Q22/O22-1</f>
        <v>0.11710941218467408</v>
      </c>
      <c r="R23" s="918">
        <f t="shared" ref="R23" si="93">R22/P22-1</f>
        <v>0.24740299096508656</v>
      </c>
      <c r="S23" s="916">
        <f t="shared" ref="S23" si="94">S22/Q22-1</f>
        <v>0.17870195924399601</v>
      </c>
      <c r="T23" s="916">
        <f t="shared" ref="T23" si="95">T22/R22-1</f>
        <v>0.11173509454855779</v>
      </c>
      <c r="U23" s="917">
        <f t="shared" ref="U23" si="96">U22/S22-1</f>
        <v>0.10990997096930899</v>
      </c>
      <c r="V23" s="919">
        <f t="shared" ref="V23" si="97">V22/T22-1</f>
        <v>0.12431902264503791</v>
      </c>
      <c r="W23" s="916">
        <f t="shared" ref="W23" si="98">W22/U22-1</f>
        <v>0.12000000000000011</v>
      </c>
      <c r="X23" s="916">
        <f t="shared" ref="X23" si="99">X22/V22-1</f>
        <v>0.12000000000000011</v>
      </c>
      <c r="Y23" s="938"/>
      <c r="Z23" s="918" t="str">
        <f>IFERROR(Z22/#REF!-1,"")</f>
        <v/>
      </c>
      <c r="AA23" s="920">
        <f t="shared" ref="AA23:AO23" si="100">IFERROR(AA22/Z22-1,"")</f>
        <v>0.42787321151566315</v>
      </c>
      <c r="AB23" s="920">
        <f t="shared" si="100"/>
        <v>0.57646284802426195</v>
      </c>
      <c r="AC23" s="920">
        <f t="shared" si="100"/>
        <v>2.7416803274391333E-2</v>
      </c>
      <c r="AD23" s="920">
        <f t="shared" si="100"/>
        <v>0.18477002269692355</v>
      </c>
      <c r="AE23" s="917">
        <f t="shared" si="100"/>
        <v>-1.6529967889024388E-2</v>
      </c>
      <c r="AF23" s="916">
        <f t="shared" si="100"/>
        <v>0.26817478589371402</v>
      </c>
      <c r="AG23" s="916">
        <f t="shared" si="100"/>
        <v>0.39934459847677828</v>
      </c>
      <c r="AH23" s="916">
        <f t="shared" si="100"/>
        <v>0.30032040049897768</v>
      </c>
      <c r="AI23" s="916">
        <f t="shared" si="100"/>
        <v>0.11760986843740207</v>
      </c>
      <c r="AJ23" s="916">
        <f t="shared" si="100"/>
        <v>0.2914807044022254</v>
      </c>
      <c r="AK23" s="916">
        <f t="shared" si="100"/>
        <v>0.51851669385813226</v>
      </c>
      <c r="AL23" s="916">
        <f t="shared" si="100"/>
        <v>0.29968514208854313</v>
      </c>
      <c r="AM23" s="916">
        <f t="shared" si="100"/>
        <v>0.25276217616574748</v>
      </c>
      <c r="AN23" s="916">
        <f t="shared" si="100"/>
        <v>0.25542113996397808</v>
      </c>
      <c r="AO23" s="916">
        <f t="shared" si="100"/>
        <v>0.16102393782266344</v>
      </c>
      <c r="AP23" s="916">
        <f t="shared" ref="AP23" si="101">IFERROR(AP22/AO22-1,"")</f>
        <v>0.17457552906835305</v>
      </c>
      <c r="AQ23" s="916">
        <f t="shared" ref="AQ23" si="102">IFERROR(AQ22/AP22-1,"")</f>
        <v>0.12911188979182731</v>
      </c>
      <c r="AR23" s="916">
        <f t="shared" ref="AR23" si="103">IFERROR(AR22/AQ22-1,"")</f>
        <v>0.28510010784795647</v>
      </c>
      <c r="AS23" s="916">
        <f t="shared" ref="AS23" si="104">IFERROR(AS22/AR22-1,"")</f>
        <v>0.20540867648989813</v>
      </c>
      <c r="AT23" s="916">
        <f t="shared" ref="AT23" si="105">IFERROR(AT22/AS22-1,"")</f>
        <v>0.11632874402655968</v>
      </c>
      <c r="AU23" s="916">
        <f t="shared" ref="AU23" si="106">IFERROR(AU22/AT22-1,"")</f>
        <v>0.17247406716022162</v>
      </c>
      <c r="AV23" s="916">
        <f t="shared" ref="AV23" si="107">IFERROR(AV22/AU22-1,"")</f>
        <v>0.1840077001570426</v>
      </c>
      <c r="AW23" s="916">
        <f t="shared" ref="AW23" si="108">IFERROR(AW22/AV22-1,"")</f>
        <v>0.14247730815072912</v>
      </c>
      <c r="AX23" s="919">
        <f t="shared" ref="AX23" si="109">IFERROR(AX22/AW22-1,"")</f>
        <v>0.11749458309926974</v>
      </c>
      <c r="AY23" s="916">
        <f t="shared" ref="AY23" si="110">IFERROR(AY22/AX22-1,"")</f>
        <v>0.12000000000000011</v>
      </c>
      <c r="AZ23" s="916"/>
      <c r="BA23" s="759"/>
      <c r="BB23" s="910"/>
      <c r="BC23" s="911"/>
      <c r="BD23" s="912"/>
      <c r="BE23" s="913"/>
      <c r="BF23" s="912"/>
      <c r="BI23" s="1120">
        <f>+BI22/BH22-1</f>
        <v>0.13001311427211926</v>
      </c>
      <c r="BJ23" s="1120">
        <f>+BJ22/BI22-1</f>
        <v>0.2120744252922746</v>
      </c>
      <c r="BK23" s="1120">
        <f t="shared" ref="BK23:BL23" si="111">+BK22/BJ22-1</f>
        <v>0.11082239099795843</v>
      </c>
      <c r="BL23" s="1120">
        <f t="shared" si="111"/>
        <v>0.12216094993516236</v>
      </c>
    </row>
    <row r="24" spans="1:66" ht="14.5" x14ac:dyDescent="0.35">
      <c r="A24" s="914" t="s">
        <v>1488</v>
      </c>
      <c r="B24" s="916"/>
      <c r="C24" s="916">
        <f t="shared" ref="C24" si="112">+C23</f>
        <v>0</v>
      </c>
      <c r="D24" s="916">
        <f t="shared" ref="D24" si="113">+D23</f>
        <v>0</v>
      </c>
      <c r="E24" s="916">
        <f>+E23</f>
        <v>0.15086086751431282</v>
      </c>
      <c r="F24" s="916">
        <f t="shared" ref="F24" si="114">+F23</f>
        <v>0.19427818155906973</v>
      </c>
      <c r="G24" s="917">
        <f t="shared" ref="G24" si="115">+G23</f>
        <v>0.14205868653935694</v>
      </c>
      <c r="H24" s="918">
        <f t="shared" ref="H24" si="116">+H23</f>
        <v>0.11874645744458734</v>
      </c>
      <c r="I24" s="916">
        <f t="shared" ref="I24" si="117">+I23</f>
        <v>0.22079934747145158</v>
      </c>
      <c r="J24" s="918">
        <f t="shared" ref="J24" si="118">+J23</f>
        <v>0.33765316054024552</v>
      </c>
      <c r="K24" s="916">
        <f t="shared" ref="K24" si="119">+K23</f>
        <v>0.26507650163693519</v>
      </c>
      <c r="L24" s="918">
        <f t="shared" ref="L24" si="120">+L23</f>
        <v>0.1609022406506655</v>
      </c>
      <c r="M24" s="916">
        <f t="shared" ref="M24" si="121">+M23</f>
        <v>0.1795673483184046</v>
      </c>
      <c r="N24" s="918">
        <f t="shared" ref="N24" si="122">+N23</f>
        <v>6.4926033089781177E-2</v>
      </c>
      <c r="O24" s="916">
        <f t="shared" ref="O24" si="123">+O23</f>
        <v>0.20409771473601279</v>
      </c>
      <c r="P24" s="918">
        <f t="shared" ref="P24" si="124">+P23</f>
        <v>0.14400199946788361</v>
      </c>
      <c r="Q24" s="916">
        <f t="shared" ref="Q24" si="125">+Q23</f>
        <v>0.11710941218467408</v>
      </c>
      <c r="R24" s="918">
        <f t="shared" ref="R24" si="126">+R23</f>
        <v>0.24740299096508656</v>
      </c>
      <c r="S24" s="916">
        <f t="shared" ref="S24" si="127">+S23</f>
        <v>0.17870195924399601</v>
      </c>
      <c r="T24" s="916">
        <f t="shared" ref="T24" si="128">+T23</f>
        <v>0.11173509454855779</v>
      </c>
      <c r="U24" s="917">
        <f t="shared" ref="U24" si="129">+U23</f>
        <v>0.10990997096930899</v>
      </c>
      <c r="V24" s="919">
        <f t="shared" ref="V24" si="130">+V23</f>
        <v>0.12431902264503791</v>
      </c>
      <c r="W24" s="916">
        <f t="shared" ref="W24" si="131">+W23</f>
        <v>0.12000000000000011</v>
      </c>
      <c r="X24" s="916">
        <f t="shared" ref="X24" si="132">+X23</f>
        <v>0.12000000000000011</v>
      </c>
      <c r="Y24" s="915"/>
      <c r="Z24" s="918" t="str">
        <f t="shared" ref="Z24" si="133">+Z23</f>
        <v/>
      </c>
      <c r="AA24" s="920">
        <f t="shared" ref="AA24" si="134">+AA23</f>
        <v>0.42787321151566315</v>
      </c>
      <c r="AB24" s="920">
        <f t="shared" ref="AB24" si="135">+AB23</f>
        <v>0.57646284802426195</v>
      </c>
      <c r="AC24" s="920">
        <f t="shared" ref="AC24" si="136">+AC23</f>
        <v>2.7416803274391333E-2</v>
      </c>
      <c r="AD24" s="920">
        <f t="shared" ref="AD24" si="137">+AD23</f>
        <v>0.18477002269692355</v>
      </c>
      <c r="AE24" s="917">
        <f t="shared" ref="AE24" si="138">+AE23</f>
        <v>-1.6529967889024388E-2</v>
      </c>
      <c r="AF24" s="916">
        <f t="shared" ref="AF24" si="139">+AF23</f>
        <v>0.26817478589371402</v>
      </c>
      <c r="AG24" s="916">
        <f t="shared" ref="AG24" si="140">+AG23</f>
        <v>0.39934459847677828</v>
      </c>
      <c r="AH24" s="916">
        <f t="shared" ref="AH24" si="141">+AH23</f>
        <v>0.30032040049897768</v>
      </c>
      <c r="AI24" s="916">
        <f t="shared" ref="AI24" si="142">+AI23</f>
        <v>0.11760986843740207</v>
      </c>
      <c r="AJ24" s="916">
        <f t="shared" ref="AJ24" si="143">+AJ23</f>
        <v>0.2914807044022254</v>
      </c>
      <c r="AK24" s="916">
        <f t="shared" ref="AK24" si="144">+AK23</f>
        <v>0.51851669385813226</v>
      </c>
      <c r="AL24" s="916">
        <f t="shared" ref="AL24" si="145">+AL23</f>
        <v>0.29968514208854313</v>
      </c>
      <c r="AM24" s="916">
        <f t="shared" ref="AM24" si="146">+AM23</f>
        <v>0.25276217616574748</v>
      </c>
      <c r="AN24" s="916">
        <f t="shared" ref="AN24" si="147">+AN23</f>
        <v>0.25542113996397808</v>
      </c>
      <c r="AO24" s="916">
        <f t="shared" ref="AO24" si="148">+AO23</f>
        <v>0.16102393782266344</v>
      </c>
      <c r="AP24" s="916">
        <f t="shared" ref="AP24" si="149">+AP23</f>
        <v>0.17457552906835305</v>
      </c>
      <c r="AQ24" s="916">
        <f t="shared" ref="AQ24" si="150">+AQ23</f>
        <v>0.12911188979182731</v>
      </c>
      <c r="AR24" s="916">
        <f t="shared" ref="AR24" si="151">+AR23</f>
        <v>0.28510010784795647</v>
      </c>
      <c r="AS24" s="916">
        <f t="shared" ref="AS24" si="152">+AS23</f>
        <v>0.20540867648989813</v>
      </c>
      <c r="AT24" s="916">
        <f t="shared" ref="AT24" si="153">+AT23</f>
        <v>0.11632874402655968</v>
      </c>
      <c r="AU24" s="916">
        <f t="shared" ref="AU24" si="154">+AU23</f>
        <v>0.17247406716022162</v>
      </c>
      <c r="AV24" s="916">
        <f t="shared" ref="AV24" si="155">+AV23</f>
        <v>0.1840077001570426</v>
      </c>
      <c r="AW24" s="916">
        <f t="shared" ref="AW24" si="156">+AW23</f>
        <v>0.14247730815072912</v>
      </c>
      <c r="AX24" s="919">
        <f t="shared" ref="AX24" si="157">+AX23</f>
        <v>0.11749458309926974</v>
      </c>
      <c r="AY24" s="916">
        <f t="shared" ref="AY24" si="158">+AY23</f>
        <v>0.12000000000000011</v>
      </c>
      <c r="AZ24" s="916"/>
      <c r="BA24" s="915"/>
      <c r="BB24" s="921"/>
      <c r="BC24" s="922"/>
      <c r="BD24" s="923"/>
      <c r="BE24" s="924"/>
      <c r="BF24" s="923"/>
    </row>
    <row r="25" spans="1:66" ht="14.5" x14ac:dyDescent="0.35">
      <c r="A25" s="914" t="s">
        <v>38</v>
      </c>
      <c r="B25" s="759"/>
      <c r="C25" s="926"/>
      <c r="D25" s="926">
        <f>+D22-C22</f>
        <v>9.4970000000000425</v>
      </c>
      <c r="E25" s="926">
        <f>+E22-D22</f>
        <v>-2.4610000000000127</v>
      </c>
      <c r="F25" s="927">
        <f t="shared" ref="F25:J25" si="159">+F22-E22</f>
        <v>13.366999999999962</v>
      </c>
      <c r="G25" s="928">
        <f t="shared" si="159"/>
        <v>-5.741999999999976</v>
      </c>
      <c r="H25" s="929">
        <f t="shared" si="159"/>
        <v>13.703000000000003</v>
      </c>
      <c r="I25" s="926">
        <f t="shared" si="159"/>
        <v>-0.16800000000002058</v>
      </c>
      <c r="J25" s="929">
        <f t="shared" si="159"/>
        <v>25.493000000000052</v>
      </c>
      <c r="K25" s="926">
        <f t="shared" ref="K25:S25" si="160">+K22-J22</f>
        <v>-5.6560000000000059</v>
      </c>
      <c r="L25" s="929">
        <f t="shared" si="160"/>
        <v>21.798999999999978</v>
      </c>
      <c r="M25" s="926">
        <f t="shared" si="160"/>
        <v>-4.7989999999999782</v>
      </c>
      <c r="N25" s="929">
        <f t="shared" si="160"/>
        <v>12.360999999999876</v>
      </c>
      <c r="O25" s="926">
        <f t="shared" si="160"/>
        <v>10.431000000000154</v>
      </c>
      <c r="P25" s="929">
        <f t="shared" si="160"/>
        <v>7.4299999999998363</v>
      </c>
      <c r="Q25" s="926">
        <f t="shared" si="160"/>
        <v>8.3170000000001778</v>
      </c>
      <c r="R25" s="929">
        <f t="shared" si="160"/>
        <v>26.787999999999784</v>
      </c>
      <c r="S25" s="926">
        <f t="shared" si="160"/>
        <v>5.5000000000120508E-2</v>
      </c>
      <c r="T25" s="926">
        <f t="shared" ref="T25" si="161">+T22-S22</f>
        <v>19.722000000000037</v>
      </c>
      <c r="U25" s="928">
        <f t="shared" ref="U25" si="162">+U22-T22</f>
        <v>-0.26200000000000045</v>
      </c>
      <c r="V25" s="930">
        <f t="shared" ref="V25" si="163">+V22-U22</f>
        <v>24.724999999999966</v>
      </c>
      <c r="W25" s="926">
        <f t="shared" ref="W25" si="164">+W22-V22</f>
        <v>-1.1433199999999317</v>
      </c>
      <c r="X25" s="926">
        <f t="shared" ref="X25" si="165">+X22-W22</f>
        <v>27.69199999999995</v>
      </c>
      <c r="Y25" s="931"/>
      <c r="Z25" s="929"/>
      <c r="AA25" s="932"/>
      <c r="AB25" s="932"/>
      <c r="AC25" s="932"/>
      <c r="AD25" s="932"/>
      <c r="AE25" s="928"/>
      <c r="AF25" s="926">
        <f t="shared" ref="AF25:AR25" si="166">+AF22-AE22</f>
        <v>2.2962339999999912</v>
      </c>
      <c r="AG25" s="926">
        <f t="shared" si="166"/>
        <v>4.3363580000000113</v>
      </c>
      <c r="AH25" s="926">
        <f t="shared" si="166"/>
        <v>4.5633819999999901</v>
      </c>
      <c r="AI25" s="926">
        <f t="shared" si="166"/>
        <v>2.3237860000000126</v>
      </c>
      <c r="AJ25" s="926">
        <f t="shared" si="166"/>
        <v>6.436538999999982</v>
      </c>
      <c r="AK25" s="926">
        <f t="shared" si="166"/>
        <v>14.787448999999995</v>
      </c>
      <c r="AL25" s="926">
        <f t="shared" si="166"/>
        <v>12.978225000000009</v>
      </c>
      <c r="AM25" s="926">
        <f t="shared" si="166"/>
        <v>14.226573999999971</v>
      </c>
      <c r="AN25" s="926">
        <f t="shared" si="166"/>
        <v>18.010000000000048</v>
      </c>
      <c r="AO25" s="926">
        <f t="shared" si="166"/>
        <v>14.253999999999991</v>
      </c>
      <c r="AP25" s="926">
        <f t="shared" si="166"/>
        <v>17.941999999999979</v>
      </c>
      <c r="AQ25" s="926">
        <f t="shared" si="166"/>
        <v>15.586000000000013</v>
      </c>
      <c r="AR25" s="926">
        <f t="shared" si="166"/>
        <v>38.860000000000014</v>
      </c>
      <c r="AS25" s="926">
        <f t="shared" ref="AS25:AV25" si="167">+AS22-AR22</f>
        <v>35.980000000000018</v>
      </c>
      <c r="AT25" s="926">
        <f t="shared" si="167"/>
        <v>24.561999999999898</v>
      </c>
      <c r="AU25" s="926">
        <f t="shared" si="167"/>
        <v>40.65300000000002</v>
      </c>
      <c r="AV25" s="926">
        <f t="shared" si="167"/>
        <v>50.851999999999975</v>
      </c>
      <c r="AW25" s="926">
        <f t="shared" ref="AW25:AX25" si="168">+AW22-AV22</f>
        <v>46.620000000000061</v>
      </c>
      <c r="AX25" s="930">
        <f t="shared" si="168"/>
        <v>43.923000000000002</v>
      </c>
      <c r="AY25" s="926">
        <f t="shared" ref="AY25" si="169">+AY22-AX22</f>
        <v>50.130360000000053</v>
      </c>
      <c r="AZ25" s="916"/>
      <c r="BA25" s="759"/>
      <c r="BB25" s="910"/>
      <c r="BC25" s="911"/>
      <c r="BD25" s="912"/>
      <c r="BE25" s="913"/>
      <c r="BF25" s="912"/>
    </row>
    <row r="26" spans="1:66" ht="14.5" x14ac:dyDescent="0.35">
      <c r="A26" s="914" t="s">
        <v>143</v>
      </c>
      <c r="B26" s="759"/>
      <c r="C26" s="1142"/>
      <c r="D26" s="1142"/>
      <c r="E26" s="1142">
        <f>+E22-C22</f>
        <v>7.0360000000000298</v>
      </c>
      <c r="F26" s="1143">
        <f t="shared" ref="F26:J26" si="170">+F22-D22</f>
        <v>10.905999999999949</v>
      </c>
      <c r="G26" s="1144">
        <f t="shared" si="170"/>
        <v>7.6249999999999858</v>
      </c>
      <c r="H26" s="1145">
        <f t="shared" si="170"/>
        <v>7.9610000000000269</v>
      </c>
      <c r="I26" s="1142">
        <f t="shared" si="170"/>
        <v>13.534999999999982</v>
      </c>
      <c r="J26" s="1145">
        <f t="shared" si="170"/>
        <v>25.325000000000031</v>
      </c>
      <c r="K26" s="1142">
        <f t="shared" ref="K26" si="171">+K22-I22</f>
        <v>19.837000000000046</v>
      </c>
      <c r="L26" s="1145">
        <f t="shared" ref="L26" si="172">+L22-J22</f>
        <v>16.142999999999972</v>
      </c>
      <c r="M26" s="1142">
        <f t="shared" ref="M26" si="173">+M22-K22</f>
        <v>17</v>
      </c>
      <c r="N26" s="1145">
        <f t="shared" ref="N26" si="174">+N22-L22</f>
        <v>7.5619999999998981</v>
      </c>
      <c r="O26" s="1142">
        <f t="shared" ref="O26" si="175">+O22-M22</f>
        <v>22.79200000000003</v>
      </c>
      <c r="P26" s="1145">
        <f t="shared" ref="P26" si="176">+P22-N22</f>
        <v>17.86099999999999</v>
      </c>
      <c r="Q26" s="1142">
        <f t="shared" ref="Q26" si="177">+Q22-O22</f>
        <v>15.747000000000014</v>
      </c>
      <c r="R26" s="1145">
        <f t="shared" ref="R26" si="178">+R22-P22</f>
        <v>35.104999999999961</v>
      </c>
      <c r="S26" s="1142">
        <f t="shared" ref="S26" si="179">+S22-Q22</f>
        <v>26.842999999999904</v>
      </c>
      <c r="T26" s="1142">
        <f t="shared" ref="T26" si="180">+T22-R22</f>
        <v>19.777000000000157</v>
      </c>
      <c r="U26" s="1144">
        <f t="shared" ref="U26" si="181">+U22-S22</f>
        <v>19.460000000000036</v>
      </c>
      <c r="V26" s="1146">
        <f t="shared" ref="V26" si="182">+V22-T22</f>
        <v>24.462999999999965</v>
      </c>
      <c r="W26" s="1142">
        <f t="shared" ref="W26" si="183">+W22-U22</f>
        <v>23.581680000000034</v>
      </c>
      <c r="X26" s="1142">
        <f t="shared" ref="X26" si="184">+X22-V22</f>
        <v>26.548680000000019</v>
      </c>
      <c r="Y26" s="1147"/>
      <c r="Z26" s="1145"/>
      <c r="AA26" s="1148"/>
      <c r="AB26" s="1148"/>
      <c r="AC26" s="1148"/>
      <c r="AD26" s="1148"/>
      <c r="AE26" s="1144"/>
      <c r="AF26" s="1142">
        <f>+AF25</f>
        <v>2.2962339999999912</v>
      </c>
      <c r="AG26" s="1142">
        <f t="shared" ref="AG26:AR26" si="185">+AG25</f>
        <v>4.3363580000000113</v>
      </c>
      <c r="AH26" s="1142">
        <f t="shared" si="185"/>
        <v>4.5633819999999901</v>
      </c>
      <c r="AI26" s="1142">
        <f t="shared" si="185"/>
        <v>2.3237860000000126</v>
      </c>
      <c r="AJ26" s="1142">
        <f t="shared" si="185"/>
        <v>6.436538999999982</v>
      </c>
      <c r="AK26" s="1142">
        <f t="shared" si="185"/>
        <v>14.787448999999995</v>
      </c>
      <c r="AL26" s="1142">
        <f t="shared" si="185"/>
        <v>12.978225000000009</v>
      </c>
      <c r="AM26" s="1142">
        <f t="shared" si="185"/>
        <v>14.226573999999971</v>
      </c>
      <c r="AN26" s="1142">
        <f t="shared" si="185"/>
        <v>18.010000000000048</v>
      </c>
      <c r="AO26" s="1142">
        <f t="shared" si="185"/>
        <v>14.253999999999991</v>
      </c>
      <c r="AP26" s="1142">
        <f t="shared" si="185"/>
        <v>17.941999999999979</v>
      </c>
      <c r="AQ26" s="1142">
        <f t="shared" si="185"/>
        <v>15.586000000000013</v>
      </c>
      <c r="AR26" s="1142">
        <f t="shared" si="185"/>
        <v>38.860000000000014</v>
      </c>
      <c r="AS26" s="1142">
        <f t="shared" ref="AS26" si="186">+AS25</f>
        <v>35.980000000000018</v>
      </c>
      <c r="AT26" s="1142">
        <f t="shared" ref="AT26" si="187">+AT25</f>
        <v>24.561999999999898</v>
      </c>
      <c r="AU26" s="1142">
        <f t="shared" ref="AU26" si="188">+AU25</f>
        <v>40.65300000000002</v>
      </c>
      <c r="AV26" s="1142">
        <f t="shared" ref="AV26" si="189">+AV25</f>
        <v>50.851999999999975</v>
      </c>
      <c r="AW26" s="1142">
        <f t="shared" ref="AW26" si="190">+AW25</f>
        <v>46.620000000000061</v>
      </c>
      <c r="AX26" s="1146">
        <f t="shared" ref="AX26:AY26" si="191">+AX25</f>
        <v>43.923000000000002</v>
      </c>
      <c r="AY26" s="1142">
        <f t="shared" si="191"/>
        <v>50.130360000000053</v>
      </c>
      <c r="AZ26" s="916"/>
      <c r="BA26" s="759"/>
      <c r="BB26" s="910"/>
      <c r="BC26" s="911"/>
      <c r="BD26" s="912"/>
      <c r="BE26" s="913"/>
      <c r="BF26" s="912"/>
    </row>
    <row r="27" spans="1:66" ht="14.5" x14ac:dyDescent="0.35">
      <c r="A27" s="914" t="str">
        <f>+A19</f>
        <v>% of Invoiced Income</v>
      </c>
      <c r="B27" s="759"/>
      <c r="C27" s="916">
        <f>IFERROR(C22/C9,"")</f>
        <v>0.17545331427281613</v>
      </c>
      <c r="D27" s="916">
        <f>IFERROR(D22/D9,"")</f>
        <v>0.16997311241915566</v>
      </c>
      <c r="E27" s="916">
        <f>IFERROR(E22/E$9,"")</f>
        <v>0.18282236172089747</v>
      </c>
      <c r="F27" s="916">
        <f>IFERROR(F22/F$9,"")</f>
        <v>0.17700390748759101</v>
      </c>
      <c r="G27" s="917">
        <f>IFERROR(G22/G$9,"")</f>
        <v>0.16195508586525759</v>
      </c>
      <c r="H27" s="918">
        <f t="shared" ref="H27" si="192">IFERROR(H22/H$9,"")</f>
        <v>0.16521357957248842</v>
      </c>
      <c r="I27" s="916">
        <f t="shared" ref="I27:J27" si="193">IFERROR(I22/I$9,"")</f>
        <v>0.15826606294266801</v>
      </c>
      <c r="J27" s="918">
        <f t="shared" si="193"/>
        <v>0.164786847011095</v>
      </c>
      <c r="K27" s="916">
        <f t="shared" ref="K27:S27" si="194">IFERROR(K22/K$9,"")</f>
        <v>0.15577304049651508</v>
      </c>
      <c r="L27" s="918">
        <f t="shared" si="194"/>
        <v>0.14444976361390438</v>
      </c>
      <c r="M27" s="916">
        <f t="shared" si="194"/>
        <v>0.15345420366568555</v>
      </c>
      <c r="N27" s="918">
        <f t="shared" si="194"/>
        <v>0.13504320777293508</v>
      </c>
      <c r="O27" s="916">
        <f t="shared" si="194"/>
        <v>0.1544114945063022</v>
      </c>
      <c r="P27" s="918">
        <f t="shared" si="194"/>
        <v>0.13290634155845119</v>
      </c>
      <c r="Q27" s="916">
        <f t="shared" si="194"/>
        <v>0.12967770285261429</v>
      </c>
      <c r="R27" s="918">
        <f t="shared" si="194"/>
        <v>0.13118850041061481</v>
      </c>
      <c r="S27" s="916">
        <f t="shared" si="194"/>
        <v>0.14575608695938513</v>
      </c>
      <c r="T27" s="916">
        <f t="shared" ref="T27:U27" si="195">IFERROR(T22/T$9,"")</f>
        <v>0.14594681191925662</v>
      </c>
      <c r="U27" s="917">
        <f t="shared" si="195"/>
        <v>0.15553146022952119</v>
      </c>
      <c r="V27" s="919">
        <f t="shared" ref="V27" si="196">IFERROR(V22/V$9,"")</f>
        <v>0.13925788380436835</v>
      </c>
      <c r="W27" s="916">
        <f t="shared" ref="W27:X27" si="197">IFERROR(W22/W$9,"")</f>
        <v>0.15553146022952119</v>
      </c>
      <c r="X27" s="916">
        <f t="shared" si="197"/>
        <v>0.13925788380436835</v>
      </c>
      <c r="Y27" s="938"/>
      <c r="Z27" s="918">
        <f t="shared" ref="Z27:AX27" si="198">IFERROR(Z22/Z9,"")</f>
        <v>0.1729979296747097</v>
      </c>
      <c r="AA27" s="920">
        <f t="shared" si="198"/>
        <v>0.14236544199577209</v>
      </c>
      <c r="AB27" s="920">
        <f t="shared" si="198"/>
        <v>0.1852562690461399</v>
      </c>
      <c r="AC27" s="920">
        <f t="shared" si="198"/>
        <v>0.18614801955394786</v>
      </c>
      <c r="AD27" s="920">
        <f t="shared" si="198"/>
        <v>0.17026995503350517</v>
      </c>
      <c r="AE27" s="917">
        <f t="shared" si="198"/>
        <v>0.149942374530772</v>
      </c>
      <c r="AF27" s="916">
        <f t="shared" si="198"/>
        <v>0.16140055005596857</v>
      </c>
      <c r="AG27" s="916">
        <f t="shared" si="198"/>
        <v>0.17045795292080837</v>
      </c>
      <c r="AH27" s="916">
        <f t="shared" si="198"/>
        <v>0.19198613664233918</v>
      </c>
      <c r="AI27" s="916">
        <f t="shared" si="198"/>
        <v>0.19522043938461622</v>
      </c>
      <c r="AJ27" s="916">
        <f t="shared" si="198"/>
        <v>0.19566708658944551</v>
      </c>
      <c r="AK27" s="916">
        <f t="shared" si="198"/>
        <v>0.19753944610335061</v>
      </c>
      <c r="AL27" s="916">
        <f t="shared" si="198"/>
        <v>0.18511234480329095</v>
      </c>
      <c r="AM27" s="916">
        <f t="shared" si="198"/>
        <v>0.1781678610052658</v>
      </c>
      <c r="AN27" s="916">
        <f t="shared" si="198"/>
        <v>0.17535959999762282</v>
      </c>
      <c r="AO27" s="916">
        <f t="shared" si="198"/>
        <v>0.17241697478878815</v>
      </c>
      <c r="AP27" s="916">
        <f t="shared" si="198"/>
        <v>0.17954461285846229</v>
      </c>
      <c r="AQ27" s="916">
        <f t="shared" si="198"/>
        <v>0.16373204753049939</v>
      </c>
      <c r="AR27" s="916">
        <f t="shared" si="198"/>
        <v>0.16193636183781124</v>
      </c>
      <c r="AS27" s="916">
        <f t="shared" si="198"/>
        <v>0.14931643829416491</v>
      </c>
      <c r="AT27" s="916">
        <f t="shared" si="198"/>
        <v>0.14318204874161014</v>
      </c>
      <c r="AU27" s="916">
        <f t="shared" si="198"/>
        <v>0.14256721900084601</v>
      </c>
      <c r="AV27" s="916">
        <f t="shared" si="198"/>
        <v>0.13049059694832019</v>
      </c>
      <c r="AW27" s="916">
        <f t="shared" si="198"/>
        <v>0.14585641825985174</v>
      </c>
      <c r="AX27" s="919">
        <f t="shared" si="198"/>
        <v>0.14646693780239814</v>
      </c>
      <c r="AY27" s="916">
        <f t="shared" ref="AY27" si="199">IFERROR(AY22/AY9,"")</f>
        <v>0.14646693780239817</v>
      </c>
      <c r="AZ27" s="916"/>
      <c r="BA27" s="759"/>
      <c r="BB27" s="910"/>
      <c r="BC27" s="911"/>
      <c r="BD27" s="912"/>
      <c r="BE27" s="913"/>
      <c r="BF27" s="912"/>
    </row>
    <row r="28" spans="1:66" ht="14.5" hidden="1" outlineLevel="1" x14ac:dyDescent="0.35">
      <c r="A28" s="914" t="s">
        <v>43</v>
      </c>
      <c r="B28" s="759"/>
      <c r="C28" s="916"/>
      <c r="D28" s="916"/>
      <c r="E28" s="916"/>
      <c r="F28" s="916"/>
      <c r="G28" s="917"/>
      <c r="H28" s="918"/>
      <c r="I28" s="916">
        <f>+I22/I15</f>
        <v>0.20885895775654192</v>
      </c>
      <c r="J28" s="918">
        <f>+J22/J15</f>
        <v>0.22858757268104193</v>
      </c>
      <c r="K28" s="916">
        <f t="shared" ref="K28:S28" si="200">+K22/K15</f>
        <v>0.21815332857109945</v>
      </c>
      <c r="L28" s="918">
        <f t="shared" si="200"/>
        <v>0.20877466260604899</v>
      </c>
      <c r="M28" s="916">
        <f t="shared" si="200"/>
        <v>0.21305432816685368</v>
      </c>
      <c r="N28" s="918">
        <f t="shared" si="200"/>
        <v>0.22429965694899792</v>
      </c>
      <c r="O28" s="916">
        <f t="shared" si="200"/>
        <v>0.23304470803552246</v>
      </c>
      <c r="P28" s="918">
        <f t="shared" si="200"/>
        <v>0.24478030082166147</v>
      </c>
      <c r="Q28" s="916">
        <f t="shared" si="200"/>
        <v>0.2599615797307121</v>
      </c>
      <c r="R28" s="918">
        <f t="shared" si="200"/>
        <v>0.35390881497862503</v>
      </c>
      <c r="S28" s="916">
        <f t="shared" si="200"/>
        <v>0.34553526995247896</v>
      </c>
      <c r="T28" s="916">
        <f t="shared" ref="T28:U28" si="201">+T22/T15</f>
        <v>0.41610928430201211</v>
      </c>
      <c r="U28" s="917">
        <f t="shared" si="201"/>
        <v>0.42066393807582975</v>
      </c>
      <c r="V28" s="919" t="e">
        <f t="shared" ref="V28" si="202">+V22/V15</f>
        <v>#DIV/0!</v>
      </c>
      <c r="W28" s="916"/>
      <c r="X28" s="916"/>
      <c r="Y28" s="938"/>
      <c r="Z28" s="918"/>
      <c r="AA28" s="920">
        <f t="shared" ref="AA28:AM28" si="203">(AA22-Z22)/(AA9-Z9)</f>
        <v>0.10069458845807916</v>
      </c>
      <c r="AB28" s="920">
        <f t="shared" si="203"/>
        <v>0.38807120627042485</v>
      </c>
      <c r="AC28" s="920">
        <f t="shared" si="203"/>
        <v>0.2257903317919745</v>
      </c>
      <c r="AD28" s="920">
        <f t="shared" si="203"/>
        <v>0.11649204676477092</v>
      </c>
      <c r="AE28" s="917">
        <f t="shared" si="203"/>
        <v>-2.4097571757235543E-2</v>
      </c>
      <c r="AF28" s="916">
        <f t="shared" si="203"/>
        <v>0.22572017894955004</v>
      </c>
      <c r="AG28" s="916">
        <f t="shared" si="203"/>
        <v>0.19832779020298655</v>
      </c>
      <c r="AH28" s="916">
        <f t="shared" si="203"/>
        <v>0.33131793019062816</v>
      </c>
      <c r="AI28" s="916">
        <f t="shared" si="203"/>
        <v>0.22785919515152661</v>
      </c>
      <c r="AJ28" s="916">
        <f t="shared" si="203"/>
        <v>0.19721508192779266</v>
      </c>
      <c r="AK28" s="916">
        <f t="shared" si="203"/>
        <v>0.20125353450399797</v>
      </c>
      <c r="AL28" s="916">
        <f t="shared" si="203"/>
        <v>0.15299570908586022</v>
      </c>
      <c r="AM28" s="916">
        <f t="shared" si="203"/>
        <v>0.15514172261410578</v>
      </c>
      <c r="AN28" s="916"/>
      <c r="AO28" s="916"/>
      <c r="AP28" s="916"/>
      <c r="AQ28" s="916"/>
      <c r="AR28" s="916" t="e">
        <f t="shared" ref="AR28:AW28" si="204">+AR22/AR15</f>
        <v>#DIV/0!</v>
      </c>
      <c r="AS28" s="916" t="e">
        <f t="shared" si="204"/>
        <v>#DIV/0!</v>
      </c>
      <c r="AT28" s="916" t="e">
        <f t="shared" si="204"/>
        <v>#DIV/0!</v>
      </c>
      <c r="AU28" s="916" t="e">
        <f t="shared" si="204"/>
        <v>#DIV/0!</v>
      </c>
      <c r="AV28" s="916" t="e">
        <f t="shared" si="204"/>
        <v>#DIV/0!</v>
      </c>
      <c r="AW28" s="916" t="e">
        <f t="shared" si="204"/>
        <v>#DIV/0!</v>
      </c>
      <c r="AX28" s="919"/>
      <c r="AY28" s="916"/>
      <c r="AZ28" s="916"/>
      <c r="BA28" s="759"/>
      <c r="BB28" s="910"/>
      <c r="BC28" s="911"/>
      <c r="BD28" s="912"/>
      <c r="BE28" s="913"/>
      <c r="BF28" s="912"/>
    </row>
    <row r="29" spans="1:66" collapsed="1" x14ac:dyDescent="0.3">
      <c r="A29" s="937"/>
      <c r="B29" s="759"/>
      <c r="C29" s="938"/>
      <c r="D29" s="938"/>
      <c r="E29" s="938"/>
      <c r="F29" s="938"/>
      <c r="G29" s="939"/>
      <c r="H29" s="940"/>
      <c r="I29" s="938"/>
      <c r="J29" s="940"/>
      <c r="K29" s="938"/>
      <c r="L29" s="940"/>
      <c r="M29" s="938"/>
      <c r="N29" s="940"/>
      <c r="O29" s="938"/>
      <c r="P29" s="940"/>
      <c r="Q29" s="938"/>
      <c r="R29" s="940"/>
      <c r="S29" s="938"/>
      <c r="T29" s="938"/>
      <c r="U29" s="939"/>
      <c r="V29" s="941"/>
      <c r="W29" s="938"/>
      <c r="X29" s="938"/>
      <c r="Y29" s="938"/>
      <c r="Z29" s="940"/>
      <c r="AA29" s="942"/>
      <c r="AB29" s="942"/>
      <c r="AC29" s="942"/>
      <c r="AD29" s="942"/>
      <c r="AE29" s="939"/>
      <c r="AF29" s="938"/>
      <c r="AG29" s="938"/>
      <c r="AH29" s="938"/>
      <c r="AI29" s="938"/>
      <c r="AJ29" s="938"/>
      <c r="AK29" s="938"/>
      <c r="AL29" s="938"/>
      <c r="AM29" s="938"/>
      <c r="AN29" s="938"/>
      <c r="AO29" s="938"/>
      <c r="AP29" s="938"/>
      <c r="AQ29" s="938"/>
      <c r="AR29" s="938"/>
      <c r="AS29" s="938"/>
      <c r="AT29" s="938"/>
      <c r="AU29" s="938"/>
      <c r="AV29" s="938"/>
      <c r="AW29" s="938"/>
      <c r="AX29" s="941"/>
      <c r="AY29" s="938"/>
      <c r="AZ29" s="938"/>
      <c r="BA29" s="759"/>
      <c r="BB29" s="910"/>
      <c r="BC29" s="911"/>
      <c r="BD29" s="912"/>
      <c r="BE29" s="913"/>
      <c r="BF29" s="912"/>
    </row>
    <row r="30" spans="1:66" x14ac:dyDescent="0.3">
      <c r="A30" s="900" t="s">
        <v>44</v>
      </c>
      <c r="B30" s="901"/>
      <c r="C30" s="1149">
        <f t="shared" ref="C30:S30" si="205">C22-C45</f>
        <v>29.347999999999999</v>
      </c>
      <c r="D30" s="1149">
        <f t="shared" si="205"/>
        <v>32.846000000000004</v>
      </c>
      <c r="E30" s="1149">
        <f t="shared" si="205"/>
        <v>34.673999999999992</v>
      </c>
      <c r="F30" s="1150">
        <f t="shared" si="205"/>
        <v>40.180000000000007</v>
      </c>
      <c r="G30" s="1151">
        <f t="shared" si="205"/>
        <v>40.4</v>
      </c>
      <c r="H30" s="1152">
        <f t="shared" si="205"/>
        <v>45.750999999999998</v>
      </c>
      <c r="I30" s="1149">
        <f t="shared" si="205"/>
        <v>50.72499999999998</v>
      </c>
      <c r="J30" s="1152">
        <f t="shared" si="205"/>
        <v>56.416000000000018</v>
      </c>
      <c r="K30" s="1149">
        <f t="shared" si="205"/>
        <v>60.817999999999998</v>
      </c>
      <c r="L30" s="1152">
        <f t="shared" si="205"/>
        <v>65.838999999999999</v>
      </c>
      <c r="M30" s="1149">
        <f t="shared" si="205"/>
        <v>71.194000000000003</v>
      </c>
      <c r="N30" s="1152">
        <f t="shared" si="205"/>
        <v>70.77800000000002</v>
      </c>
      <c r="O30" s="1149">
        <f t="shared" si="205"/>
        <v>77.400000000000006</v>
      </c>
      <c r="P30" s="1152">
        <f t="shared" si="205"/>
        <v>79.542000000000002</v>
      </c>
      <c r="Q30" s="1149">
        <f t="shared" si="205"/>
        <v>86.078000000000003</v>
      </c>
      <c r="R30" s="1152">
        <f t="shared" si="205"/>
        <v>104.98699999999999</v>
      </c>
      <c r="S30" s="1149">
        <f t="shared" si="205"/>
        <v>113.983</v>
      </c>
      <c r="T30" s="1149">
        <f t="shared" ref="T30:U30" si="206">T22-T45</f>
        <v>118.94699999999996</v>
      </c>
      <c r="U30" s="1151">
        <f t="shared" si="206"/>
        <v>129.78299999999999</v>
      </c>
      <c r="V30" s="1153">
        <f t="shared" ref="V30" si="207">V22-V45</f>
        <v>133.90600000000001</v>
      </c>
      <c r="W30" s="1149">
        <f t="shared" ref="W30:X30" si="208">+W144</f>
        <v>146.02059803069201</v>
      </c>
      <c r="X30" s="1149">
        <f t="shared" si="208"/>
        <v>150.4032192</v>
      </c>
      <c r="Y30" s="1154"/>
      <c r="Z30" s="1152">
        <f t="shared" ref="Z30:AV30" si="209">Z22-Z45</f>
        <v>2.6439699999999999</v>
      </c>
      <c r="AA30" s="1155">
        <f t="shared" si="209"/>
        <v>3.7307100000000002</v>
      </c>
      <c r="AB30" s="1155">
        <f t="shared" si="209"/>
        <v>5.9687549999999998</v>
      </c>
      <c r="AC30" s="1155">
        <f t="shared" si="209"/>
        <v>5.6917020000000003</v>
      </c>
      <c r="AD30" s="1155">
        <f t="shared" si="209"/>
        <v>6.7127520000000001</v>
      </c>
      <c r="AE30" s="1151">
        <f t="shared" si="209"/>
        <v>7.415324</v>
      </c>
      <c r="AF30" s="1149">
        <f t="shared" si="209"/>
        <v>9.5461860000000005</v>
      </c>
      <c r="AG30" s="1149">
        <f t="shared" si="209"/>
        <v>11.861407</v>
      </c>
      <c r="AH30" s="1149">
        <f t="shared" si="209"/>
        <v>14.020987999999999</v>
      </c>
      <c r="AI30" s="1149">
        <f t="shared" si="209"/>
        <v>14.682206000000001</v>
      </c>
      <c r="AJ30" s="1149">
        <f t="shared" si="209"/>
        <v>18.485997000000001</v>
      </c>
      <c r="AK30" s="1149">
        <f t="shared" si="209"/>
        <v>27.016508999999999</v>
      </c>
      <c r="AL30" s="1149">
        <f t="shared" si="209"/>
        <v>33.994318999999997</v>
      </c>
      <c r="AM30" s="1149">
        <f t="shared" si="209"/>
        <v>43.143000000000001</v>
      </c>
      <c r="AN30" s="1149">
        <f t="shared" si="209"/>
        <v>52.993000000000002</v>
      </c>
      <c r="AO30" s="1149">
        <f t="shared" si="209"/>
        <v>62.194000000000081</v>
      </c>
      <c r="AP30" s="1149">
        <f t="shared" si="209"/>
        <v>74.853999999999999</v>
      </c>
      <c r="AQ30" s="1149">
        <f t="shared" si="209"/>
        <v>86.15100000000001</v>
      </c>
      <c r="AR30" s="1149">
        <f t="shared" si="209"/>
        <v>107.14100000000001</v>
      </c>
      <c r="AS30" s="1149">
        <f t="shared" si="209"/>
        <v>127.40999999999998</v>
      </c>
      <c r="AT30" s="1149">
        <f t="shared" si="209"/>
        <v>142.49900000000002</v>
      </c>
      <c r="AU30" s="1149">
        <f t="shared" si="209"/>
        <v>157.16000000000003</v>
      </c>
      <c r="AV30" s="1149">
        <f t="shared" si="209"/>
        <v>191.00900000000004</v>
      </c>
      <c r="AW30" s="1149">
        <f>SUM(S30:T30)</f>
        <v>232.92999999999995</v>
      </c>
      <c r="AX30" s="1153">
        <f>SUM(U30:V30)</f>
        <v>263.68899999999996</v>
      </c>
      <c r="AY30" s="902">
        <f>+SUM(W30:X30)</f>
        <v>296.42381723069201</v>
      </c>
      <c r="AZ30" s="1149"/>
      <c r="BA30" s="1150"/>
      <c r="BB30" s="910">
        <f>(AE30/Z30)^(1/5)-1</f>
        <v>0.22906463270734512</v>
      </c>
      <c r="BC30" s="911">
        <f>(AJ30/AE30)^(1/5)-1</f>
        <v>0.20044578023713999</v>
      </c>
      <c r="BD30" s="912">
        <f>(AO30/AJ30)^(1/5)-1</f>
        <v>0.27462115497225548</v>
      </c>
      <c r="BE30" s="913">
        <f>(AO30/AE30)^(1/10)-1</f>
        <v>0.23697760161105341</v>
      </c>
      <c r="BF30" s="912">
        <f>(AO30/Z30)^(1/15)-1</f>
        <v>0.23433430085676132</v>
      </c>
    </row>
    <row r="31" spans="1:66" ht="14.5" x14ac:dyDescent="0.35">
      <c r="A31" s="914" t="s">
        <v>37</v>
      </c>
      <c r="B31" s="915"/>
      <c r="C31" s="916"/>
      <c r="D31" s="916"/>
      <c r="E31" s="916">
        <f>E30/C30-1</f>
        <v>0.18147744309663327</v>
      </c>
      <c r="F31" s="916">
        <f>F30/D30-1</f>
        <v>0.22328441819399636</v>
      </c>
      <c r="G31" s="917">
        <f t="shared" ref="G31:H31" si="210">G30/E30-1</f>
        <v>0.16513814385418502</v>
      </c>
      <c r="H31" s="918">
        <f t="shared" si="210"/>
        <v>0.138651070184171</v>
      </c>
      <c r="I31" s="916">
        <f t="shared" ref="I31" si="211">I30/G30-1</f>
        <v>0.25556930693069257</v>
      </c>
      <c r="J31" s="918">
        <f t="shared" ref="J31" si="212">J30/H30-1</f>
        <v>0.23310965880527257</v>
      </c>
      <c r="K31" s="916">
        <f t="shared" ref="K31" si="213">K30/I30-1</f>
        <v>0.19897486446525425</v>
      </c>
      <c r="L31" s="918">
        <f t="shared" ref="L31" si="214">L30/J30-1</f>
        <v>0.16702708451503079</v>
      </c>
      <c r="M31" s="916">
        <f t="shared" ref="M31" si="215">M30/K30-1</f>
        <v>0.17060738597125868</v>
      </c>
      <c r="N31" s="918">
        <f t="shared" ref="N31" si="216">N30/L30-1</f>
        <v>7.5016327708501418E-2</v>
      </c>
      <c r="O31" s="916">
        <f t="shared" ref="O31" si="217">O30/M30-1</f>
        <v>8.7170267157344661E-2</v>
      </c>
      <c r="P31" s="918">
        <f t="shared" ref="P31" si="218">P30/N30-1</f>
        <v>0.12382378705247366</v>
      </c>
      <c r="Q31" s="916">
        <f t="shared" ref="Q31" si="219">Q30/O30-1</f>
        <v>0.11211886304909546</v>
      </c>
      <c r="R31" s="918">
        <f t="shared" ref="R31" si="220">R30/P30-1</f>
        <v>0.31989389253476141</v>
      </c>
      <c r="S31" s="916">
        <f t="shared" ref="S31" si="221">S30/Q30-1</f>
        <v>0.32418271799995346</v>
      </c>
      <c r="T31" s="916">
        <f t="shared" ref="T31" si="222">T30/R30-1</f>
        <v>0.13296884376160834</v>
      </c>
      <c r="U31" s="917">
        <f t="shared" ref="U31" si="223">U30/S30-1</f>
        <v>0.13861716220839937</v>
      </c>
      <c r="V31" s="919">
        <f t="shared" ref="V31" si="224">V30/T30-1</f>
        <v>0.12576189395276938</v>
      </c>
      <c r="W31" s="916">
        <f t="shared" ref="W31" si="225">W30/U30-1</f>
        <v>0.12511344344553632</v>
      </c>
      <c r="X31" s="916">
        <f t="shared" ref="X31" si="226">X30/V30-1</f>
        <v>0.12319999999999998</v>
      </c>
      <c r="Y31" s="759"/>
      <c r="Z31" s="918" t="str">
        <f>IFERROR(Z30/#REF!-1,"")</f>
        <v/>
      </c>
      <c r="AA31" s="920">
        <f t="shared" ref="AA31:AN31" si="227">IFERROR(AA30/Z30-1,"")</f>
        <v>0.41102584371229645</v>
      </c>
      <c r="AB31" s="920">
        <f t="shared" si="227"/>
        <v>0.5998978746672885</v>
      </c>
      <c r="AC31" s="920">
        <f t="shared" si="227"/>
        <v>-4.6417217660969401E-2</v>
      </c>
      <c r="AD31" s="920">
        <f t="shared" si="227"/>
        <v>0.17939273700555636</v>
      </c>
      <c r="AE31" s="917">
        <f t="shared" si="227"/>
        <v>0.10466229051810649</v>
      </c>
      <c r="AF31" s="916">
        <f t="shared" si="227"/>
        <v>0.28735925766696102</v>
      </c>
      <c r="AG31" s="916">
        <f t="shared" si="227"/>
        <v>0.2425283773016782</v>
      </c>
      <c r="AH31" s="916">
        <f t="shared" si="227"/>
        <v>0.18206786092071536</v>
      </c>
      <c r="AI31" s="916">
        <f t="shared" si="227"/>
        <v>4.7159158826753256E-2</v>
      </c>
      <c r="AJ31" s="916">
        <f t="shared" si="227"/>
        <v>0.25907489651078319</v>
      </c>
      <c r="AK31" s="916">
        <f t="shared" si="227"/>
        <v>0.46145804307985117</v>
      </c>
      <c r="AL31" s="916">
        <f t="shared" si="227"/>
        <v>0.25827948385189203</v>
      </c>
      <c r="AM31" s="916">
        <f t="shared" si="227"/>
        <v>0.26912382036539695</v>
      </c>
      <c r="AN31" s="916">
        <f t="shared" si="227"/>
        <v>0.22831050228310512</v>
      </c>
      <c r="AO31" s="916">
        <f t="shared" ref="AO31" si="228">IFERROR(AO30/AN30-1,"")</f>
        <v>0.173626705413924</v>
      </c>
      <c r="AP31" s="916">
        <f t="shared" ref="AP31" si="229">IFERROR(AP30/AO30-1,"")</f>
        <v>0.20355661317811857</v>
      </c>
      <c r="AQ31" s="916">
        <f t="shared" ref="AQ31" si="230">IFERROR(AQ30/AP30-1,"")</f>
        <v>0.15092045849253233</v>
      </c>
      <c r="AR31" s="916">
        <f t="shared" ref="AR31" si="231">IFERROR(AR30/AQ30-1,"")</f>
        <v>0.24364197745818372</v>
      </c>
      <c r="AS31" s="916">
        <f t="shared" ref="AS31" si="232">IFERROR(AS30/AR30-1,"")</f>
        <v>0.18918061246394924</v>
      </c>
      <c r="AT31" s="916">
        <f t="shared" ref="AT31" si="233">IFERROR(AT30/AS30-1,"")</f>
        <v>0.11842869476493245</v>
      </c>
      <c r="AU31" s="916">
        <f t="shared" ref="AU31" si="234">IFERROR(AU30/AT30-1,"")</f>
        <v>0.1028849325258423</v>
      </c>
      <c r="AV31" s="916">
        <f t="shared" ref="AV31" si="235">IFERROR(AV30/AU30-1,"")</f>
        <v>0.21537923135657944</v>
      </c>
      <c r="AW31" s="916">
        <f t="shared" ref="AW31" si="236">IFERROR(AW30/AV30-1,"")</f>
        <v>0.21947133381149531</v>
      </c>
      <c r="AX31" s="919">
        <f t="shared" ref="AX31" si="237">IFERROR(AX30/AW30-1,"")</f>
        <v>0.1320525479757868</v>
      </c>
      <c r="AY31" s="916">
        <f t="shared" ref="AY31" si="238">IFERROR(AY30/AX30-1,"")</f>
        <v>0.12414176257140808</v>
      </c>
      <c r="AZ31" s="916"/>
      <c r="BA31" s="759"/>
      <c r="BB31" s="895"/>
      <c r="BC31" s="896"/>
      <c r="BD31" s="897"/>
      <c r="BE31" s="898"/>
      <c r="BF31" s="897"/>
    </row>
    <row r="32" spans="1:66" ht="14.5" x14ac:dyDescent="0.35">
      <c r="A32" s="914" t="s">
        <v>1488</v>
      </c>
      <c r="B32" s="915"/>
      <c r="C32" s="916">
        <f t="shared" ref="C32" si="239">+C31</f>
        <v>0</v>
      </c>
      <c r="D32" s="916">
        <f t="shared" ref="D32" si="240">+D31</f>
        <v>0</v>
      </c>
      <c r="E32" s="916">
        <f>+E31</f>
        <v>0.18147744309663327</v>
      </c>
      <c r="F32" s="916">
        <f t="shared" ref="F32" si="241">+F31</f>
        <v>0.22328441819399636</v>
      </c>
      <c r="G32" s="917">
        <f t="shared" ref="G32" si="242">+G31</f>
        <v>0.16513814385418502</v>
      </c>
      <c r="H32" s="918">
        <f t="shared" ref="H32" si="243">+H31</f>
        <v>0.138651070184171</v>
      </c>
      <c r="I32" s="916">
        <f t="shared" ref="I32" si="244">+I31</f>
        <v>0.25556930693069257</v>
      </c>
      <c r="J32" s="918">
        <f t="shared" ref="J32" si="245">+J31</f>
        <v>0.23310965880527257</v>
      </c>
      <c r="K32" s="916">
        <f t="shared" ref="K32" si="246">+K31</f>
        <v>0.19897486446525425</v>
      </c>
      <c r="L32" s="918">
        <f t="shared" ref="L32" si="247">+L31</f>
        <v>0.16702708451503079</v>
      </c>
      <c r="M32" s="916">
        <f t="shared" ref="M32" si="248">+M31</f>
        <v>0.17060738597125868</v>
      </c>
      <c r="N32" s="918">
        <f t="shared" ref="N32" si="249">+N31</f>
        <v>7.5016327708501418E-2</v>
      </c>
      <c r="O32" s="916">
        <f t="shared" ref="O32" si="250">+O31</f>
        <v>8.7170267157344661E-2</v>
      </c>
      <c r="P32" s="918">
        <f t="shared" ref="P32" si="251">+P31</f>
        <v>0.12382378705247366</v>
      </c>
      <c r="Q32" s="916">
        <f t="shared" ref="Q32" si="252">+Q31</f>
        <v>0.11211886304909546</v>
      </c>
      <c r="R32" s="918">
        <f t="shared" ref="R32" si="253">+R31</f>
        <v>0.31989389253476141</v>
      </c>
      <c r="S32" s="916">
        <f t="shared" ref="S32" si="254">+S31</f>
        <v>0.32418271799995346</v>
      </c>
      <c r="T32" s="916">
        <f t="shared" ref="T32" si="255">+T31</f>
        <v>0.13296884376160834</v>
      </c>
      <c r="U32" s="917">
        <f t="shared" ref="U32" si="256">+U31</f>
        <v>0.13861716220839937</v>
      </c>
      <c r="V32" s="919">
        <f t="shared" ref="V32" si="257">+V31</f>
        <v>0.12576189395276938</v>
      </c>
      <c r="W32" s="916">
        <f t="shared" ref="W32" si="258">+W31</f>
        <v>0.12511344344553632</v>
      </c>
      <c r="X32" s="916">
        <f t="shared" ref="X32" si="259">+X31</f>
        <v>0.12319999999999998</v>
      </c>
      <c r="Y32" s="759"/>
      <c r="Z32" s="918" t="str">
        <f t="shared" ref="Z32" si="260">+Z31</f>
        <v/>
      </c>
      <c r="AA32" s="920">
        <f t="shared" ref="AA32" si="261">+AA31</f>
        <v>0.41102584371229645</v>
      </c>
      <c r="AB32" s="920">
        <f t="shared" ref="AB32" si="262">+AB31</f>
        <v>0.5998978746672885</v>
      </c>
      <c r="AC32" s="920">
        <f t="shared" ref="AC32" si="263">+AC31</f>
        <v>-4.6417217660969401E-2</v>
      </c>
      <c r="AD32" s="920">
        <f t="shared" ref="AD32" si="264">+AD31</f>
        <v>0.17939273700555636</v>
      </c>
      <c r="AE32" s="917">
        <f t="shared" ref="AE32" si="265">+AE31</f>
        <v>0.10466229051810649</v>
      </c>
      <c r="AF32" s="916">
        <f t="shared" ref="AF32" si="266">+AF31</f>
        <v>0.28735925766696102</v>
      </c>
      <c r="AG32" s="916">
        <f t="shared" ref="AG32" si="267">+AG31</f>
        <v>0.2425283773016782</v>
      </c>
      <c r="AH32" s="916">
        <f t="shared" ref="AH32" si="268">+AH31</f>
        <v>0.18206786092071536</v>
      </c>
      <c r="AI32" s="916">
        <f t="shared" ref="AI32" si="269">+AI31</f>
        <v>4.7159158826753256E-2</v>
      </c>
      <c r="AJ32" s="916">
        <f t="shared" ref="AJ32" si="270">+AJ31</f>
        <v>0.25907489651078319</v>
      </c>
      <c r="AK32" s="916">
        <f t="shared" ref="AK32" si="271">+AK31</f>
        <v>0.46145804307985117</v>
      </c>
      <c r="AL32" s="916">
        <f t="shared" ref="AL32" si="272">+AL31</f>
        <v>0.25827948385189203</v>
      </c>
      <c r="AM32" s="916">
        <f t="shared" ref="AM32" si="273">+AM31</f>
        <v>0.26912382036539695</v>
      </c>
      <c r="AN32" s="916">
        <f t="shared" ref="AN32" si="274">+AN31</f>
        <v>0.22831050228310512</v>
      </c>
      <c r="AO32" s="916">
        <f t="shared" ref="AO32" si="275">+AO31</f>
        <v>0.173626705413924</v>
      </c>
      <c r="AP32" s="916">
        <f t="shared" ref="AP32" si="276">+AP31</f>
        <v>0.20355661317811857</v>
      </c>
      <c r="AQ32" s="916">
        <f t="shared" ref="AQ32" si="277">+AQ31</f>
        <v>0.15092045849253233</v>
      </c>
      <c r="AR32" s="916">
        <f t="shared" ref="AR32" si="278">+AR31</f>
        <v>0.24364197745818372</v>
      </c>
      <c r="AS32" s="916">
        <f t="shared" ref="AS32" si="279">+AS31</f>
        <v>0.18918061246394924</v>
      </c>
      <c r="AT32" s="916">
        <f t="shared" ref="AT32" si="280">+AT31</f>
        <v>0.11842869476493245</v>
      </c>
      <c r="AU32" s="916">
        <f t="shared" ref="AU32" si="281">+AU31</f>
        <v>0.1028849325258423</v>
      </c>
      <c r="AV32" s="916">
        <f t="shared" ref="AV32" si="282">+AV31</f>
        <v>0.21537923135657944</v>
      </c>
      <c r="AW32" s="916">
        <f t="shared" ref="AW32" si="283">+AW31</f>
        <v>0.21947133381149531</v>
      </c>
      <c r="AX32" s="919">
        <f t="shared" ref="AX32" si="284">+AX31</f>
        <v>0.1320525479757868</v>
      </c>
      <c r="AY32" s="916">
        <f t="shared" ref="AY32" si="285">+AY31</f>
        <v>0.12414176257140808</v>
      </c>
      <c r="AZ32" s="916"/>
      <c r="BA32" s="759"/>
      <c r="BB32" s="895"/>
      <c r="BC32" s="896"/>
      <c r="BD32" s="897"/>
      <c r="BE32" s="898"/>
      <c r="BF32" s="897"/>
    </row>
    <row r="33" spans="1:58" ht="14.5" x14ac:dyDescent="0.35">
      <c r="A33" s="914" t="s">
        <v>38</v>
      </c>
      <c r="B33" s="915"/>
      <c r="C33" s="916"/>
      <c r="D33" s="1142">
        <f t="shared" ref="D33:J33" si="286">+D30-C30</f>
        <v>3.4980000000000047</v>
      </c>
      <c r="E33" s="1142">
        <f t="shared" si="286"/>
        <v>1.8279999999999887</v>
      </c>
      <c r="F33" s="1143">
        <f t="shared" si="286"/>
        <v>5.5060000000000144</v>
      </c>
      <c r="G33" s="1144">
        <f t="shared" si="286"/>
        <v>0.21999999999999176</v>
      </c>
      <c r="H33" s="1145">
        <f t="shared" si="286"/>
        <v>5.3509999999999991</v>
      </c>
      <c r="I33" s="1142">
        <f t="shared" si="286"/>
        <v>4.9739999999999824</v>
      </c>
      <c r="J33" s="1145">
        <f t="shared" si="286"/>
        <v>5.691000000000038</v>
      </c>
      <c r="K33" s="1142">
        <f t="shared" ref="K33:S33" si="287">+K30-J30</f>
        <v>4.4019999999999797</v>
      </c>
      <c r="L33" s="1145">
        <f t="shared" si="287"/>
        <v>5.0210000000000008</v>
      </c>
      <c r="M33" s="1142">
        <f t="shared" si="287"/>
        <v>5.355000000000004</v>
      </c>
      <c r="N33" s="1145">
        <f t="shared" si="287"/>
        <v>-0.41599999999998261</v>
      </c>
      <c r="O33" s="1142">
        <f t="shared" si="287"/>
        <v>6.6219999999999857</v>
      </c>
      <c r="P33" s="1145">
        <f t="shared" si="287"/>
        <v>2.1419999999999959</v>
      </c>
      <c r="Q33" s="1142">
        <f t="shared" si="287"/>
        <v>6.5360000000000014</v>
      </c>
      <c r="R33" s="1145">
        <f t="shared" si="287"/>
        <v>18.908999999999992</v>
      </c>
      <c r="S33" s="1142">
        <f t="shared" si="287"/>
        <v>8.9960000000000093</v>
      </c>
      <c r="T33" s="1142">
        <f t="shared" ref="T33" si="288">+T30-S30</f>
        <v>4.963999999999956</v>
      </c>
      <c r="U33" s="1144">
        <f t="shared" ref="U33" si="289">+U30-T30</f>
        <v>10.836000000000027</v>
      </c>
      <c r="V33" s="1146">
        <f t="shared" ref="V33" si="290">+V30-U30</f>
        <v>4.1230000000000189</v>
      </c>
      <c r="W33" s="1142">
        <f t="shared" ref="W33" si="291">+W30-V30</f>
        <v>12.114598030692008</v>
      </c>
      <c r="X33" s="1142">
        <f t="shared" ref="X33" si="292">+X30-W30</f>
        <v>4.3826211693079813</v>
      </c>
      <c r="Y33" s="1147"/>
      <c r="Z33" s="1145"/>
      <c r="AA33" s="1148">
        <f t="shared" ref="AA33:AF33" si="293">+AA30-Z30</f>
        <v>1.0867400000000003</v>
      </c>
      <c r="AB33" s="1148">
        <f t="shared" si="293"/>
        <v>2.2380449999999996</v>
      </c>
      <c r="AC33" s="1148">
        <f t="shared" si="293"/>
        <v>-0.27705299999999955</v>
      </c>
      <c r="AD33" s="1148">
        <f t="shared" si="293"/>
        <v>1.0210499999999998</v>
      </c>
      <c r="AE33" s="1144">
        <f t="shared" si="293"/>
        <v>0.70257199999999997</v>
      </c>
      <c r="AF33" s="1142">
        <f t="shared" si="293"/>
        <v>2.1308620000000005</v>
      </c>
      <c r="AG33" s="1142">
        <f t="shared" ref="AG33:AN33" si="294">+AG30-AF30</f>
        <v>2.3152209999999993</v>
      </c>
      <c r="AH33" s="1142">
        <f t="shared" si="294"/>
        <v>2.1595809999999993</v>
      </c>
      <c r="AI33" s="1142">
        <f t="shared" si="294"/>
        <v>0.66121800000000164</v>
      </c>
      <c r="AJ33" s="1142">
        <f t="shared" si="294"/>
        <v>3.8037910000000004</v>
      </c>
      <c r="AK33" s="1142">
        <f t="shared" si="294"/>
        <v>8.5305119999999981</v>
      </c>
      <c r="AL33" s="1142">
        <f t="shared" si="294"/>
        <v>6.9778099999999981</v>
      </c>
      <c r="AM33" s="1142">
        <f t="shared" si="294"/>
        <v>9.1486810000000034</v>
      </c>
      <c r="AN33" s="1142">
        <f t="shared" si="294"/>
        <v>9.8500000000000014</v>
      </c>
      <c r="AO33" s="1142">
        <f t="shared" ref="AO33:AV33" si="295">+AO30-AN30</f>
        <v>9.2010000000000787</v>
      </c>
      <c r="AP33" s="1142">
        <f t="shared" si="295"/>
        <v>12.659999999999918</v>
      </c>
      <c r="AQ33" s="1142">
        <f t="shared" si="295"/>
        <v>11.297000000000011</v>
      </c>
      <c r="AR33" s="1142">
        <f t="shared" si="295"/>
        <v>20.989999999999995</v>
      </c>
      <c r="AS33" s="1142">
        <f t="shared" si="295"/>
        <v>20.268999999999977</v>
      </c>
      <c r="AT33" s="1142">
        <f t="shared" si="295"/>
        <v>15.089000000000041</v>
      </c>
      <c r="AU33" s="1142">
        <f t="shared" si="295"/>
        <v>14.661000000000001</v>
      </c>
      <c r="AV33" s="1142">
        <f t="shared" si="295"/>
        <v>33.849000000000018</v>
      </c>
      <c r="AW33" s="1142">
        <f t="shared" ref="AW33:AX33" si="296">+AW30-AV30</f>
        <v>41.920999999999907</v>
      </c>
      <c r="AX33" s="1146">
        <f t="shared" si="296"/>
        <v>30.759000000000015</v>
      </c>
      <c r="AY33" s="1142">
        <f t="shared" ref="AY33" si="297">+AY30-AX30</f>
        <v>32.734817230692045</v>
      </c>
      <c r="AZ33" s="916"/>
      <c r="BA33" s="759"/>
      <c r="BB33" s="895"/>
      <c r="BC33" s="896"/>
      <c r="BD33" s="897"/>
      <c r="BE33" s="898"/>
      <c r="BF33" s="897"/>
    </row>
    <row r="34" spans="1:58" ht="14.5" x14ac:dyDescent="0.35">
      <c r="A34" s="914" t="s">
        <v>143</v>
      </c>
      <c r="B34" s="915"/>
      <c r="C34" s="916"/>
      <c r="D34" s="1142"/>
      <c r="E34" s="1142">
        <f t="shared" ref="E34:J34" si="298">+E30-C30</f>
        <v>5.3259999999999934</v>
      </c>
      <c r="F34" s="1143">
        <f t="shared" si="298"/>
        <v>7.3340000000000032</v>
      </c>
      <c r="G34" s="1144">
        <f t="shared" si="298"/>
        <v>5.7260000000000062</v>
      </c>
      <c r="H34" s="1145">
        <f t="shared" si="298"/>
        <v>5.5709999999999908</v>
      </c>
      <c r="I34" s="1142">
        <f t="shared" si="298"/>
        <v>10.324999999999982</v>
      </c>
      <c r="J34" s="1145">
        <f t="shared" si="298"/>
        <v>10.66500000000002</v>
      </c>
      <c r="K34" s="1142">
        <f t="shared" ref="K34:S34" si="299">+K30-I30</f>
        <v>10.093000000000018</v>
      </c>
      <c r="L34" s="1145">
        <f t="shared" si="299"/>
        <v>9.4229999999999805</v>
      </c>
      <c r="M34" s="1142">
        <f t="shared" si="299"/>
        <v>10.376000000000005</v>
      </c>
      <c r="N34" s="1145">
        <f t="shared" si="299"/>
        <v>4.9390000000000214</v>
      </c>
      <c r="O34" s="1142">
        <f t="shared" si="299"/>
        <v>6.2060000000000031</v>
      </c>
      <c r="P34" s="1145">
        <f t="shared" si="299"/>
        <v>8.7639999999999816</v>
      </c>
      <c r="Q34" s="1142">
        <f t="shared" si="299"/>
        <v>8.6779999999999973</v>
      </c>
      <c r="R34" s="1145">
        <f t="shared" si="299"/>
        <v>25.444999999999993</v>
      </c>
      <c r="S34" s="1142">
        <f t="shared" si="299"/>
        <v>27.905000000000001</v>
      </c>
      <c r="T34" s="1142">
        <f t="shared" ref="T34" si="300">+T30-R30</f>
        <v>13.959999999999965</v>
      </c>
      <c r="U34" s="1144">
        <f t="shared" ref="U34" si="301">+U30-S30</f>
        <v>15.799999999999983</v>
      </c>
      <c r="V34" s="1146">
        <f t="shared" ref="V34" si="302">+V30-T30</f>
        <v>14.959000000000046</v>
      </c>
      <c r="W34" s="1142">
        <f t="shared" ref="W34" si="303">+W30-U30</f>
        <v>16.237598030692027</v>
      </c>
      <c r="X34" s="1142">
        <f t="shared" ref="X34" si="304">+X30-V30</f>
        <v>16.497219199999989</v>
      </c>
      <c r="Y34" s="1147"/>
      <c r="Z34" s="1145"/>
      <c r="AA34" s="1148">
        <f t="shared" ref="AA34" si="305">+AA33</f>
        <v>1.0867400000000003</v>
      </c>
      <c r="AB34" s="1148">
        <f t="shared" ref="AB34" si="306">+AB33</f>
        <v>2.2380449999999996</v>
      </c>
      <c r="AC34" s="1148">
        <f t="shared" ref="AC34" si="307">+AC33</f>
        <v>-0.27705299999999955</v>
      </c>
      <c r="AD34" s="1148">
        <f t="shared" ref="AD34" si="308">+AD33</f>
        <v>1.0210499999999998</v>
      </c>
      <c r="AE34" s="1144">
        <f t="shared" ref="AE34" si="309">+AE33</f>
        <v>0.70257199999999997</v>
      </c>
      <c r="AF34" s="1142">
        <f t="shared" ref="AF34" si="310">+AF33</f>
        <v>2.1308620000000005</v>
      </c>
      <c r="AG34" s="1142">
        <f t="shared" ref="AG34" si="311">+AG33</f>
        <v>2.3152209999999993</v>
      </c>
      <c r="AH34" s="1142">
        <f t="shared" ref="AH34" si="312">+AH33</f>
        <v>2.1595809999999993</v>
      </c>
      <c r="AI34" s="1142">
        <f t="shared" ref="AI34" si="313">+AI33</f>
        <v>0.66121800000000164</v>
      </c>
      <c r="AJ34" s="1142">
        <f t="shared" ref="AJ34" si="314">+AJ33</f>
        <v>3.8037910000000004</v>
      </c>
      <c r="AK34" s="1142">
        <f t="shared" ref="AK34" si="315">+AK33</f>
        <v>8.5305119999999981</v>
      </c>
      <c r="AL34" s="1142">
        <f t="shared" ref="AL34" si="316">+AL33</f>
        <v>6.9778099999999981</v>
      </c>
      <c r="AM34" s="1142">
        <f t="shared" ref="AM34" si="317">+AM33</f>
        <v>9.1486810000000034</v>
      </c>
      <c r="AN34" s="1142">
        <f t="shared" ref="AN34" si="318">+AN33</f>
        <v>9.8500000000000014</v>
      </c>
      <c r="AO34" s="1142">
        <f t="shared" ref="AO34" si="319">+AO33</f>
        <v>9.2010000000000787</v>
      </c>
      <c r="AP34" s="1142">
        <f t="shared" ref="AP34" si="320">+AP33</f>
        <v>12.659999999999918</v>
      </c>
      <c r="AQ34" s="1142">
        <f t="shared" ref="AQ34" si="321">+AQ33</f>
        <v>11.297000000000011</v>
      </c>
      <c r="AR34" s="1142">
        <f t="shared" ref="AR34" si="322">+AR33</f>
        <v>20.989999999999995</v>
      </c>
      <c r="AS34" s="1142">
        <f t="shared" ref="AS34" si="323">+AS33</f>
        <v>20.268999999999977</v>
      </c>
      <c r="AT34" s="1142">
        <f t="shared" ref="AT34" si="324">+AT33</f>
        <v>15.089000000000041</v>
      </c>
      <c r="AU34" s="1142">
        <f t="shared" ref="AU34" si="325">+AU33</f>
        <v>14.661000000000001</v>
      </c>
      <c r="AV34" s="1142">
        <f t="shared" ref="AV34" si="326">+AV33</f>
        <v>33.849000000000018</v>
      </c>
      <c r="AW34" s="1142">
        <f t="shared" ref="AW34" si="327">+AW33</f>
        <v>41.920999999999907</v>
      </c>
      <c r="AX34" s="1146">
        <f t="shared" ref="AX34:AY34" si="328">+AX33</f>
        <v>30.759000000000015</v>
      </c>
      <c r="AY34" s="1142">
        <f t="shared" si="328"/>
        <v>32.734817230692045</v>
      </c>
      <c r="AZ34" s="916"/>
      <c r="BA34" s="759"/>
      <c r="BB34" s="895"/>
      <c r="BC34" s="896"/>
      <c r="BD34" s="897"/>
      <c r="BE34" s="898"/>
      <c r="BF34" s="897"/>
    </row>
    <row r="35" spans="1:58" ht="14.5" x14ac:dyDescent="0.35">
      <c r="A35" s="914" t="s">
        <v>45</v>
      </c>
      <c r="B35" s="759"/>
      <c r="C35" s="916">
        <f>C30/C22</f>
        <v>0.62925877484508697</v>
      </c>
      <c r="D35" s="916">
        <f>D30/D22</f>
        <v>0.58511472139090759</v>
      </c>
      <c r="E35" s="916">
        <f t="shared" ref="E35:S35" si="329">E30/E22</f>
        <v>0.645999068467629</v>
      </c>
      <c r="F35" s="916">
        <f t="shared" si="329"/>
        <v>0.59932579576981626</v>
      </c>
      <c r="G35" s="917">
        <f t="shared" si="329"/>
        <v>0.65905383360522019</v>
      </c>
      <c r="H35" s="918">
        <f t="shared" si="329"/>
        <v>0.60998893377598229</v>
      </c>
      <c r="I35" s="916">
        <f t="shared" si="329"/>
        <v>0.67782454733747566</v>
      </c>
      <c r="J35" s="918">
        <f t="shared" si="329"/>
        <v>0.56231560481620291</v>
      </c>
      <c r="K35" s="916">
        <f t="shared" si="329"/>
        <v>0.64240747000168985</v>
      </c>
      <c r="L35" s="918">
        <f t="shared" si="329"/>
        <v>0.56528234496140672</v>
      </c>
      <c r="M35" s="916">
        <f t="shared" si="329"/>
        <v>0.63752775986818533</v>
      </c>
      <c r="N35" s="918">
        <f t="shared" si="329"/>
        <v>0.57063845911975097</v>
      </c>
      <c r="O35" s="916">
        <f t="shared" si="329"/>
        <v>0.57561875297477372</v>
      </c>
      <c r="P35" s="918">
        <f t="shared" si="329"/>
        <v>0.56057338576684046</v>
      </c>
      <c r="Q35" s="916">
        <f t="shared" si="329"/>
        <v>0.57304724687273212</v>
      </c>
      <c r="R35" s="918">
        <f t="shared" si="329"/>
        <v>0.59315024378668857</v>
      </c>
      <c r="S35" s="916">
        <f t="shared" si="329"/>
        <v>0.64377534537485748</v>
      </c>
      <c r="T35" s="916">
        <f t="shared" ref="T35:U35" si="330">T30/T22</f>
        <v>0.60447920478107064</v>
      </c>
      <c r="U35" s="917">
        <f t="shared" si="330"/>
        <v>0.66042622917451166</v>
      </c>
      <c r="V35" s="919">
        <f t="shared" ref="V35" si="331">V30/V22</f>
        <v>0.605254950528614</v>
      </c>
      <c r="W35" s="916">
        <f t="shared" ref="W35:X35" si="332">W30/W22</f>
        <v>0.6634414543288264</v>
      </c>
      <c r="X35" s="916">
        <f t="shared" si="332"/>
        <v>0.606984250387267</v>
      </c>
      <c r="Y35" s="759"/>
      <c r="Z35" s="918">
        <f t="shared" ref="Z35:AN35" si="333">Z30/Z22</f>
        <v>0.83209624227493406</v>
      </c>
      <c r="AA35" s="920">
        <f t="shared" si="333"/>
        <v>0.8222784017773701</v>
      </c>
      <c r="AB35" s="920">
        <f t="shared" si="333"/>
        <v>0.8345020429991018</v>
      </c>
      <c r="AC35" s="920">
        <f t="shared" si="333"/>
        <v>0.77453159953639961</v>
      </c>
      <c r="AD35" s="920">
        <f t="shared" si="333"/>
        <v>0.77101625258474549</v>
      </c>
      <c r="AE35" s="917">
        <f t="shared" si="333"/>
        <v>0.86602799454782353</v>
      </c>
      <c r="AF35" s="916">
        <f t="shared" si="333"/>
        <v>0.87912894072736458</v>
      </c>
      <c r="AG35" s="916">
        <f t="shared" si="333"/>
        <v>0.78061019233572482</v>
      </c>
      <c r="AH35" s="916">
        <f t="shared" si="333"/>
        <v>0.709620659579834</v>
      </c>
      <c r="AI35" s="916">
        <f t="shared" si="333"/>
        <v>0.66488834248632567</v>
      </c>
      <c r="AJ35" s="916">
        <f t="shared" si="333"/>
        <v>0.6482049775530152</v>
      </c>
      <c r="AK35" s="916">
        <f t="shared" si="333"/>
        <v>0.62384851074791825</v>
      </c>
      <c r="AL35" s="916">
        <f t="shared" si="333"/>
        <v>0.60397380618219332</v>
      </c>
      <c r="AM35" s="916">
        <f t="shared" si="333"/>
        <v>0.61186197898200312</v>
      </c>
      <c r="AN35" s="916">
        <f t="shared" si="333"/>
        <v>0.5986489081686831</v>
      </c>
      <c r="AO35" s="916">
        <f t="shared" ref="AO35:AV35" si="334">AO30/AO22</f>
        <v>0.60514716613962616</v>
      </c>
      <c r="AP35" s="916">
        <f t="shared" si="334"/>
        <v>0.62007836510184988</v>
      </c>
      <c r="AQ35" s="916">
        <f t="shared" si="334"/>
        <v>0.63205505381392935</v>
      </c>
      <c r="AR35" s="916">
        <f t="shared" si="334"/>
        <v>0.61166456386337298</v>
      </c>
      <c r="AS35" s="916">
        <f t="shared" si="334"/>
        <v>0.60342990295676369</v>
      </c>
      <c r="AT35" s="916">
        <f t="shared" si="334"/>
        <v>0.6045650283192977</v>
      </c>
      <c r="AU35" s="916">
        <f t="shared" si="334"/>
        <v>0.56868265076458813</v>
      </c>
      <c r="AV35" s="916">
        <f t="shared" si="334"/>
        <v>0.58375049662296408</v>
      </c>
      <c r="AW35" s="916">
        <f t="shared" ref="AW35:AX35" si="335">AW30/AW22</f>
        <v>0.62309070968087088</v>
      </c>
      <c r="AX35" s="919">
        <f t="shared" si="335"/>
        <v>0.63120791472472959</v>
      </c>
      <c r="AY35" s="916">
        <f t="shared" ref="AY35" si="336">AY30/AY22</f>
        <v>0.63354212304257196</v>
      </c>
      <c r="BA35" s="759"/>
      <c r="BB35" s="895"/>
      <c r="BC35" s="896"/>
      <c r="BD35" s="897"/>
      <c r="BE35" s="898"/>
      <c r="BF35" s="897"/>
    </row>
    <row r="36" spans="1:58" ht="14.5" hidden="1" outlineLevel="1" x14ac:dyDescent="0.35">
      <c r="A36" s="914"/>
      <c r="B36" s="759"/>
      <c r="C36" s="916"/>
      <c r="D36" s="916"/>
      <c r="E36" s="916"/>
      <c r="F36" s="916"/>
      <c r="G36" s="917"/>
      <c r="H36" s="918"/>
      <c r="I36" s="916"/>
      <c r="J36" s="918"/>
      <c r="K36" s="916"/>
      <c r="L36" s="918"/>
      <c r="M36" s="916"/>
      <c r="N36" s="918"/>
      <c r="O36" s="916"/>
      <c r="P36" s="918"/>
      <c r="Q36" s="916"/>
      <c r="R36" s="918"/>
      <c r="S36" s="916"/>
      <c r="T36" s="916"/>
      <c r="U36" s="917"/>
      <c r="V36" s="919"/>
      <c r="W36" s="916"/>
      <c r="X36" s="916"/>
      <c r="Y36" s="759"/>
      <c r="Z36" s="918"/>
      <c r="AA36" s="920"/>
      <c r="AB36" s="920"/>
      <c r="AC36" s="920"/>
      <c r="AD36" s="920"/>
      <c r="AE36" s="917"/>
      <c r="AF36" s="916"/>
      <c r="AG36" s="916"/>
      <c r="AH36" s="916"/>
      <c r="AI36" s="916"/>
      <c r="AJ36" s="916"/>
      <c r="AK36" s="916"/>
      <c r="AL36" s="916"/>
      <c r="AM36" s="916"/>
      <c r="AN36" s="916"/>
      <c r="AO36" s="916"/>
      <c r="AP36" s="916"/>
      <c r="AQ36" s="916"/>
      <c r="AR36" s="916"/>
      <c r="AS36" s="916"/>
      <c r="AT36" s="916"/>
      <c r="AU36" s="916"/>
      <c r="AV36" s="916"/>
      <c r="AW36" s="916"/>
      <c r="AX36" s="919"/>
      <c r="AY36" s="916"/>
      <c r="BA36" s="759"/>
      <c r="BB36" s="895"/>
      <c r="BC36" s="896"/>
      <c r="BD36" s="897"/>
      <c r="BE36" s="898"/>
      <c r="BF36" s="897"/>
    </row>
    <row r="37" spans="1:58" ht="14.5" hidden="1" outlineLevel="1" x14ac:dyDescent="0.35">
      <c r="A37" s="1156" t="s">
        <v>150</v>
      </c>
      <c r="B37" s="759"/>
      <c r="C37" s="916"/>
      <c r="D37" s="916"/>
      <c r="E37" s="916"/>
      <c r="F37" s="916"/>
      <c r="G37" s="917"/>
      <c r="H37" s="918"/>
      <c r="I37" s="916"/>
      <c r="J37" s="918"/>
      <c r="K37" s="916"/>
      <c r="L37" s="918"/>
      <c r="M37" s="916"/>
      <c r="N37" s="918"/>
      <c r="O37" s="916"/>
      <c r="P37" s="918"/>
      <c r="Q37" s="916"/>
      <c r="R37" s="918"/>
      <c r="S37" s="916"/>
      <c r="T37" s="916"/>
      <c r="U37" s="917"/>
      <c r="V37" s="919"/>
      <c r="W37" s="916"/>
      <c r="X37" s="916"/>
      <c r="Y37" s="759"/>
      <c r="Z37" s="918"/>
      <c r="AA37" s="920"/>
      <c r="AB37" s="920"/>
      <c r="AC37" s="920"/>
      <c r="AD37" s="920"/>
      <c r="AE37" s="917"/>
      <c r="AF37" s="916"/>
      <c r="AG37" s="916"/>
      <c r="AH37" s="916"/>
      <c r="AI37" s="916"/>
      <c r="AJ37" s="916"/>
      <c r="AK37" s="916"/>
      <c r="AL37" s="916"/>
      <c r="AM37" s="916"/>
      <c r="AN37" s="916"/>
      <c r="AO37" s="916"/>
      <c r="AP37" s="916"/>
      <c r="AQ37" s="916"/>
      <c r="AR37" s="916"/>
      <c r="AS37" s="916"/>
      <c r="AT37" s="916"/>
      <c r="AU37" s="916"/>
      <c r="AV37" s="916"/>
      <c r="AW37" s="916"/>
      <c r="AX37" s="919"/>
      <c r="AY37" s="916"/>
      <c r="BA37" s="759"/>
      <c r="BB37" s="895"/>
      <c r="BC37" s="896"/>
      <c r="BD37" s="897"/>
      <c r="BE37" s="898"/>
      <c r="BF37" s="897"/>
    </row>
    <row r="38" spans="1:58" ht="14.5" hidden="1" outlineLevel="1" x14ac:dyDescent="0.35">
      <c r="A38" s="914" t="str">
        <f>+Canalyst!A102</f>
        <v>Employee headcount end of period, # of employees</v>
      </c>
      <c r="B38" s="915"/>
      <c r="C38" s="916"/>
      <c r="D38" s="1142"/>
      <c r="E38" s="1142"/>
      <c r="F38" s="1143"/>
      <c r="G38" s="1144"/>
      <c r="H38" s="1145"/>
      <c r="I38" s="1142"/>
      <c r="J38" s="1145"/>
      <c r="K38" s="1142">
        <f>+Canalyst!G102</f>
        <v>1315</v>
      </c>
      <c r="L38" s="1145">
        <f>+Canalyst!H102</f>
        <v>1330</v>
      </c>
      <c r="M38" s="1142">
        <f>+Canalyst!I102</f>
        <v>1481</v>
      </c>
      <c r="N38" s="1145">
        <f>+Canalyst!J102</f>
        <v>1534</v>
      </c>
      <c r="O38" s="1142">
        <f>+Canalyst!K102</f>
        <v>1658</v>
      </c>
      <c r="P38" s="1145">
        <f>+Canalyst!L102</f>
        <v>1681</v>
      </c>
      <c r="Q38" s="1142">
        <f>+Canalyst!M102</f>
        <v>1779</v>
      </c>
      <c r="R38" s="1145">
        <f>+Canalyst!N102</f>
        <v>1921</v>
      </c>
      <c r="S38" s="1142">
        <f>+'Disclosed financials'!S186</f>
        <v>2154</v>
      </c>
      <c r="T38" s="1142">
        <f>+'Disclosed financials'!T186</f>
        <v>2315</v>
      </c>
      <c r="U38" s="1144">
        <f>+'Disclosed financials'!U186</f>
        <v>2468</v>
      </c>
      <c r="V38" s="1146">
        <f>+'Disclosed financials'!V186</f>
        <v>2509</v>
      </c>
      <c r="W38" s="1142"/>
      <c r="X38" s="1142"/>
      <c r="Y38" s="1142"/>
      <c r="Z38" s="1142">
        <f>+Canalyst!Q102</f>
        <v>0</v>
      </c>
      <c r="AA38" s="1142">
        <f>+Canalyst!R102</f>
        <v>0</v>
      </c>
      <c r="AB38" s="1142">
        <f>+Canalyst!S102</f>
        <v>0</v>
      </c>
      <c r="AC38" s="1142">
        <f>+Canalyst!T102</f>
        <v>0</v>
      </c>
      <c r="AD38" s="1142">
        <f>+Canalyst!U102</f>
        <v>0</v>
      </c>
      <c r="AE38" s="1142">
        <f>+Canalyst!V102</f>
        <v>0</v>
      </c>
      <c r="AF38" s="1142">
        <f>+Canalyst!W102</f>
        <v>0</v>
      </c>
      <c r="AG38" s="1142">
        <f>+Canalyst!X102</f>
        <v>0</v>
      </c>
      <c r="AH38" s="1142">
        <f>+Canalyst!Y102</f>
        <v>0</v>
      </c>
      <c r="AI38" s="1142">
        <f>+Canalyst!Z102</f>
        <v>0</v>
      </c>
      <c r="AJ38" s="1142">
        <f>+Canalyst!AA102</f>
        <v>0</v>
      </c>
      <c r="AK38" s="1142">
        <f>+Canalyst!AB102</f>
        <v>0</v>
      </c>
      <c r="AL38" s="1142">
        <f>+Canalyst!AC102</f>
        <v>0</v>
      </c>
      <c r="AM38" s="1142">
        <f>+Canalyst!AD102</f>
        <v>558</v>
      </c>
      <c r="AN38" s="1142">
        <f>+Canalyst!AE102</f>
        <v>673</v>
      </c>
      <c r="AO38" s="1142">
        <f>+Canalyst!AF102</f>
        <v>794</v>
      </c>
      <c r="AP38" s="1142">
        <f>+Canalyst!AG102</f>
        <v>927</v>
      </c>
      <c r="AQ38" s="1142">
        <f>+Canalyst!AH102</f>
        <v>1046</v>
      </c>
      <c r="AR38" s="1142">
        <f>+Canalyst!AI102</f>
        <v>1188</v>
      </c>
      <c r="AS38" s="1142">
        <f>+Canalyst!AJ102</f>
        <v>1330</v>
      </c>
      <c r="AT38" s="1142">
        <f>+Canalyst!AK102</f>
        <v>1534</v>
      </c>
      <c r="AU38" s="1142">
        <f>+Canalyst!AL102</f>
        <v>1681</v>
      </c>
      <c r="AV38" s="1142">
        <f>+Canalyst!AM102</f>
        <v>1921</v>
      </c>
      <c r="AW38" s="1142">
        <f>+T38</f>
        <v>2315</v>
      </c>
      <c r="AX38" s="1146"/>
      <c r="AY38" s="1142"/>
      <c r="BA38" s="759"/>
      <c r="BB38" s="895"/>
      <c r="BC38" s="896"/>
      <c r="BD38" s="897"/>
      <c r="BE38" s="898"/>
      <c r="BF38" s="897"/>
    </row>
    <row r="39" spans="1:58" ht="14.5" hidden="1" outlineLevel="1" x14ac:dyDescent="0.35">
      <c r="A39" s="956" t="s">
        <v>37</v>
      </c>
      <c r="B39" s="915"/>
      <c r="C39" s="916"/>
      <c r="D39" s="916"/>
      <c r="E39" s="916"/>
      <c r="F39" s="916"/>
      <c r="G39" s="917"/>
      <c r="H39" s="918"/>
      <c r="I39" s="916"/>
      <c r="J39" s="918"/>
      <c r="K39" s="916"/>
      <c r="L39" s="918"/>
      <c r="M39" s="916">
        <f t="shared" ref="M39" si="337">M38/K38-1</f>
        <v>0.12623574144486693</v>
      </c>
      <c r="N39" s="918">
        <f t="shared" ref="N39" si="338">N38/L38-1</f>
        <v>0.15338345864661651</v>
      </c>
      <c r="O39" s="916">
        <f t="shared" ref="O39" si="339">O38/M38-1</f>
        <v>0.11951384199864945</v>
      </c>
      <c r="P39" s="918">
        <f t="shared" ref="P39" si="340">P38/N38-1</f>
        <v>9.5827900912646591E-2</v>
      </c>
      <c r="Q39" s="916">
        <f t="shared" ref="Q39" si="341">Q38/O38-1</f>
        <v>7.2979493365500581E-2</v>
      </c>
      <c r="R39" s="918">
        <f t="shared" ref="R39" si="342">R38/P38-1</f>
        <v>0.1427721594289113</v>
      </c>
      <c r="S39" s="916">
        <f t="shared" ref="S39" si="343">S38/Q38-1</f>
        <v>0.21079258010118052</v>
      </c>
      <c r="T39" s="916">
        <f t="shared" ref="T39" si="344">T38/R38-1</f>
        <v>0.20510150963040075</v>
      </c>
      <c r="U39" s="917">
        <f t="shared" ref="U39" si="345">U38/S38-1</f>
        <v>0.14577530176415965</v>
      </c>
      <c r="V39" s="919">
        <f t="shared" ref="V39" si="346">V38/T38-1</f>
        <v>8.3801295896328343E-2</v>
      </c>
      <c r="W39" s="916"/>
      <c r="X39" s="916"/>
      <c r="Y39" s="915"/>
      <c r="Z39" s="918" t="str">
        <f>IFERROR(Z38/#REF!-1,"")</f>
        <v/>
      </c>
      <c r="AA39" s="920" t="str">
        <f t="shared" ref="AA39" si="347">IFERROR(AA38/Z38-1,"")</f>
        <v/>
      </c>
      <c r="AB39" s="920" t="str">
        <f t="shared" ref="AB39" si="348">IFERROR(AB38/AA38-1,"")</f>
        <v/>
      </c>
      <c r="AC39" s="920" t="str">
        <f t="shared" ref="AC39" si="349">IFERROR(AC38/AB38-1,"")</f>
        <v/>
      </c>
      <c r="AD39" s="920" t="str">
        <f t="shared" ref="AD39" si="350">IFERROR(AD38/AC38-1,"")</f>
        <v/>
      </c>
      <c r="AE39" s="917" t="str">
        <f t="shared" ref="AE39" si="351">IFERROR(AE38/AD38-1,"")</f>
        <v/>
      </c>
      <c r="AF39" s="916" t="str">
        <f t="shared" ref="AF39" si="352">IFERROR(AF38/AE38-1,"")</f>
        <v/>
      </c>
      <c r="AG39" s="916" t="str">
        <f t="shared" ref="AG39" si="353">IFERROR(AG38/AF38-1,"")</f>
        <v/>
      </c>
      <c r="AH39" s="916" t="str">
        <f t="shared" ref="AH39" si="354">IFERROR(AH38/AG38-1,"")</f>
        <v/>
      </c>
      <c r="AI39" s="916" t="str">
        <f t="shared" ref="AI39" si="355">IFERROR(AI38/AH38-1,"")</f>
        <v/>
      </c>
      <c r="AJ39" s="916" t="str">
        <f t="shared" ref="AJ39" si="356">IFERROR(AJ38/AI38-1,"")</f>
        <v/>
      </c>
      <c r="AK39" s="916" t="str">
        <f t="shared" ref="AK39" si="357">IFERROR(AK38/AJ38-1,"")</f>
        <v/>
      </c>
      <c r="AL39" s="916" t="str">
        <f t="shared" ref="AL39" si="358">IFERROR(AL38/AK38-1,"")</f>
        <v/>
      </c>
      <c r="AM39" s="916" t="str">
        <f t="shared" ref="AM39" si="359">IFERROR(AM38/AL38-1,"")</f>
        <v/>
      </c>
      <c r="AN39" s="916">
        <f t="shared" ref="AN39" si="360">IFERROR(AN38/AM38-1,"")</f>
        <v>0.2060931899641576</v>
      </c>
      <c r="AO39" s="916">
        <f t="shared" ref="AO39" si="361">IFERROR(AO38/AN38-1,"")</f>
        <v>0.17979197622585441</v>
      </c>
      <c r="AP39" s="916">
        <f t="shared" ref="AP39" si="362">IFERROR(AP38/AO38-1,"")</f>
        <v>0.16750629722921917</v>
      </c>
      <c r="AQ39" s="916">
        <f t="shared" ref="AQ39" si="363">IFERROR(AQ38/AP38-1,"")</f>
        <v>0.12837108953613807</v>
      </c>
      <c r="AR39" s="916">
        <f t="shared" ref="AR39" si="364">IFERROR(AR38/AQ38-1,"")</f>
        <v>0.13575525812619493</v>
      </c>
      <c r="AS39" s="916">
        <f t="shared" ref="AS39" si="365">IFERROR(AS38/AR38-1,"")</f>
        <v>0.1195286195286196</v>
      </c>
      <c r="AT39" s="916">
        <f t="shared" ref="AT39" si="366">IFERROR(AT38/AS38-1,"")</f>
        <v>0.15338345864661651</v>
      </c>
      <c r="AU39" s="916">
        <f t="shared" ref="AU39" si="367">IFERROR(AU38/AT38-1,"")</f>
        <v>9.5827900912646591E-2</v>
      </c>
      <c r="AV39" s="916">
        <f t="shared" ref="AV39:AW39" si="368">IFERROR(AV38/AU38-1,"")</f>
        <v>0.1427721594289113</v>
      </c>
      <c r="AW39" s="916">
        <f t="shared" si="368"/>
        <v>0.20510150963040075</v>
      </c>
      <c r="AX39" s="919"/>
      <c r="AY39" s="916"/>
      <c r="BA39" s="915"/>
      <c r="BB39" s="921"/>
      <c r="BC39" s="922"/>
      <c r="BD39" s="923"/>
      <c r="BE39" s="924"/>
      <c r="BF39" s="923"/>
    </row>
    <row r="40" spans="1:58" ht="14.5" hidden="1" outlineLevel="1" x14ac:dyDescent="0.35">
      <c r="A40" s="956"/>
      <c r="B40" s="915"/>
      <c r="C40" s="916"/>
      <c r="D40" s="916"/>
      <c r="E40" s="916"/>
      <c r="F40" s="916"/>
      <c r="G40" s="917"/>
      <c r="H40" s="918"/>
      <c r="I40" s="916"/>
      <c r="J40" s="918"/>
      <c r="K40" s="916"/>
      <c r="L40" s="918"/>
      <c r="M40" s="916"/>
      <c r="N40" s="918"/>
      <c r="O40" s="916"/>
      <c r="P40" s="918"/>
      <c r="Q40" s="916"/>
      <c r="R40" s="918"/>
      <c r="S40" s="916"/>
      <c r="T40" s="916"/>
      <c r="U40" s="917"/>
      <c r="V40" s="919"/>
      <c r="W40" s="916"/>
      <c r="X40" s="916"/>
      <c r="Y40" s="915"/>
      <c r="Z40" s="918"/>
      <c r="AA40" s="920"/>
      <c r="AB40" s="920"/>
      <c r="AC40" s="920"/>
      <c r="AD40" s="920"/>
      <c r="AE40" s="917"/>
      <c r="AF40" s="916"/>
      <c r="AG40" s="916"/>
      <c r="AH40" s="916"/>
      <c r="AI40" s="916"/>
      <c r="AJ40" s="916"/>
      <c r="AK40" s="916"/>
      <c r="AL40" s="916"/>
      <c r="AM40" s="916"/>
      <c r="AN40" s="916"/>
      <c r="AO40" s="916"/>
      <c r="AP40" s="916"/>
      <c r="AQ40" s="916"/>
      <c r="AR40" s="916"/>
      <c r="AS40" s="916"/>
      <c r="AT40" s="916"/>
      <c r="AU40" s="916"/>
      <c r="AV40" s="916"/>
      <c r="AW40" s="916"/>
      <c r="AX40" s="919"/>
      <c r="AY40" s="916"/>
      <c r="BA40" s="915"/>
      <c r="BB40" s="921"/>
      <c r="BC40" s="922"/>
      <c r="BD40" s="923"/>
      <c r="BE40" s="924"/>
      <c r="BF40" s="923"/>
    </row>
    <row r="41" spans="1:58" ht="14.5" hidden="1" outlineLevel="1" x14ac:dyDescent="0.35">
      <c r="A41" s="914" t="s">
        <v>151</v>
      </c>
      <c r="B41" s="915"/>
      <c r="C41" s="916"/>
      <c r="D41" s="1142"/>
      <c r="E41" s="1142"/>
      <c r="F41" s="1143"/>
      <c r="G41" s="1144"/>
      <c r="H41" s="1145"/>
      <c r="I41" s="1142"/>
      <c r="J41" s="1145"/>
      <c r="K41" s="1142"/>
      <c r="L41" s="1145">
        <f>+L30/AVERAGE(K38:L38)*1000000</f>
        <v>49783.742911153116</v>
      </c>
      <c r="M41" s="1142">
        <f t="shared" ref="M41:S41" si="369">+M30/AVERAGE(L38:M38)*1000000</f>
        <v>50653.859836357173</v>
      </c>
      <c r="N41" s="1145">
        <f t="shared" si="369"/>
        <v>46950.580431177463</v>
      </c>
      <c r="O41" s="1142">
        <f t="shared" si="369"/>
        <v>48496.240601503763</v>
      </c>
      <c r="P41" s="1145">
        <f t="shared" si="369"/>
        <v>47644.204851752023</v>
      </c>
      <c r="Q41" s="1142">
        <f t="shared" si="369"/>
        <v>49756.069364161856</v>
      </c>
      <c r="R41" s="1145">
        <f t="shared" si="369"/>
        <v>56749.729729729726</v>
      </c>
      <c r="S41" s="1142">
        <f t="shared" si="369"/>
        <v>55942.576687116569</v>
      </c>
      <c r="T41" s="1142">
        <f t="shared" ref="T41" si="370">+T30/AVERAGE(S38:T38)*1000000</f>
        <v>53232.042962631444</v>
      </c>
      <c r="U41" s="1144">
        <f t="shared" ref="U41" si="371">+U30/AVERAGE(T38:U38)*1000000</f>
        <v>54268.450763119377</v>
      </c>
      <c r="V41" s="1146">
        <f t="shared" ref="V41" si="372">+V30/AVERAGE(U38:V38)*1000000</f>
        <v>53809.925658026928</v>
      </c>
      <c r="W41" s="1142"/>
      <c r="X41" s="1142"/>
      <c r="Y41" s="1142"/>
      <c r="Z41" s="1142"/>
      <c r="AA41" s="1142"/>
      <c r="AB41" s="1142"/>
      <c r="AC41" s="1142"/>
      <c r="AD41" s="1142"/>
      <c r="AE41" s="1142"/>
      <c r="AF41" s="1142"/>
      <c r="AG41" s="1142"/>
      <c r="AH41" s="1142"/>
      <c r="AI41" s="1142"/>
      <c r="AJ41" s="1142"/>
      <c r="AK41" s="1142"/>
      <c r="AL41" s="1142"/>
      <c r="AM41" s="1142"/>
      <c r="AN41" s="1142">
        <f t="shared" ref="AN41:AW41" si="373">+AN30/AVERAGE(AM38:AN38)*1000000</f>
        <v>86097.481722177094</v>
      </c>
      <c r="AO41" s="1142">
        <f t="shared" si="373"/>
        <v>84790.729379686542</v>
      </c>
      <c r="AP41" s="1142">
        <f t="shared" si="373"/>
        <v>86988.959907030789</v>
      </c>
      <c r="AQ41" s="1142">
        <f t="shared" si="373"/>
        <v>87329.954384186538</v>
      </c>
      <c r="AR41" s="1142">
        <f t="shared" si="373"/>
        <v>95918.531781557744</v>
      </c>
      <c r="AS41" s="1142">
        <f t="shared" si="373"/>
        <v>101199.36457505956</v>
      </c>
      <c r="AT41" s="1142">
        <f t="shared" si="373"/>
        <v>99510.474860335205</v>
      </c>
      <c r="AU41" s="1142">
        <f t="shared" si="373"/>
        <v>97766.718506998455</v>
      </c>
      <c r="AV41" s="1142">
        <f t="shared" si="373"/>
        <v>106057.19044975017</v>
      </c>
      <c r="AW41" s="1142">
        <f t="shared" si="373"/>
        <v>109976.3928234183</v>
      </c>
      <c r="AX41" s="1146"/>
      <c r="AY41" s="1142"/>
      <c r="BA41" s="759"/>
      <c r="BB41" s="895"/>
      <c r="BC41" s="896"/>
      <c r="BD41" s="897"/>
      <c r="BE41" s="898"/>
      <c r="BF41" s="897"/>
    </row>
    <row r="42" spans="1:58" ht="14.5" hidden="1" outlineLevel="1" x14ac:dyDescent="0.35">
      <c r="A42" s="956" t="s">
        <v>37</v>
      </c>
      <c r="B42" s="915"/>
      <c r="C42" s="916"/>
      <c r="D42" s="916"/>
      <c r="E42" s="916"/>
      <c r="F42" s="916"/>
      <c r="G42" s="917"/>
      <c r="H42" s="918"/>
      <c r="I42" s="916"/>
      <c r="J42" s="918"/>
      <c r="K42" s="916"/>
      <c r="L42" s="918"/>
      <c r="M42" s="916"/>
      <c r="N42" s="918">
        <f t="shared" ref="N42" si="374">N41/L41-1</f>
        <v>-5.6909390783089098E-2</v>
      </c>
      <c r="O42" s="916">
        <f t="shared" ref="O42" si="375">O41/M41-1</f>
        <v>-4.2595356836060194E-2</v>
      </c>
      <c r="P42" s="918">
        <f t="shared" ref="P42" si="376">P41/N41-1</f>
        <v>1.4773500438217457E-2</v>
      </c>
      <c r="Q42" s="916">
        <f t="shared" ref="Q42" si="377">Q41/O41-1</f>
        <v>2.5977864408298634E-2</v>
      </c>
      <c r="R42" s="918">
        <f t="shared" ref="R42" si="378">R41/P41-1</f>
        <v>0.19111505599285628</v>
      </c>
      <c r="S42" s="916">
        <f t="shared" ref="S42" si="379">S41/Q41-1</f>
        <v>0.12433673724658623</v>
      </c>
      <c r="T42" s="916">
        <f t="shared" ref="T42" si="380">T41/R41-1</f>
        <v>-6.1985965111221564E-2</v>
      </c>
      <c r="U42" s="917">
        <f t="shared" ref="U42" si="381">U41/S41-1</f>
        <v>-2.9925792180801269E-2</v>
      </c>
      <c r="V42" s="919">
        <f t="shared" ref="V42" si="382">V41/T41-1</f>
        <v>1.0855918037959933E-2</v>
      </c>
      <c r="W42" s="916"/>
      <c r="X42" s="916"/>
      <c r="Y42" s="915"/>
      <c r="Z42" s="918" t="str">
        <f>IFERROR(Z41/#REF!-1,"")</f>
        <v/>
      </c>
      <c r="AA42" s="920" t="str">
        <f t="shared" ref="AA42" si="383">IFERROR(AA41/Z41-1,"")</f>
        <v/>
      </c>
      <c r="AB42" s="920" t="str">
        <f t="shared" ref="AB42" si="384">IFERROR(AB41/AA41-1,"")</f>
        <v/>
      </c>
      <c r="AC42" s="920" t="str">
        <f t="shared" ref="AC42" si="385">IFERROR(AC41/AB41-1,"")</f>
        <v/>
      </c>
      <c r="AD42" s="920" t="str">
        <f t="shared" ref="AD42" si="386">IFERROR(AD41/AC41-1,"")</f>
        <v/>
      </c>
      <c r="AE42" s="917" t="str">
        <f t="shared" ref="AE42" si="387">IFERROR(AE41/AD41-1,"")</f>
        <v/>
      </c>
      <c r="AF42" s="916" t="str">
        <f t="shared" ref="AF42" si="388">IFERROR(AF41/AE41-1,"")</f>
        <v/>
      </c>
      <c r="AG42" s="916" t="str">
        <f t="shared" ref="AG42" si="389">IFERROR(AG41/AF41-1,"")</f>
        <v/>
      </c>
      <c r="AH42" s="916" t="str">
        <f t="shared" ref="AH42" si="390">IFERROR(AH41/AG41-1,"")</f>
        <v/>
      </c>
      <c r="AI42" s="916" t="str">
        <f t="shared" ref="AI42" si="391">IFERROR(AI41/AH41-1,"")</f>
        <v/>
      </c>
      <c r="AJ42" s="916" t="str">
        <f t="shared" ref="AJ42" si="392">IFERROR(AJ41/AI41-1,"")</f>
        <v/>
      </c>
      <c r="AK42" s="916" t="str">
        <f t="shared" ref="AK42" si="393">IFERROR(AK41/AJ41-1,"")</f>
        <v/>
      </c>
      <c r="AL42" s="916" t="str">
        <f t="shared" ref="AL42" si="394">IFERROR(AL41/AK41-1,"")</f>
        <v/>
      </c>
      <c r="AM42" s="916" t="str">
        <f t="shared" ref="AM42" si="395">IFERROR(AM41/AL41-1,"")</f>
        <v/>
      </c>
      <c r="AN42" s="916"/>
      <c r="AO42" s="916">
        <f t="shared" ref="AO42" si="396">IFERROR(AO41/AN41-1,"")</f>
        <v>-1.5177590753551073E-2</v>
      </c>
      <c r="AP42" s="916">
        <f t="shared" ref="AP42" si="397">IFERROR(AP41/AO41-1,"")</f>
        <v>2.5925364051307298E-2</v>
      </c>
      <c r="AQ42" s="916">
        <f t="shared" ref="AQ42" si="398">IFERROR(AQ41/AP41-1,"")</f>
        <v>3.9199741843123359E-3</v>
      </c>
      <c r="AR42" s="916">
        <f t="shared" ref="AR42" si="399">IFERROR(AR41/AQ41-1,"")</f>
        <v>9.8346294326318917E-2</v>
      </c>
      <c r="AS42" s="916">
        <f t="shared" ref="AS42" si="400">IFERROR(AS41/AR41-1,"")</f>
        <v>5.5055396443392635E-2</v>
      </c>
      <c r="AT42" s="916">
        <f t="shared" ref="AT42" si="401">IFERROR(AT41/AS41-1,"")</f>
        <v>-1.6688738331669173E-2</v>
      </c>
      <c r="AU42" s="916">
        <f t="shared" ref="AU42" si="402">IFERROR(AU41/AT41-1,"")</f>
        <v>-1.7523344711038114E-2</v>
      </c>
      <c r="AV42" s="916">
        <f t="shared" ref="AV42:AW42" si="403">IFERROR(AV41/AU41-1,"")</f>
        <v>8.4798508831594344E-2</v>
      </c>
      <c r="AW42" s="916">
        <f t="shared" si="403"/>
        <v>3.6953669591361038E-2</v>
      </c>
      <c r="AX42" s="919"/>
      <c r="AY42" s="916"/>
      <c r="BA42" s="915"/>
      <c r="BB42" s="921"/>
      <c r="BC42" s="922"/>
      <c r="BD42" s="923"/>
      <c r="BE42" s="924"/>
      <c r="BF42" s="923"/>
    </row>
    <row r="43" spans="1:58" ht="14.5" collapsed="1" x14ac:dyDescent="0.35">
      <c r="A43" s="956"/>
      <c r="B43" s="915"/>
      <c r="C43" s="916"/>
      <c r="D43" s="916"/>
      <c r="E43" s="916"/>
      <c r="F43" s="916"/>
      <c r="G43" s="917"/>
      <c r="H43" s="918"/>
      <c r="I43" s="916"/>
      <c r="J43" s="918"/>
      <c r="K43" s="916"/>
      <c r="L43" s="918"/>
      <c r="M43" s="916"/>
      <c r="N43" s="918"/>
      <c r="O43" s="916"/>
      <c r="P43" s="918"/>
      <c r="Q43" s="916"/>
      <c r="R43" s="918"/>
      <c r="S43" s="916"/>
      <c r="T43" s="916"/>
      <c r="U43" s="917"/>
      <c r="V43" s="919"/>
      <c r="W43" s="916"/>
      <c r="X43" s="916"/>
      <c r="Y43" s="915"/>
      <c r="Z43" s="916"/>
      <c r="AA43" s="916"/>
      <c r="AB43" s="916"/>
      <c r="AC43" s="916"/>
      <c r="AD43" s="916"/>
      <c r="AE43" s="916"/>
      <c r="AF43" s="916"/>
      <c r="AG43" s="916"/>
      <c r="AH43" s="916"/>
      <c r="AI43" s="916"/>
      <c r="AJ43" s="916"/>
      <c r="AK43" s="916"/>
      <c r="AL43" s="916"/>
      <c r="AM43" s="916"/>
      <c r="AN43" s="916"/>
      <c r="AO43" s="916"/>
      <c r="AP43" s="916"/>
      <c r="AQ43" s="916"/>
      <c r="AR43" s="916"/>
      <c r="AS43" s="916"/>
      <c r="AT43" s="916"/>
      <c r="AU43" s="916"/>
      <c r="AV43" s="916"/>
      <c r="AW43" s="916"/>
      <c r="AX43" s="919"/>
      <c r="AY43" s="916"/>
      <c r="BA43" s="915"/>
      <c r="BB43" s="921"/>
      <c r="BC43" s="922"/>
      <c r="BD43" s="923"/>
      <c r="BE43" s="924"/>
      <c r="BF43" s="923"/>
    </row>
    <row r="44" spans="1:58" ht="14.5" x14ac:dyDescent="0.35">
      <c r="A44" s="759"/>
      <c r="B44" s="759"/>
      <c r="C44" s="943"/>
      <c r="D44" s="943"/>
      <c r="E44" s="943"/>
      <c r="F44" s="943"/>
      <c r="G44" s="949"/>
      <c r="H44" s="946"/>
      <c r="I44" s="943"/>
      <c r="J44" s="946"/>
      <c r="K44" s="943"/>
      <c r="L44" s="946"/>
      <c r="M44" s="943"/>
      <c r="N44" s="946"/>
      <c r="O44" s="943"/>
      <c r="P44" s="946"/>
      <c r="Q44" s="943"/>
      <c r="R44" s="946"/>
      <c r="S44" s="943"/>
      <c r="T44" s="943"/>
      <c r="U44" s="949"/>
      <c r="V44" s="947"/>
      <c r="W44" s="1265"/>
      <c r="X44" s="1419"/>
      <c r="Y44" s="1266"/>
      <c r="Z44" s="940"/>
      <c r="AA44" s="942"/>
      <c r="AB44" s="942"/>
      <c r="AC44" s="942"/>
      <c r="AD44" s="942"/>
      <c r="AE44" s="939"/>
      <c r="AF44" s="938"/>
      <c r="AG44" s="938"/>
      <c r="AH44" s="938"/>
      <c r="AI44" s="938"/>
      <c r="AJ44" s="938"/>
      <c r="AK44" s="938"/>
      <c r="AL44" s="938"/>
      <c r="AM44" s="938"/>
      <c r="AN44" s="938"/>
      <c r="AO44" s="938"/>
      <c r="AP44" s="938"/>
      <c r="AQ44" s="916"/>
      <c r="AR44" s="938"/>
      <c r="AS44" s="938"/>
      <c r="AT44" s="938"/>
      <c r="AU44" s="938"/>
      <c r="AV44" s="992"/>
      <c r="AW44" s="1265"/>
      <c r="AX44" s="1357"/>
      <c r="AY44" s="1265" t="str">
        <f>+Base!O30</f>
        <v>c = 170</v>
      </c>
      <c r="BA44" s="759"/>
      <c r="BB44" s="895"/>
      <c r="BC44" s="896"/>
      <c r="BD44" s="897"/>
      <c r="BE44" s="898"/>
      <c r="BF44" s="897"/>
    </row>
    <row r="45" spans="1:58" collapsed="1" x14ac:dyDescent="0.3">
      <c r="A45" s="900" t="s">
        <v>759</v>
      </c>
      <c r="B45" s="901"/>
      <c r="C45" s="902">
        <f t="shared" ref="C45:S45" si="404">+C54-C53</f>
        <v>17.290999999999983</v>
      </c>
      <c r="D45" s="902">
        <f t="shared" si="404"/>
        <v>23.290000000000024</v>
      </c>
      <c r="E45" s="902">
        <f t="shared" si="404"/>
        <v>19.001000000000015</v>
      </c>
      <c r="F45" s="903">
        <f t="shared" si="404"/>
        <v>26.861999999999966</v>
      </c>
      <c r="G45" s="904">
        <f t="shared" si="404"/>
        <v>20.9</v>
      </c>
      <c r="H45" s="905">
        <f t="shared" si="404"/>
        <v>29.252000000000002</v>
      </c>
      <c r="I45" s="902">
        <f t="shared" si="404"/>
        <v>24.11</v>
      </c>
      <c r="J45" s="905">
        <f t="shared" si="404"/>
        <v>43.912000000000013</v>
      </c>
      <c r="K45" s="902">
        <f t="shared" si="404"/>
        <v>33.854000000000028</v>
      </c>
      <c r="L45" s="905">
        <f t="shared" si="404"/>
        <v>50.632000000000005</v>
      </c>
      <c r="M45" s="902">
        <f t="shared" si="404"/>
        <v>40.478000000000023</v>
      </c>
      <c r="N45" s="905">
        <f t="shared" si="404"/>
        <v>53.254999999999889</v>
      </c>
      <c r="O45" s="902">
        <f t="shared" si="404"/>
        <v>57.06400000000005</v>
      </c>
      <c r="P45" s="905">
        <f t="shared" si="404"/>
        <v>62.35199999999989</v>
      </c>
      <c r="Q45" s="902">
        <f t="shared" si="404"/>
        <v>64.133000000000067</v>
      </c>
      <c r="R45" s="905">
        <f t="shared" si="404"/>
        <v>72.011999999999858</v>
      </c>
      <c r="S45" s="902">
        <f t="shared" si="404"/>
        <v>63.070999999999977</v>
      </c>
      <c r="T45" s="902">
        <f t="shared" ref="T45:U45" si="405">+T54-T53</f>
        <v>77.82900000000005</v>
      </c>
      <c r="U45" s="904">
        <f t="shared" si="405"/>
        <v>66.731000000000023</v>
      </c>
      <c r="V45" s="906">
        <f t="shared" ref="V45" si="406">+V54-V53</f>
        <v>87.33299999999997</v>
      </c>
      <c r="W45" s="907">
        <f>+W22-W30</f>
        <v>74.07508196930803</v>
      </c>
      <c r="X45" s="907">
        <f t="shared" ref="X45" si="407">+X22-X30</f>
        <v>97.384460799999999</v>
      </c>
      <c r="Y45" s="908"/>
      <c r="Z45" s="905">
        <f t="shared" ref="Z45:AX45" si="408">+Z54-Z53</f>
        <v>0.53351100000000029</v>
      </c>
      <c r="AA45" s="909">
        <f t="shared" si="408"/>
        <v>0.80633000000000088</v>
      </c>
      <c r="AB45" s="909">
        <f t="shared" si="408"/>
        <v>1.1837199999999992</v>
      </c>
      <c r="AC45" s="909">
        <f t="shared" si="408"/>
        <v>1.6568710000000015</v>
      </c>
      <c r="AD45" s="909">
        <f t="shared" si="408"/>
        <v>1.9936170000000024</v>
      </c>
      <c r="AE45" s="902">
        <f t="shared" si="408"/>
        <v>1.147129000000005</v>
      </c>
      <c r="AF45" s="902">
        <f t="shared" si="408"/>
        <v>1.3125009999999957</v>
      </c>
      <c r="AG45" s="902">
        <f t="shared" si="408"/>
        <v>3.3336380000000077</v>
      </c>
      <c r="AH45" s="902">
        <f t="shared" si="408"/>
        <v>5.7374389999999984</v>
      </c>
      <c r="AI45" s="902">
        <f t="shared" si="408"/>
        <v>7.4000070000000093</v>
      </c>
      <c r="AJ45" s="902">
        <f t="shared" si="408"/>
        <v>10.032754999999991</v>
      </c>
      <c r="AK45" s="902">
        <f t="shared" si="408"/>
        <v>16.289691999999988</v>
      </c>
      <c r="AL45" s="902">
        <f t="shared" si="408"/>
        <v>22.290106999999999</v>
      </c>
      <c r="AM45" s="902">
        <f t="shared" si="408"/>
        <v>27.367999999999967</v>
      </c>
      <c r="AN45" s="902">
        <f t="shared" si="408"/>
        <v>35.528000000000013</v>
      </c>
      <c r="AO45" s="902">
        <f t="shared" si="408"/>
        <v>40.580999999999925</v>
      </c>
      <c r="AP45" s="902">
        <f t="shared" si="408"/>
        <v>45.862999999999985</v>
      </c>
      <c r="AQ45" s="902">
        <f t="shared" si="408"/>
        <v>50.151999999999994</v>
      </c>
      <c r="AR45" s="902">
        <f t="shared" si="408"/>
        <v>68.022000000000006</v>
      </c>
      <c r="AS45" s="902">
        <f t="shared" si="408"/>
        <v>83.733000000000047</v>
      </c>
      <c r="AT45" s="902">
        <f t="shared" si="408"/>
        <v>93.205999999999918</v>
      </c>
      <c r="AU45" s="902">
        <f t="shared" si="408"/>
        <v>119.19799999999992</v>
      </c>
      <c r="AV45" s="902">
        <f t="shared" si="408"/>
        <v>136.20099999999988</v>
      </c>
      <c r="AW45" s="902">
        <f t="shared" si="408"/>
        <v>140.9</v>
      </c>
      <c r="AX45" s="906">
        <f t="shared" si="408"/>
        <v>154.06399999999999</v>
      </c>
      <c r="AY45" s="902">
        <f>+SUM(W45:X45)</f>
        <v>171.45954276930803</v>
      </c>
      <c r="AZ45" s="910"/>
      <c r="BA45" s="903"/>
      <c r="BB45" s="910">
        <f>(AE45/Z45)^(1/5)-1</f>
        <v>0.16545034878957865</v>
      </c>
      <c r="BC45" s="911">
        <f>(AJ45/AE45)^(1/5)-1</f>
        <v>0.54298459297349466</v>
      </c>
      <c r="BD45" s="912">
        <f>(AO45/AJ45)^(1/5)-1</f>
        <v>0.32245379604119173</v>
      </c>
      <c r="BE45" s="913">
        <f>(AO45/AE45)^(1/10)-1</f>
        <v>0.42846975194117132</v>
      </c>
      <c r="BF45" s="912">
        <f>(AO45/Z45)^(1/15)-1</f>
        <v>0.33478696781012562</v>
      </c>
    </row>
    <row r="46" spans="1:58" ht="14.5" x14ac:dyDescent="0.35">
      <c r="A46" s="914" t="s">
        <v>37</v>
      </c>
      <c r="B46" s="759"/>
      <c r="C46" s="916"/>
      <c r="D46" s="916"/>
      <c r="E46" s="916">
        <f t="shared" ref="E46" si="409">E45/C45-1</f>
        <v>9.8895379098955294E-2</v>
      </c>
      <c r="F46" s="916">
        <f t="shared" ref="F46" si="410">F45/D45-1</f>
        <v>0.15337054529840866</v>
      </c>
      <c r="G46" s="917">
        <f t="shared" ref="G46" si="411">G45/E45-1</f>
        <v>9.9942108310087985E-2</v>
      </c>
      <c r="H46" s="918">
        <f t="shared" ref="H46" si="412">H45/F45-1</f>
        <v>8.8973270791454118E-2</v>
      </c>
      <c r="I46" s="916">
        <f t="shared" ref="I46" si="413">I45/G45-1</f>
        <v>0.1535885167464115</v>
      </c>
      <c r="J46" s="918">
        <f t="shared" ref="J46" si="414">J45/H45-1</f>
        <v>0.50116231368795328</v>
      </c>
      <c r="K46" s="916">
        <f t="shared" ref="K46" si="415">K45/I45-1</f>
        <v>0.40414765657403695</v>
      </c>
      <c r="L46" s="918">
        <f t="shared" ref="L46" si="416">L45/J45-1</f>
        <v>0.15303333940608477</v>
      </c>
      <c r="M46" s="916">
        <f t="shared" ref="M46" si="417">M45/K45-1</f>
        <v>0.19566373249837499</v>
      </c>
      <c r="N46" s="918">
        <f t="shared" ref="N46" si="418">N45/L45-1</f>
        <v>5.1805182493282587E-2</v>
      </c>
      <c r="O46" s="916">
        <f t="shared" ref="O46" si="419">O45/M45-1</f>
        <v>0.409753446316518</v>
      </c>
      <c r="P46" s="918">
        <f t="shared" ref="P46" si="420">P45/N45-1</f>
        <v>0.17081964134823058</v>
      </c>
      <c r="Q46" s="916">
        <f t="shared" ref="Q46" si="421">Q45/O45-1</f>
        <v>0.12387845226412475</v>
      </c>
      <c r="R46" s="918">
        <f t="shared" ref="R46" si="422">R45/P45-1</f>
        <v>0.15492686682063095</v>
      </c>
      <c r="S46" s="916">
        <f t="shared" ref="S46" si="423">S45/Q45-1</f>
        <v>-1.6559337626496307E-2</v>
      </c>
      <c r="T46" s="916">
        <f t="shared" ref="T46" si="424">T45/R45-1</f>
        <v>8.0778203632730694E-2</v>
      </c>
      <c r="U46" s="917">
        <f t="shared" ref="U46" si="425">U45/S45-1</f>
        <v>5.8029839387357951E-2</v>
      </c>
      <c r="V46" s="919">
        <f t="shared" ref="V46" si="426">V45/T45-1</f>
        <v>0.12211386501175547</v>
      </c>
      <c r="W46" s="916">
        <f t="shared" ref="W46" si="427">W45/U45-1</f>
        <v>0.11005502643910625</v>
      </c>
      <c r="X46" s="916">
        <f t="shared" ref="X46" si="428">X45/V45-1</f>
        <v>0.11509350188359546</v>
      </c>
      <c r="Y46" s="759"/>
      <c r="Z46" s="918"/>
      <c r="AA46" s="916">
        <f t="shared" ref="AA46" si="429">IFERROR(AA45/Z45-1,"")</f>
        <v>0.51136527644228602</v>
      </c>
      <c r="AB46" s="916">
        <f t="shared" ref="AB46" si="430">IFERROR(AB45/AA45-1,"")</f>
        <v>0.46803417955427418</v>
      </c>
      <c r="AC46" s="916">
        <f t="shared" ref="AC46" si="431">IFERROR(AC45/AB45-1,"")</f>
        <v>0.39971530429493685</v>
      </c>
      <c r="AD46" s="916">
        <f t="shared" ref="AD46" si="432">IFERROR(AD45/AC45-1,"")</f>
        <v>0.20324213532616642</v>
      </c>
      <c r="AE46" s="916">
        <f t="shared" ref="AE46" si="433">IFERROR(AE45/AD45-1,"")</f>
        <v>-0.42459910805335044</v>
      </c>
      <c r="AF46" s="916">
        <f t="shared" ref="AF46" si="434">IFERROR(AF45/AE45-1,"")</f>
        <v>0.1441616418031364</v>
      </c>
      <c r="AG46" s="916">
        <f t="shared" ref="AG46" si="435">IFERROR(AG45/AF45-1,"")</f>
        <v>1.5399127314950758</v>
      </c>
      <c r="AH46" s="916">
        <f t="shared" ref="AH46" si="436">IFERROR(AH45/AG45-1,"")</f>
        <v>0.72107439380040228</v>
      </c>
      <c r="AI46" s="916">
        <f t="shared" ref="AI46" si="437">IFERROR(AI45/AH45-1,"")</f>
        <v>0.28977528127096619</v>
      </c>
      <c r="AJ46" s="916">
        <f t="shared" ref="AJ46" si="438">IFERROR(AJ45/AI45-1,"")</f>
        <v>0.35577642021149147</v>
      </c>
      <c r="AK46" s="916">
        <f t="shared" ref="AK46" si="439">IFERROR(AK45/AJ45-1,"")</f>
        <v>0.62365093137428373</v>
      </c>
      <c r="AL46" s="916">
        <f t="shared" ref="AL46" si="440">IFERROR(AL45/AK45-1,"")</f>
        <v>0.36835656561216834</v>
      </c>
      <c r="AM46" s="916">
        <f t="shared" ref="AM46" si="441">IFERROR(AM45/AL45-1,"")</f>
        <v>0.22780926982539684</v>
      </c>
      <c r="AN46" s="916">
        <f t="shared" ref="AN46" si="442">IFERROR(AN45/AM45-1,"")</f>
        <v>0.29815843320666668</v>
      </c>
      <c r="AO46" s="916">
        <f t="shared" ref="AO46" si="443">IFERROR(AO45/AN45-1,"")</f>
        <v>0.14222585003377364</v>
      </c>
      <c r="AP46" s="916">
        <f t="shared" ref="AP46" si="444">IFERROR(AP45/AO45-1,"")</f>
        <v>0.13015943421798548</v>
      </c>
      <c r="AQ46" s="916">
        <f t="shared" ref="AQ46" si="445">IFERROR(AQ45/AP45-1,"")</f>
        <v>9.3517650393563745E-2</v>
      </c>
      <c r="AR46" s="916">
        <f t="shared" ref="AR46" si="446">IFERROR(AR45/AQ45-1,"")</f>
        <v>0.35631679693731089</v>
      </c>
      <c r="AS46" s="916">
        <f t="shared" ref="AS46" si="447">IFERROR(AS45/AR45-1,"")</f>
        <v>0.23096939225544744</v>
      </c>
      <c r="AT46" s="916">
        <f t="shared" ref="AT46" si="448">IFERROR(AT45/AS45-1,"")</f>
        <v>0.11313341215530159</v>
      </c>
      <c r="AU46" s="916">
        <f t="shared" ref="AU46" si="449">IFERROR(AU45/AT45-1,"")</f>
        <v>0.2788661674141153</v>
      </c>
      <c r="AV46" s="916">
        <f t="shared" ref="AV46" si="450">IFERROR(AV45/AU45-1,"")</f>
        <v>0.14264501082232894</v>
      </c>
      <c r="AW46" s="916">
        <f t="shared" ref="AW46" si="451">IFERROR(AW45/AV45-1,"")</f>
        <v>3.4500480906895836E-2</v>
      </c>
      <c r="AX46" s="919">
        <f t="shared" ref="AX46" si="452">IFERROR(AX45/AW45-1,"")</f>
        <v>9.3427963094393052E-2</v>
      </c>
      <c r="AY46" s="916">
        <f t="shared" ref="AY46" si="453">IFERROR(AY45/AX45-1,"")</f>
        <v>0.11291114581802386</v>
      </c>
      <c r="BA46" s="759"/>
      <c r="BB46" s="895"/>
      <c r="BC46" s="896"/>
      <c r="BD46" s="897"/>
      <c r="BE46" s="898"/>
      <c r="BF46" s="897"/>
    </row>
    <row r="47" spans="1:58" ht="14.5" x14ac:dyDescent="0.35">
      <c r="A47" s="914" t="s">
        <v>1488</v>
      </c>
      <c r="B47" s="759"/>
      <c r="C47" s="916">
        <f t="shared" ref="C47" si="454">+C46</f>
        <v>0</v>
      </c>
      <c r="D47" s="916">
        <f t="shared" ref="D47" si="455">+D46</f>
        <v>0</v>
      </c>
      <c r="E47" s="916">
        <f>+E46</f>
        <v>9.8895379098955294E-2</v>
      </c>
      <c r="F47" s="916">
        <f t="shared" ref="F47" si="456">+F46</f>
        <v>0.15337054529840866</v>
      </c>
      <c r="G47" s="917">
        <f t="shared" ref="G47" si="457">+G46</f>
        <v>9.9942108310087985E-2</v>
      </c>
      <c r="H47" s="918">
        <f t="shared" ref="H47" si="458">+H46</f>
        <v>8.8973270791454118E-2</v>
      </c>
      <c r="I47" s="916">
        <f t="shared" ref="I47" si="459">+I46</f>
        <v>0.1535885167464115</v>
      </c>
      <c r="J47" s="918">
        <f t="shared" ref="J47" si="460">+J46</f>
        <v>0.50116231368795328</v>
      </c>
      <c r="K47" s="916">
        <f t="shared" ref="K47" si="461">+K46</f>
        <v>0.40414765657403695</v>
      </c>
      <c r="L47" s="918">
        <f t="shared" ref="L47" si="462">+L46</f>
        <v>0.15303333940608477</v>
      </c>
      <c r="M47" s="916">
        <f t="shared" ref="M47" si="463">+M46</f>
        <v>0.19566373249837499</v>
      </c>
      <c r="N47" s="918">
        <f t="shared" ref="N47" si="464">+N46</f>
        <v>5.1805182493282587E-2</v>
      </c>
      <c r="O47" s="916">
        <f t="shared" ref="O47" si="465">+O46</f>
        <v>0.409753446316518</v>
      </c>
      <c r="P47" s="918">
        <f t="shared" ref="P47" si="466">+P46</f>
        <v>0.17081964134823058</v>
      </c>
      <c r="Q47" s="916">
        <f t="shared" ref="Q47" si="467">+Q46</f>
        <v>0.12387845226412475</v>
      </c>
      <c r="R47" s="918">
        <f t="shared" ref="R47" si="468">+R46</f>
        <v>0.15492686682063095</v>
      </c>
      <c r="S47" s="916">
        <f t="shared" ref="S47" si="469">+S46</f>
        <v>-1.6559337626496307E-2</v>
      </c>
      <c r="T47" s="916">
        <f t="shared" ref="T47" si="470">+T46</f>
        <v>8.0778203632730694E-2</v>
      </c>
      <c r="U47" s="917">
        <f t="shared" ref="U47" si="471">+U46</f>
        <v>5.8029839387357951E-2</v>
      </c>
      <c r="V47" s="919">
        <f t="shared" ref="V47" si="472">+V46</f>
        <v>0.12211386501175547</v>
      </c>
      <c r="W47" s="916">
        <f t="shared" ref="W47" si="473">+W46</f>
        <v>0.11005502643910625</v>
      </c>
      <c r="X47" s="916">
        <f t="shared" ref="X47" si="474">+X46</f>
        <v>0.11509350188359546</v>
      </c>
      <c r="Y47" s="759"/>
      <c r="Z47" s="918">
        <f t="shared" ref="Z47" si="475">+Z46</f>
        <v>0</v>
      </c>
      <c r="AA47" s="916">
        <f t="shared" ref="AA47" si="476">+AA46</f>
        <v>0.51136527644228602</v>
      </c>
      <c r="AB47" s="916">
        <f t="shared" ref="AB47" si="477">+AB46</f>
        <v>0.46803417955427418</v>
      </c>
      <c r="AC47" s="916">
        <f t="shared" ref="AC47" si="478">+AC46</f>
        <v>0.39971530429493685</v>
      </c>
      <c r="AD47" s="916">
        <f t="shared" ref="AD47" si="479">+AD46</f>
        <v>0.20324213532616642</v>
      </c>
      <c r="AE47" s="916">
        <f t="shared" ref="AE47" si="480">+AE46</f>
        <v>-0.42459910805335044</v>
      </c>
      <c r="AF47" s="916">
        <f t="shared" ref="AF47" si="481">+AF46</f>
        <v>0.1441616418031364</v>
      </c>
      <c r="AG47" s="916">
        <f t="shared" ref="AG47" si="482">+AG46</f>
        <v>1.5399127314950758</v>
      </c>
      <c r="AH47" s="916">
        <f t="shared" ref="AH47" si="483">+AH46</f>
        <v>0.72107439380040228</v>
      </c>
      <c r="AI47" s="916">
        <f t="shared" ref="AI47" si="484">+AI46</f>
        <v>0.28977528127096619</v>
      </c>
      <c r="AJ47" s="916">
        <f t="shared" ref="AJ47" si="485">+AJ46</f>
        <v>0.35577642021149147</v>
      </c>
      <c r="AK47" s="916">
        <f t="shared" ref="AK47" si="486">+AK46</f>
        <v>0.62365093137428373</v>
      </c>
      <c r="AL47" s="916">
        <f t="shared" ref="AL47" si="487">+AL46</f>
        <v>0.36835656561216834</v>
      </c>
      <c r="AM47" s="916">
        <f t="shared" ref="AM47" si="488">+AM46</f>
        <v>0.22780926982539684</v>
      </c>
      <c r="AN47" s="916">
        <f t="shared" ref="AN47" si="489">+AN46</f>
        <v>0.29815843320666668</v>
      </c>
      <c r="AO47" s="916">
        <f t="shared" ref="AO47" si="490">+AO46</f>
        <v>0.14222585003377364</v>
      </c>
      <c r="AP47" s="916">
        <f t="shared" ref="AP47" si="491">+AP46</f>
        <v>0.13015943421798548</v>
      </c>
      <c r="AQ47" s="916">
        <f t="shared" ref="AQ47" si="492">+AQ46</f>
        <v>9.3517650393563745E-2</v>
      </c>
      <c r="AR47" s="916">
        <f t="shared" ref="AR47" si="493">+AR46</f>
        <v>0.35631679693731089</v>
      </c>
      <c r="AS47" s="916">
        <f t="shared" ref="AS47" si="494">+AS46</f>
        <v>0.23096939225544744</v>
      </c>
      <c r="AT47" s="916">
        <f t="shared" ref="AT47" si="495">+AT46</f>
        <v>0.11313341215530159</v>
      </c>
      <c r="AU47" s="916">
        <f t="shared" ref="AU47" si="496">+AU46</f>
        <v>0.2788661674141153</v>
      </c>
      <c r="AV47" s="916">
        <f t="shared" ref="AV47" si="497">+AV46</f>
        <v>0.14264501082232894</v>
      </c>
      <c r="AW47" s="916">
        <f t="shared" ref="AW47" si="498">+AW46</f>
        <v>3.4500480906895836E-2</v>
      </c>
      <c r="AX47" s="919">
        <f t="shared" ref="AX47" si="499">+AX46</f>
        <v>9.3427963094393052E-2</v>
      </c>
      <c r="AY47" s="916">
        <f t="shared" ref="AY47" si="500">+AY46</f>
        <v>0.11291114581802386</v>
      </c>
      <c r="BA47" s="759"/>
      <c r="BB47" s="895"/>
      <c r="BC47" s="896"/>
      <c r="BD47" s="897"/>
      <c r="BE47" s="898"/>
      <c r="BF47" s="897"/>
    </row>
    <row r="48" spans="1:58" ht="14.5" x14ac:dyDescent="0.35">
      <c r="A48" s="914" t="s">
        <v>45</v>
      </c>
      <c r="B48" s="759"/>
      <c r="C48" s="916"/>
      <c r="D48" s="916"/>
      <c r="E48" s="916">
        <f t="shared" ref="E48:S48" si="501">+E45/E22</f>
        <v>0.35400093153237094</v>
      </c>
      <c r="F48" s="916">
        <f t="shared" si="501"/>
        <v>0.40067420423018374</v>
      </c>
      <c r="G48" s="917">
        <f t="shared" si="501"/>
        <v>0.34094616639477976</v>
      </c>
      <c r="H48" s="918">
        <f t="shared" si="501"/>
        <v>0.39001106622401771</v>
      </c>
      <c r="I48" s="916">
        <f t="shared" si="501"/>
        <v>0.32217545266252429</v>
      </c>
      <c r="J48" s="918">
        <f t="shared" si="501"/>
        <v>0.43768439518379715</v>
      </c>
      <c r="K48" s="916">
        <f t="shared" si="501"/>
        <v>0.35759252999831015</v>
      </c>
      <c r="L48" s="918">
        <f t="shared" si="501"/>
        <v>0.43471765503859333</v>
      </c>
      <c r="M48" s="916">
        <f t="shared" si="501"/>
        <v>0.36247224013181473</v>
      </c>
      <c r="N48" s="918">
        <f t="shared" si="501"/>
        <v>0.42936154088024908</v>
      </c>
      <c r="O48" s="916">
        <f t="shared" si="501"/>
        <v>0.42438124702522628</v>
      </c>
      <c r="P48" s="918">
        <f t="shared" si="501"/>
        <v>0.43942661423315954</v>
      </c>
      <c r="Q48" s="916">
        <f t="shared" si="501"/>
        <v>0.42695275312726788</v>
      </c>
      <c r="R48" s="918">
        <f t="shared" si="501"/>
        <v>0.40684975621331149</v>
      </c>
      <c r="S48" s="916">
        <f t="shared" si="501"/>
        <v>0.35622465462514252</v>
      </c>
      <c r="T48" s="916">
        <f t="shared" ref="T48:U48" si="502">+T45/T22</f>
        <v>0.39552079521892936</v>
      </c>
      <c r="U48" s="917">
        <f t="shared" si="502"/>
        <v>0.33957377082548834</v>
      </c>
      <c r="V48" s="919">
        <f t="shared" ref="V48" si="503">+V45/V22</f>
        <v>0.39474504947138606</v>
      </c>
      <c r="W48" s="916">
        <f t="shared" ref="W48:X48" si="504">+W45/W22</f>
        <v>0.3365585456711736</v>
      </c>
      <c r="X48" s="916">
        <f t="shared" si="504"/>
        <v>0.39301574961273295</v>
      </c>
      <c r="Y48" s="759"/>
      <c r="Z48" s="918">
        <f t="shared" ref="Z48:AX48" si="505">+Z45/Z22</f>
        <v>0.16790375772506594</v>
      </c>
      <c r="AA48" s="920">
        <f t="shared" si="505"/>
        <v>0.1777215982226299</v>
      </c>
      <c r="AB48" s="920">
        <f t="shared" si="505"/>
        <v>0.1654979570008982</v>
      </c>
      <c r="AC48" s="920">
        <f t="shared" si="505"/>
        <v>0.22546840046360037</v>
      </c>
      <c r="AD48" s="920">
        <f t="shared" si="505"/>
        <v>0.22898374741525451</v>
      </c>
      <c r="AE48" s="917">
        <f t="shared" si="505"/>
        <v>0.13397200545217641</v>
      </c>
      <c r="AF48" s="916">
        <f t="shared" si="505"/>
        <v>0.12087105927263546</v>
      </c>
      <c r="AG48" s="916">
        <f t="shared" si="505"/>
        <v>0.21938980766427515</v>
      </c>
      <c r="AH48" s="916">
        <f t="shared" si="505"/>
        <v>0.290379340420166</v>
      </c>
      <c r="AI48" s="916">
        <f t="shared" si="505"/>
        <v>0.33511165751367428</v>
      </c>
      <c r="AJ48" s="916">
        <f t="shared" si="505"/>
        <v>0.35179502244698485</v>
      </c>
      <c r="AK48" s="916">
        <f t="shared" si="505"/>
        <v>0.37615148925208175</v>
      </c>
      <c r="AL48" s="916">
        <f t="shared" si="505"/>
        <v>0.39602619381780674</v>
      </c>
      <c r="AM48" s="916">
        <f t="shared" si="505"/>
        <v>0.38813802101799688</v>
      </c>
      <c r="AN48" s="916">
        <f t="shared" si="505"/>
        <v>0.40135109183131695</v>
      </c>
      <c r="AO48" s="916">
        <f t="shared" si="505"/>
        <v>0.39485283386037384</v>
      </c>
      <c r="AP48" s="916">
        <f t="shared" si="505"/>
        <v>0.37992163489815017</v>
      </c>
      <c r="AQ48" s="916">
        <f t="shared" si="505"/>
        <v>0.36794494618607071</v>
      </c>
      <c r="AR48" s="916">
        <f t="shared" si="505"/>
        <v>0.38833543613662702</v>
      </c>
      <c r="AS48" s="916">
        <f t="shared" si="505"/>
        <v>0.39657009704323626</v>
      </c>
      <c r="AT48" s="916">
        <f t="shared" si="505"/>
        <v>0.39543497168070235</v>
      </c>
      <c r="AU48" s="916">
        <f t="shared" si="505"/>
        <v>0.43131734923541182</v>
      </c>
      <c r="AV48" s="916">
        <f t="shared" si="505"/>
        <v>0.41624950337703587</v>
      </c>
      <c r="AW48" s="916">
        <f t="shared" si="505"/>
        <v>0.37690929031912906</v>
      </c>
      <c r="AX48" s="919">
        <f t="shared" si="505"/>
        <v>0.3687920852752703</v>
      </c>
      <c r="AY48" s="916">
        <f t="shared" ref="AY48" si="506">+AY45/AY22</f>
        <v>0.36645787695742804</v>
      </c>
      <c r="BA48" s="759"/>
      <c r="BB48" s="895"/>
      <c r="BC48" s="896"/>
      <c r="BD48" s="897"/>
      <c r="BE48" s="898"/>
      <c r="BF48" s="897"/>
    </row>
    <row r="49" spans="1:58" x14ac:dyDescent="0.3">
      <c r="A49" s="759"/>
      <c r="B49" s="759"/>
      <c r="C49" s="943"/>
      <c r="D49" s="943"/>
      <c r="E49" s="945"/>
      <c r="F49" s="943"/>
      <c r="G49" s="944"/>
      <c r="H49" s="946"/>
      <c r="I49" s="945"/>
      <c r="J49" s="946"/>
      <c r="K49" s="943"/>
      <c r="L49" s="946"/>
      <c r="M49" s="943"/>
      <c r="N49" s="946"/>
      <c r="O49" s="943"/>
      <c r="P49" s="946"/>
      <c r="Q49" s="943"/>
      <c r="R49" s="946"/>
      <c r="S49" s="943"/>
      <c r="T49" s="943"/>
      <c r="U49" s="949"/>
      <c r="V49" s="947"/>
      <c r="W49" s="1141"/>
      <c r="X49" s="1141"/>
      <c r="Y49" s="759"/>
      <c r="Z49" s="946"/>
      <c r="AA49" s="948"/>
      <c r="AB49" s="948"/>
      <c r="AC49" s="948"/>
      <c r="AD49" s="948"/>
      <c r="AE49" s="949"/>
      <c r="AF49" s="943"/>
      <c r="AG49" s="943"/>
      <c r="AH49" s="943"/>
      <c r="AI49" s="943"/>
      <c r="AJ49" s="943"/>
      <c r="AK49" s="943"/>
      <c r="AL49" s="943"/>
      <c r="AM49" s="943"/>
      <c r="AN49" s="943"/>
      <c r="AO49" s="943"/>
      <c r="AP49" s="943"/>
      <c r="AQ49" s="943"/>
      <c r="AR49" s="943"/>
      <c r="AS49" s="943"/>
      <c r="AT49" s="943"/>
      <c r="AU49" s="943"/>
      <c r="AV49" s="943"/>
      <c r="AW49" s="943"/>
      <c r="AX49" s="947"/>
      <c r="AY49" s="943"/>
      <c r="BA49" s="759"/>
      <c r="BB49" s="895"/>
      <c r="BC49" s="896"/>
      <c r="BD49" s="897"/>
      <c r="BE49" s="898"/>
      <c r="BF49" s="897"/>
    </row>
    <row r="50" spans="1:58" hidden="1" outlineLevel="1" x14ac:dyDescent="0.3">
      <c r="A50" s="950" t="s">
        <v>152</v>
      </c>
      <c r="B50" s="759"/>
      <c r="C50" s="943"/>
      <c r="D50" s="943"/>
      <c r="E50" s="943"/>
      <c r="F50" s="943"/>
      <c r="G50" s="949"/>
      <c r="H50" s="946"/>
      <c r="I50" s="943"/>
      <c r="J50" s="946"/>
      <c r="K50" s="943"/>
      <c r="L50" s="946"/>
      <c r="M50" s="943"/>
      <c r="N50" s="946"/>
      <c r="O50" s="943"/>
      <c r="P50" s="946"/>
      <c r="Q50" s="943"/>
      <c r="R50" s="946"/>
      <c r="S50" s="943"/>
      <c r="T50" s="943"/>
      <c r="U50" s="949"/>
      <c r="V50" s="947"/>
      <c r="W50" s="943"/>
      <c r="X50" s="943"/>
      <c r="Y50" s="759"/>
      <c r="Z50" s="946"/>
      <c r="AA50" s="948"/>
      <c r="AB50" s="948"/>
      <c r="AC50" s="948"/>
      <c r="AD50" s="948"/>
      <c r="AE50" s="949"/>
      <c r="AF50" s="943"/>
      <c r="AG50" s="943"/>
      <c r="AH50" s="943"/>
      <c r="AI50" s="943"/>
      <c r="AJ50" s="943"/>
      <c r="AK50" s="943"/>
      <c r="AL50" s="943"/>
      <c r="AM50" s="943"/>
      <c r="AN50" s="943"/>
      <c r="AO50" s="943"/>
      <c r="AP50" s="943"/>
      <c r="AQ50" s="943"/>
      <c r="AR50" s="943"/>
      <c r="AS50" s="943"/>
      <c r="AT50" s="943"/>
      <c r="AU50" s="943"/>
      <c r="AV50" s="943"/>
      <c r="AW50" s="943"/>
      <c r="AX50" s="947"/>
      <c r="AY50" s="943"/>
      <c r="BA50" s="759"/>
      <c r="BB50" s="895"/>
      <c r="BC50" s="896"/>
      <c r="BD50" s="897"/>
      <c r="BE50" s="898"/>
      <c r="BF50" s="897"/>
    </row>
    <row r="51" spans="1:58" hidden="1" outlineLevel="1" x14ac:dyDescent="0.3">
      <c r="A51" s="951" t="s">
        <v>153</v>
      </c>
      <c r="B51" s="759"/>
      <c r="C51" s="901">
        <f>'Disclosed financials'!C145</f>
        <v>5.8000000000000003E-2</v>
      </c>
      <c r="D51" s="901">
        <f>'Disclosed financials'!D145</f>
        <v>0.94099999999999995</v>
      </c>
      <c r="E51" s="901">
        <f>'Disclosed financials'!E145</f>
        <v>3.673</v>
      </c>
      <c r="F51" s="901">
        <v>0</v>
      </c>
      <c r="G51" s="952">
        <f>'Disclosed financials'!G145</f>
        <v>0</v>
      </c>
      <c r="H51" s="953">
        <v>0</v>
      </c>
      <c r="I51" s="901">
        <v>0</v>
      </c>
      <c r="J51" s="953">
        <v>0</v>
      </c>
      <c r="K51" s="901"/>
      <c r="L51" s="953"/>
      <c r="M51" s="901"/>
      <c r="N51" s="953"/>
      <c r="O51" s="901"/>
      <c r="P51" s="953"/>
      <c r="Q51" s="901"/>
      <c r="R51" s="953"/>
      <c r="S51" s="901"/>
      <c r="T51" s="901"/>
      <c r="U51" s="952"/>
      <c r="V51" s="1438"/>
      <c r="W51" s="901"/>
      <c r="X51" s="901"/>
      <c r="Y51" s="759"/>
      <c r="Z51" s="946"/>
      <c r="AA51" s="948"/>
      <c r="AB51" s="948"/>
      <c r="AC51" s="948"/>
      <c r="AD51" s="948"/>
      <c r="AE51" s="949"/>
      <c r="AF51" s="943"/>
      <c r="AG51" s="943"/>
      <c r="AH51" s="943"/>
      <c r="AI51" s="943"/>
      <c r="AJ51" s="943"/>
      <c r="AK51" s="943"/>
      <c r="AL51" s="943"/>
      <c r="AM51" s="943"/>
      <c r="AN51" s="954"/>
      <c r="AO51" s="954">
        <f>SUM(C51:D51)</f>
        <v>0.999</v>
      </c>
      <c r="AP51" s="954">
        <f>SUM(E51:F51)</f>
        <v>3.673</v>
      </c>
      <c r="AQ51" s="954">
        <f t="shared" ref="AQ51" si="507">SUM(F51:G51)</f>
        <v>0</v>
      </c>
      <c r="AR51" s="954">
        <f t="shared" ref="AR51" si="508">SUM(G51:H51)</f>
        <v>0</v>
      </c>
      <c r="AS51" s="954"/>
      <c r="AT51" s="954"/>
      <c r="AU51" s="954"/>
      <c r="AV51" s="954"/>
      <c r="AW51" s="954"/>
      <c r="AX51" s="955"/>
      <c r="AY51" s="954"/>
      <c r="BA51" s="759"/>
      <c r="BB51" s="895"/>
      <c r="BC51" s="896"/>
      <c r="BD51" s="897"/>
      <c r="BE51" s="898"/>
      <c r="BF51" s="897"/>
    </row>
    <row r="52" spans="1:58" ht="14.5" hidden="1" outlineLevel="1" x14ac:dyDescent="0.35">
      <c r="A52" s="956" t="s">
        <v>43</v>
      </c>
      <c r="B52" s="759"/>
      <c r="C52" s="916">
        <f t="shared" ref="C52:J52" si="509">C51/C9</f>
        <v>2.1819276201941166E-4</v>
      </c>
      <c r="D52" s="916">
        <f t="shared" si="509"/>
        <v>2.8492357629048273E-3</v>
      </c>
      <c r="E52" s="916">
        <f t="shared" si="509"/>
        <v>1.2510601483015487E-2</v>
      </c>
      <c r="F52" s="916">
        <f t="shared" si="509"/>
        <v>0</v>
      </c>
      <c r="G52" s="917">
        <f t="shared" si="509"/>
        <v>0</v>
      </c>
      <c r="H52" s="918">
        <f t="shared" si="509"/>
        <v>0</v>
      </c>
      <c r="I52" s="916">
        <f t="shared" si="509"/>
        <v>0</v>
      </c>
      <c r="J52" s="918">
        <f t="shared" si="509"/>
        <v>0</v>
      </c>
      <c r="K52" s="916"/>
      <c r="L52" s="918"/>
      <c r="M52" s="916"/>
      <c r="N52" s="918"/>
      <c r="O52" s="916"/>
      <c r="P52" s="918"/>
      <c r="Q52" s="916"/>
      <c r="R52" s="918"/>
      <c r="S52" s="916"/>
      <c r="T52" s="916"/>
      <c r="U52" s="917"/>
      <c r="V52" s="919"/>
      <c r="W52" s="916"/>
      <c r="X52" s="916"/>
      <c r="Y52" s="759"/>
      <c r="Z52" s="918"/>
      <c r="AA52" s="920"/>
      <c r="AB52" s="920"/>
      <c r="AC52" s="920"/>
      <c r="AD52" s="920"/>
      <c r="AE52" s="917"/>
      <c r="AF52" s="916"/>
      <c r="AG52" s="916"/>
      <c r="AH52" s="916"/>
      <c r="AI52" s="916"/>
      <c r="AJ52" s="916"/>
      <c r="AK52" s="916"/>
      <c r="AL52" s="916"/>
      <c r="AM52" s="916"/>
      <c r="AN52" s="916"/>
      <c r="AO52" s="916">
        <f>AO51/AO9</f>
        <v>1.6759382905764957E-3</v>
      </c>
      <c r="AP52" s="916">
        <f>AP51/AP9</f>
        <v>5.4629204091315399E-3</v>
      </c>
      <c r="AQ52" s="916">
        <f>AQ51/AQ9</f>
        <v>0</v>
      </c>
      <c r="AR52" s="916">
        <f>AR51/AR9</f>
        <v>0</v>
      </c>
      <c r="AS52" s="916"/>
      <c r="AT52" s="916"/>
      <c r="AU52" s="916"/>
      <c r="AV52" s="916"/>
      <c r="AW52" s="916"/>
      <c r="AX52" s="919"/>
      <c r="AY52" s="916"/>
      <c r="BA52" s="759"/>
      <c r="BB52" s="895"/>
      <c r="BC52" s="896"/>
      <c r="BD52" s="897"/>
      <c r="BE52" s="898"/>
      <c r="BF52" s="897"/>
    </row>
    <row r="53" spans="1:58" s="854" customFormat="1" collapsed="1" x14ac:dyDescent="0.3">
      <c r="A53" s="900" t="s">
        <v>48</v>
      </c>
      <c r="B53" s="957"/>
      <c r="C53" s="958">
        <f>'Disclosed financials'!C380+'Disclosed financials'!C382</f>
        <v>1.0529999999999999</v>
      </c>
      <c r="D53" s="958">
        <f>'Disclosed financials'!D380+'Disclosed financials'!D382</f>
        <v>1.0940000000000001</v>
      </c>
      <c r="E53" s="958">
        <f>'Disclosed financials'!E380+'Disclosed financials'!E382</f>
        <v>1.081</v>
      </c>
      <c r="F53" s="959">
        <f>'Disclosed financials'!F380+'Disclosed financials'!F382</f>
        <v>1.042</v>
      </c>
      <c r="G53" s="960">
        <f>'Disclosed financials'!G380+'Disclosed financials'!G382</f>
        <v>0.98899999999999999</v>
      </c>
      <c r="H53" s="961">
        <f>'Disclosed financials'!H380+'Disclosed financials'!H382</f>
        <v>1.0190000000000001</v>
      </c>
      <c r="I53" s="958">
        <f>'Disclosed financials'!I380+'Disclosed financials'!I382</f>
        <v>0.89900000000000002</v>
      </c>
      <c r="J53" s="961">
        <f>'Disclosed financials'!J380+'Disclosed financials'!J382</f>
        <v>0.86</v>
      </c>
      <c r="K53" s="958">
        <f>'Disclosed financials'!K380+'Disclosed financials'!K382</f>
        <v>0.76700000000000002</v>
      </c>
      <c r="L53" s="961">
        <f>'Disclosed financials'!L380+'Disclosed financials'!L382</f>
        <v>0.75299999999999989</v>
      </c>
      <c r="M53" s="958">
        <f>'Disclosed financials'!M380+'Disclosed financials'!M382</f>
        <v>0.65100000000000002</v>
      </c>
      <c r="N53" s="961">
        <f>'Disclosed financials'!N380+'Disclosed financials'!N382</f>
        <v>0.96299999999999997</v>
      </c>
      <c r="O53" s="958">
        <f>'Disclosed financials'!O380+'Disclosed financials'!O382</f>
        <v>1.349</v>
      </c>
      <c r="P53" s="961">
        <f>'Disclosed financials'!P380+'Disclosed financials'!P382</f>
        <v>1.2799999999999998</v>
      </c>
      <c r="Q53" s="958">
        <f>'Disclosed financials'!Q380+'Disclosed financials'!Q382</f>
        <v>1.26</v>
      </c>
      <c r="R53" s="961">
        <f>'Disclosed financials'!R380+'Disclosed financials'!R382</f>
        <v>1.6710000000000003</v>
      </c>
      <c r="S53" s="958">
        <f>'Disclosed financials'!S380+'Disclosed financials'!S382</f>
        <v>1.9180000000000001</v>
      </c>
      <c r="T53" s="958">
        <f>'Disclosed financials'!T380+'Disclosed financials'!T382</f>
        <v>2.073</v>
      </c>
      <c r="U53" s="960">
        <f>'Disclosed financials'!U380+'Disclosed financials'!U382</f>
        <v>1.9969999999999999</v>
      </c>
      <c r="V53" s="962">
        <f>'Disclosed financials'!V380+'Disclosed financials'!V382</f>
        <v>2.198</v>
      </c>
      <c r="W53" s="963">
        <f>+U53/U22*W22+0.1</f>
        <v>2.3366400000000005</v>
      </c>
      <c r="X53" s="963">
        <f>+V53/V22*X22+0.1</f>
        <v>2.56176</v>
      </c>
      <c r="Y53" s="958"/>
      <c r="Z53" s="958">
        <f>'Disclosed financials'!AE380+'Disclosed financials'!AE382</f>
        <v>8.3861000000000005E-2</v>
      </c>
      <c r="AA53" s="958">
        <f>'Disclosed financials'!AF380+'Disclosed financials'!AF382</f>
        <v>0.15209800000000001</v>
      </c>
      <c r="AB53" s="958">
        <f>'Disclosed financials'!AG380+'Disclosed financials'!AG382</f>
        <v>0.269478</v>
      </c>
      <c r="AC53" s="958">
        <f>'Disclosed financials'!AH380+'Disclosed financials'!AH382</f>
        <v>0.14410100000000001</v>
      </c>
      <c r="AD53" s="958">
        <f>'Disclosed financials'!AI380+'Disclosed financials'!AI382</f>
        <v>0.18634500000000001</v>
      </c>
      <c r="AE53" s="958">
        <f>'Disclosed financials'!AJ380+'Disclosed financials'!AJ382</f>
        <v>0.215922</v>
      </c>
      <c r="AF53" s="958">
        <f>'Disclosed financials'!AK380+'Disclosed financials'!AK382</f>
        <v>0.173344</v>
      </c>
      <c r="AG53" s="958">
        <f>'Disclosed financials'!AL380+'Disclosed financials'!AL382</f>
        <v>9.1423000000000004E-2</v>
      </c>
      <c r="AH53" s="958">
        <f>'Disclosed financials'!AM380+'Disclosed financials'!AM382</f>
        <v>0.10013900000000001</v>
      </c>
      <c r="AI53" s="958">
        <f>'Disclosed financials'!AN380+'Disclosed financials'!AN382</f>
        <v>0.27379599999999998</v>
      </c>
      <c r="AJ53" s="958">
        <f>'Disclosed financials'!AO380+'Disclosed financials'!AO382</f>
        <v>0.27246100000000001</v>
      </c>
      <c r="AK53" s="958">
        <f>'Disclosed financials'!AP380+'Disclosed financials'!AP382</f>
        <v>0.23738699999999999</v>
      </c>
      <c r="AL53" s="958">
        <f>'Disclosed financials'!AQ380+'Disclosed financials'!AQ382</f>
        <v>0.47457500000000002</v>
      </c>
      <c r="AM53" s="958">
        <f>'Disclosed financials'!AR380+'Disclosed financials'!AR382</f>
        <v>1.1660000000000001</v>
      </c>
      <c r="AN53" s="958">
        <f>'Disclosed financials'!AS380+'Disclosed financials'!AS382</f>
        <v>1.778</v>
      </c>
      <c r="AO53" s="958">
        <f>SUM(C53:D53)</f>
        <v>2.1470000000000002</v>
      </c>
      <c r="AP53" s="958">
        <f>SUM(E53:F53)</f>
        <v>2.1230000000000002</v>
      </c>
      <c r="AQ53" s="958">
        <f>SUM(G53:H53)</f>
        <v>2.008</v>
      </c>
      <c r="AR53" s="958">
        <f>SUM(I53:J53)</f>
        <v>1.7589999999999999</v>
      </c>
      <c r="AS53" s="958">
        <f>SUM(K53:L53)</f>
        <v>1.52</v>
      </c>
      <c r="AT53" s="958">
        <f>SUM(M53:N53)</f>
        <v>1.6139999999999999</v>
      </c>
      <c r="AU53" s="958">
        <f>SUM(O53:P53)</f>
        <v>2.6289999999999996</v>
      </c>
      <c r="AV53" s="958">
        <f>SUM(Q53:R53)</f>
        <v>2.931</v>
      </c>
      <c r="AW53" s="958">
        <f>SUM(S53:T53)</f>
        <v>3.9910000000000001</v>
      </c>
      <c r="AX53" s="962">
        <f>SUM(U53:V53)</f>
        <v>4.1950000000000003</v>
      </c>
      <c r="AY53" s="958">
        <f t="shared" ref="AY53:AY54" si="510">+SUM(W53:X53)</f>
        <v>4.8984000000000005</v>
      </c>
      <c r="BA53" s="959"/>
      <c r="BB53" s="964">
        <f>(AE53/Z53)^(1/5)-1</f>
        <v>0.20822375862548914</v>
      </c>
      <c r="BC53" s="965">
        <f>(AJ53/AE53)^(1/5)-1</f>
        <v>4.7614474785190541E-2</v>
      </c>
      <c r="BD53" s="966">
        <f>(AO53/AJ53)^(1/5)-1</f>
        <v>0.51114291618070196</v>
      </c>
      <c r="BE53" s="967">
        <f>(AO53/AE53)^(1/10)-1</f>
        <v>0.25821110806573611</v>
      </c>
      <c r="BF53" s="966">
        <f>(AO53/Z53)^(1/15)-1</f>
        <v>0.24132299475547536</v>
      </c>
    </row>
    <row r="54" spans="1:58" collapsed="1" x14ac:dyDescent="0.3">
      <c r="A54" s="937" t="s">
        <v>49</v>
      </c>
      <c r="B54" s="901"/>
      <c r="C54" s="902">
        <f t="shared" ref="C54:S54" si="511">+C61-C60</f>
        <v>18.343999999999983</v>
      </c>
      <c r="D54" s="902">
        <f t="shared" si="511"/>
        <v>24.384000000000025</v>
      </c>
      <c r="E54" s="902">
        <f t="shared" si="511"/>
        <v>20.082000000000015</v>
      </c>
      <c r="F54" s="903">
        <f t="shared" si="511"/>
        <v>27.903999999999968</v>
      </c>
      <c r="G54" s="904">
        <f t="shared" si="511"/>
        <v>21.888999999999999</v>
      </c>
      <c r="H54" s="905">
        <f t="shared" si="511"/>
        <v>30.271000000000004</v>
      </c>
      <c r="I54" s="902">
        <f t="shared" si="511"/>
        <v>25.009</v>
      </c>
      <c r="J54" s="905">
        <f t="shared" si="511"/>
        <v>44.772000000000013</v>
      </c>
      <c r="K54" s="902">
        <f t="shared" si="511"/>
        <v>34.621000000000031</v>
      </c>
      <c r="L54" s="905">
        <f t="shared" si="511"/>
        <v>51.385000000000005</v>
      </c>
      <c r="M54" s="902">
        <f t="shared" si="511"/>
        <v>41.129000000000026</v>
      </c>
      <c r="N54" s="905">
        <f t="shared" si="511"/>
        <v>54.21799999999989</v>
      </c>
      <c r="O54" s="902">
        <f t="shared" si="511"/>
        <v>58.413000000000046</v>
      </c>
      <c r="P54" s="905">
        <f t="shared" si="511"/>
        <v>63.631999999999891</v>
      </c>
      <c r="Q54" s="902">
        <f t="shared" si="511"/>
        <v>65.393000000000072</v>
      </c>
      <c r="R54" s="905">
        <f t="shared" si="511"/>
        <v>73.682999999999865</v>
      </c>
      <c r="S54" s="902">
        <f t="shared" si="511"/>
        <v>64.988999999999976</v>
      </c>
      <c r="T54" s="902">
        <f t="shared" ref="T54:U54" si="512">+T61-T60</f>
        <v>79.902000000000044</v>
      </c>
      <c r="U54" s="904">
        <f t="shared" si="512"/>
        <v>68.728000000000023</v>
      </c>
      <c r="V54" s="906">
        <f t="shared" ref="V54" si="513">+V61-V60</f>
        <v>89.530999999999963</v>
      </c>
      <c r="W54" s="902">
        <f t="shared" ref="W54:X54" si="514">+W53+W45</f>
        <v>76.411721969308033</v>
      </c>
      <c r="X54" s="902">
        <f t="shared" si="514"/>
        <v>99.946220800000006</v>
      </c>
      <c r="Y54" s="902"/>
      <c r="Z54" s="902">
        <f t="shared" ref="Z54:AV54" si="515">+Z61-Z60</f>
        <v>0.61737200000000025</v>
      </c>
      <c r="AA54" s="902">
        <f t="shared" si="515"/>
        <v>0.95842800000000095</v>
      </c>
      <c r="AB54" s="902">
        <f t="shared" si="515"/>
        <v>1.4531979999999993</v>
      </c>
      <c r="AC54" s="902">
        <f t="shared" si="515"/>
        <v>1.8009720000000016</v>
      </c>
      <c r="AD54" s="902">
        <f t="shared" si="515"/>
        <v>2.1799620000000024</v>
      </c>
      <c r="AE54" s="902">
        <f t="shared" si="515"/>
        <v>1.3630510000000049</v>
      </c>
      <c r="AF54" s="902">
        <f t="shared" si="515"/>
        <v>1.4858449999999956</v>
      </c>
      <c r="AG54" s="902">
        <f t="shared" si="515"/>
        <v>3.4250610000000075</v>
      </c>
      <c r="AH54" s="902">
        <f t="shared" si="515"/>
        <v>5.8375779999999988</v>
      </c>
      <c r="AI54" s="902">
        <f t="shared" si="515"/>
        <v>7.6738030000000093</v>
      </c>
      <c r="AJ54" s="902">
        <f t="shared" si="515"/>
        <v>10.305215999999991</v>
      </c>
      <c r="AK54" s="902">
        <f t="shared" si="515"/>
        <v>16.527078999999986</v>
      </c>
      <c r="AL54" s="902">
        <f t="shared" si="515"/>
        <v>22.764682000000001</v>
      </c>
      <c r="AM54" s="902">
        <f t="shared" si="515"/>
        <v>28.533999999999967</v>
      </c>
      <c r="AN54" s="902">
        <f t="shared" si="515"/>
        <v>37.306000000000012</v>
      </c>
      <c r="AO54" s="902">
        <f t="shared" si="515"/>
        <v>42.727999999999923</v>
      </c>
      <c r="AP54" s="902">
        <f t="shared" si="515"/>
        <v>47.985999999999983</v>
      </c>
      <c r="AQ54" s="902">
        <f t="shared" si="515"/>
        <v>52.16</v>
      </c>
      <c r="AR54" s="902">
        <f t="shared" si="515"/>
        <v>69.781000000000006</v>
      </c>
      <c r="AS54" s="902">
        <f t="shared" si="515"/>
        <v>85.253000000000043</v>
      </c>
      <c r="AT54" s="902">
        <f t="shared" si="515"/>
        <v>94.819999999999922</v>
      </c>
      <c r="AU54" s="902">
        <f t="shared" si="515"/>
        <v>121.82699999999993</v>
      </c>
      <c r="AV54" s="902">
        <f t="shared" si="515"/>
        <v>139.13199999999989</v>
      </c>
      <c r="AW54" s="902">
        <f>SUM(S54:T54)</f>
        <v>144.89100000000002</v>
      </c>
      <c r="AX54" s="906">
        <f>SUM(U54:V54)</f>
        <v>158.25899999999999</v>
      </c>
      <c r="AY54" s="902">
        <f t="shared" si="510"/>
        <v>176.35794276930804</v>
      </c>
      <c r="BA54" s="903"/>
      <c r="BB54" s="910"/>
      <c r="BC54" s="911"/>
      <c r="BD54" s="912"/>
      <c r="BE54" s="913"/>
      <c r="BF54" s="912"/>
    </row>
    <row r="55" spans="1:58" ht="14.5" x14ac:dyDescent="0.35">
      <c r="A55" s="956" t="s">
        <v>37</v>
      </c>
      <c r="B55" s="915"/>
      <c r="C55" s="916"/>
      <c r="D55" s="916"/>
      <c r="E55" s="916">
        <f t="shared" ref="E55" si="516">E54/C54-1</f>
        <v>9.4744875708680398E-2</v>
      </c>
      <c r="F55" s="916">
        <f t="shared" ref="F55" si="517">F54/D54-1</f>
        <v>0.14435695538057502</v>
      </c>
      <c r="G55" s="917">
        <f t="shared" ref="G55" si="518">G54/E54-1</f>
        <v>8.9981077581913205E-2</v>
      </c>
      <c r="H55" s="918">
        <f t="shared" ref="H55" si="519">H54/F54-1</f>
        <v>8.4826548165139126E-2</v>
      </c>
      <c r="I55" s="916">
        <f t="shared" ref="I55" si="520">I54/G54-1</f>
        <v>0.14253734752615466</v>
      </c>
      <c r="J55" s="918">
        <f t="shared" ref="J55" si="521">J54/H54-1</f>
        <v>0.47903934458722897</v>
      </c>
      <c r="K55" s="916">
        <f t="shared" ref="K55" si="522">K54/I54-1</f>
        <v>0.38434163701067736</v>
      </c>
      <c r="L55" s="918">
        <f t="shared" ref="L55" si="523">L54/J54-1</f>
        <v>0.14770392209416583</v>
      </c>
      <c r="M55" s="916">
        <f t="shared" ref="M55" si="524">M54/K54-1</f>
        <v>0.18797839461598431</v>
      </c>
      <c r="N55" s="918">
        <f t="shared" ref="N55" si="525">N54/L54-1</f>
        <v>5.5132820862117127E-2</v>
      </c>
      <c r="O55" s="916">
        <f t="shared" ref="O55" si="526">O54/M54-1</f>
        <v>0.42023876097157742</v>
      </c>
      <c r="P55" s="918">
        <f t="shared" ref="P55" si="527">P54/N54-1</f>
        <v>0.173632373012653</v>
      </c>
      <c r="Q55" s="916">
        <f t="shared" ref="Q55" si="528">Q54/O54-1</f>
        <v>0.11949394826494131</v>
      </c>
      <c r="R55" s="918">
        <f t="shared" ref="R55" si="529">R54/P54-1</f>
        <v>0.15795511692230302</v>
      </c>
      <c r="S55" s="916">
        <f t="shared" ref="S55" si="530">S54/Q54-1</f>
        <v>-6.17803128775396E-3</v>
      </c>
      <c r="T55" s="916">
        <f t="shared" ref="T55" si="531">T54/R54-1</f>
        <v>8.4402100891660004E-2</v>
      </c>
      <c r="U55" s="917">
        <f t="shared" ref="U55" si="532">U54/S54-1</f>
        <v>5.7532813245319225E-2</v>
      </c>
      <c r="V55" s="919">
        <f t="shared" ref="V55" si="533">V54/T54-1</f>
        <v>0.12051012490300517</v>
      </c>
      <c r="W55" s="916">
        <f t="shared" ref="W55" si="534">W54/U54-1</f>
        <v>0.11179900432586432</v>
      </c>
      <c r="X55" s="916">
        <f t="shared" ref="X55" si="535">X54/V54-1</f>
        <v>0.11633088874244724</v>
      </c>
      <c r="Y55" s="915"/>
      <c r="Z55" s="918"/>
      <c r="AA55" s="920"/>
      <c r="AB55" s="920"/>
      <c r="AC55" s="920"/>
      <c r="AD55" s="920"/>
      <c r="AE55" s="917"/>
      <c r="AF55" s="916">
        <f t="shared" ref="AF55" si="536">IFERROR(AF54/AE54-1,"")</f>
        <v>9.0087604939206534E-2</v>
      </c>
      <c r="AG55" s="916">
        <f t="shared" ref="AG55" si="537">IFERROR(AG54/AF54-1,"")</f>
        <v>1.3051267124094488</v>
      </c>
      <c r="AH55" s="916">
        <f t="shared" ref="AH55" si="538">IFERROR(AH54/AG54-1,"")</f>
        <v>0.70437198052822603</v>
      </c>
      <c r="AI55" s="916">
        <f t="shared" ref="AI55" si="539">IFERROR(AI54/AH54-1,"")</f>
        <v>0.31455254216731854</v>
      </c>
      <c r="AJ55" s="916">
        <f t="shared" ref="AJ55" si="540">IFERROR(AJ54/AI54-1,"")</f>
        <v>0.3429085943436363</v>
      </c>
      <c r="AK55" s="916">
        <f t="shared" ref="AK55" si="541">IFERROR(AK54/AJ54-1,"")</f>
        <v>0.60375862087703935</v>
      </c>
      <c r="AL55" s="916">
        <f t="shared" ref="AL55" si="542">IFERROR(AL54/AK54-1,"")</f>
        <v>0.37741714673234261</v>
      </c>
      <c r="AM55" s="916">
        <f t="shared" ref="AM55" si="543">IFERROR(AM54/AL54-1,"")</f>
        <v>0.253432839518688</v>
      </c>
      <c r="AN55" s="916">
        <f t="shared" ref="AN55" si="544">IFERROR(AN54/AM54-1,"")</f>
        <v>0.30742272376813817</v>
      </c>
      <c r="AO55" s="916">
        <f t="shared" ref="AO55" si="545">IFERROR(AO54/AN54-1,"")</f>
        <v>0.1453385514394443</v>
      </c>
      <c r="AP55" s="916">
        <f t="shared" ref="AP55" si="546">IFERROR(AP54/AO54-1,"")</f>
        <v>0.12305747987268467</v>
      </c>
      <c r="AQ55" s="916">
        <f t="shared" ref="AQ55" si="547">IFERROR(AQ54/AP54-1,"")</f>
        <v>8.6983703580211236E-2</v>
      </c>
      <c r="AR55" s="916">
        <f t="shared" ref="AR55" si="548">IFERROR(AR54/AQ54-1,"")</f>
        <v>0.33782592024539904</v>
      </c>
      <c r="AS55" s="916">
        <f t="shared" ref="AS55" si="549">IFERROR(AS54/AR54-1,"")</f>
        <v>0.22172224531032847</v>
      </c>
      <c r="AT55" s="916">
        <f t="shared" ref="AT55" si="550">IFERROR(AT54/AS54-1,"")</f>
        <v>0.11221892484721807</v>
      </c>
      <c r="AU55" s="916">
        <f t="shared" ref="AU55" si="551">IFERROR(AU54/AT54-1,"")</f>
        <v>0.28482387681923682</v>
      </c>
      <c r="AV55" s="916">
        <f t="shared" ref="AV55" si="552">IFERROR(AV54/AU54-1,"")</f>
        <v>0.14204568773752935</v>
      </c>
      <c r="AW55" s="916">
        <f t="shared" ref="AW55" si="553">IFERROR(AW54/AV54-1,"")</f>
        <v>4.1392346836099048E-2</v>
      </c>
      <c r="AX55" s="919">
        <f t="shared" ref="AX55" si="554">IFERROR(AX54/AW54-1,"")</f>
        <v>9.2262459366005967E-2</v>
      </c>
      <c r="AY55" s="916">
        <f t="shared" ref="AY55" si="555">IFERROR(AY54/AX54-1,"")</f>
        <v>0.11436280255346021</v>
      </c>
      <c r="BA55" s="915"/>
      <c r="BB55" s="921"/>
      <c r="BC55" s="922"/>
      <c r="BD55" s="923"/>
      <c r="BE55" s="924"/>
      <c r="BF55" s="923"/>
    </row>
    <row r="56" spans="1:58" ht="14.5" x14ac:dyDescent="0.35">
      <c r="A56" s="956" t="s">
        <v>1488</v>
      </c>
      <c r="B56" s="915"/>
      <c r="C56" s="916">
        <f t="shared" ref="C56" si="556">+C55</f>
        <v>0</v>
      </c>
      <c r="D56" s="916">
        <f t="shared" ref="D56" si="557">+D55</f>
        <v>0</v>
      </c>
      <c r="E56" s="916">
        <f>+E55</f>
        <v>9.4744875708680398E-2</v>
      </c>
      <c r="F56" s="916">
        <f t="shared" ref="F56" si="558">+F55</f>
        <v>0.14435695538057502</v>
      </c>
      <c r="G56" s="917">
        <f t="shared" ref="G56" si="559">+G55</f>
        <v>8.9981077581913205E-2</v>
      </c>
      <c r="H56" s="918">
        <f t="shared" ref="H56" si="560">+H55</f>
        <v>8.4826548165139126E-2</v>
      </c>
      <c r="I56" s="916">
        <f t="shared" ref="I56" si="561">+I55</f>
        <v>0.14253734752615466</v>
      </c>
      <c r="J56" s="918">
        <f t="shared" ref="J56" si="562">+J55</f>
        <v>0.47903934458722897</v>
      </c>
      <c r="K56" s="916">
        <f t="shared" ref="K56" si="563">+K55</f>
        <v>0.38434163701067736</v>
      </c>
      <c r="L56" s="918">
        <f t="shared" ref="L56" si="564">+L55</f>
        <v>0.14770392209416583</v>
      </c>
      <c r="M56" s="916">
        <f t="shared" ref="M56" si="565">+M55</f>
        <v>0.18797839461598431</v>
      </c>
      <c r="N56" s="918">
        <f t="shared" ref="N56" si="566">+N55</f>
        <v>5.5132820862117127E-2</v>
      </c>
      <c r="O56" s="916">
        <f t="shared" ref="O56" si="567">+O55</f>
        <v>0.42023876097157742</v>
      </c>
      <c r="P56" s="918">
        <f t="shared" ref="P56" si="568">+P55</f>
        <v>0.173632373012653</v>
      </c>
      <c r="Q56" s="916">
        <f t="shared" ref="Q56" si="569">+Q55</f>
        <v>0.11949394826494131</v>
      </c>
      <c r="R56" s="918">
        <f t="shared" ref="R56" si="570">+R55</f>
        <v>0.15795511692230302</v>
      </c>
      <c r="S56" s="916">
        <f t="shared" ref="S56" si="571">+S55</f>
        <v>-6.17803128775396E-3</v>
      </c>
      <c r="T56" s="916">
        <f t="shared" ref="T56" si="572">+T55</f>
        <v>8.4402100891660004E-2</v>
      </c>
      <c r="U56" s="917">
        <f t="shared" ref="U56" si="573">+U55</f>
        <v>5.7532813245319225E-2</v>
      </c>
      <c r="V56" s="919">
        <f t="shared" ref="V56" si="574">+V55</f>
        <v>0.12051012490300517</v>
      </c>
      <c r="W56" s="916">
        <f t="shared" ref="W56" si="575">+W55</f>
        <v>0.11179900432586432</v>
      </c>
      <c r="X56" s="916">
        <f t="shared" ref="X56" si="576">+X55</f>
        <v>0.11633088874244724</v>
      </c>
      <c r="Y56" s="915"/>
      <c r="Z56" s="918">
        <f t="shared" ref="Z56" si="577">+Z55</f>
        <v>0</v>
      </c>
      <c r="AA56" s="920">
        <f t="shared" ref="AA56" si="578">+AA55</f>
        <v>0</v>
      </c>
      <c r="AB56" s="920">
        <f t="shared" ref="AB56" si="579">+AB55</f>
        <v>0</v>
      </c>
      <c r="AC56" s="920">
        <f t="shared" ref="AC56" si="580">+AC55</f>
        <v>0</v>
      </c>
      <c r="AD56" s="920">
        <f t="shared" ref="AD56" si="581">+AD55</f>
        <v>0</v>
      </c>
      <c r="AE56" s="917">
        <f t="shared" ref="AE56" si="582">+AE55</f>
        <v>0</v>
      </c>
      <c r="AF56" s="916">
        <f t="shared" ref="AF56" si="583">+AF55</f>
        <v>9.0087604939206534E-2</v>
      </c>
      <c r="AG56" s="916">
        <f t="shared" ref="AG56" si="584">+AG55</f>
        <v>1.3051267124094488</v>
      </c>
      <c r="AH56" s="916">
        <f t="shared" ref="AH56" si="585">+AH55</f>
        <v>0.70437198052822603</v>
      </c>
      <c r="AI56" s="916">
        <f t="shared" ref="AI56" si="586">+AI55</f>
        <v>0.31455254216731854</v>
      </c>
      <c r="AJ56" s="916">
        <f t="shared" ref="AJ56" si="587">+AJ55</f>
        <v>0.3429085943436363</v>
      </c>
      <c r="AK56" s="916">
        <f t="shared" ref="AK56" si="588">+AK55</f>
        <v>0.60375862087703935</v>
      </c>
      <c r="AL56" s="916">
        <f t="shared" ref="AL56" si="589">+AL55</f>
        <v>0.37741714673234261</v>
      </c>
      <c r="AM56" s="916">
        <f t="shared" ref="AM56" si="590">+AM55</f>
        <v>0.253432839518688</v>
      </c>
      <c r="AN56" s="916">
        <f t="shared" ref="AN56" si="591">+AN55</f>
        <v>0.30742272376813817</v>
      </c>
      <c r="AO56" s="916">
        <f t="shared" ref="AO56" si="592">+AO55</f>
        <v>0.1453385514394443</v>
      </c>
      <c r="AP56" s="916">
        <f t="shared" ref="AP56" si="593">+AP55</f>
        <v>0.12305747987268467</v>
      </c>
      <c r="AQ56" s="916">
        <f t="shared" ref="AQ56" si="594">+AQ55</f>
        <v>8.6983703580211236E-2</v>
      </c>
      <c r="AR56" s="916">
        <f t="shared" ref="AR56" si="595">+AR55</f>
        <v>0.33782592024539904</v>
      </c>
      <c r="AS56" s="916">
        <f t="shared" ref="AS56" si="596">+AS55</f>
        <v>0.22172224531032847</v>
      </c>
      <c r="AT56" s="916">
        <f t="shared" ref="AT56" si="597">+AT55</f>
        <v>0.11221892484721807</v>
      </c>
      <c r="AU56" s="916">
        <f t="shared" ref="AU56" si="598">+AU55</f>
        <v>0.28482387681923682</v>
      </c>
      <c r="AV56" s="916">
        <f t="shared" ref="AV56" si="599">+AV55</f>
        <v>0.14204568773752935</v>
      </c>
      <c r="AW56" s="916">
        <f t="shared" ref="AW56" si="600">+AW55</f>
        <v>4.1392346836099048E-2</v>
      </c>
      <c r="AX56" s="919">
        <f t="shared" ref="AX56" si="601">+AX55</f>
        <v>9.2262459366005967E-2</v>
      </c>
      <c r="AY56" s="916">
        <f t="shared" ref="AY56" si="602">+AY55</f>
        <v>0.11436280255346021</v>
      </c>
      <c r="BA56" s="915"/>
      <c r="BB56" s="921"/>
      <c r="BC56" s="922"/>
      <c r="BD56" s="923"/>
      <c r="BE56" s="924"/>
      <c r="BF56" s="923"/>
    </row>
    <row r="57" spans="1:58" ht="14.5" x14ac:dyDescent="0.35">
      <c r="A57" s="956" t="s">
        <v>45</v>
      </c>
      <c r="B57" s="915"/>
      <c r="C57" s="916">
        <f t="shared" ref="C57:S57" si="603">+C54/C22</f>
        <v>0.39331889620274857</v>
      </c>
      <c r="D57" s="916">
        <f t="shared" si="603"/>
        <v>0.4343736639589571</v>
      </c>
      <c r="E57" s="916">
        <f t="shared" si="603"/>
        <v>0.37414066138798341</v>
      </c>
      <c r="F57" s="916">
        <f t="shared" si="603"/>
        <v>0.41621669997911726</v>
      </c>
      <c r="G57" s="917">
        <f t="shared" si="603"/>
        <v>0.35707993474714517</v>
      </c>
      <c r="H57" s="918">
        <f t="shared" si="603"/>
        <v>0.40359718944575557</v>
      </c>
      <c r="I57" s="916">
        <f t="shared" si="603"/>
        <v>0.33418854813923976</v>
      </c>
      <c r="J57" s="918">
        <f t="shared" si="603"/>
        <v>0.44625627940355633</v>
      </c>
      <c r="K57" s="916">
        <f t="shared" si="603"/>
        <v>0.3656941862430288</v>
      </c>
      <c r="L57" s="918">
        <f t="shared" si="603"/>
        <v>0.44118278369722941</v>
      </c>
      <c r="M57" s="916">
        <f t="shared" si="603"/>
        <v>0.36830181245074878</v>
      </c>
      <c r="N57" s="918">
        <f t="shared" si="603"/>
        <v>0.43712560366999048</v>
      </c>
      <c r="O57" s="916">
        <f t="shared" si="603"/>
        <v>0.43441367206092352</v>
      </c>
      <c r="P57" s="918">
        <f t="shared" si="603"/>
        <v>0.44844743259052489</v>
      </c>
      <c r="Q57" s="916">
        <f t="shared" si="603"/>
        <v>0.43534095372509363</v>
      </c>
      <c r="R57" s="918">
        <f t="shared" si="603"/>
        <v>0.41629048751687819</v>
      </c>
      <c r="S57" s="916">
        <f t="shared" si="603"/>
        <v>0.36705750787895208</v>
      </c>
      <c r="T57" s="916">
        <f t="shared" ref="T57:U57" si="604">+T54/T22</f>
        <v>0.40605561653860245</v>
      </c>
      <c r="U57" s="917">
        <f t="shared" si="604"/>
        <v>0.34973589667911709</v>
      </c>
      <c r="V57" s="919">
        <f t="shared" ref="V57" si="605">+V54/V22</f>
        <v>0.40468000668959803</v>
      </c>
      <c r="W57" s="916">
        <f t="shared" ref="W57:X57" si="606">+W54/W22</f>
        <v>0.34717501937933548</v>
      </c>
      <c r="X57" s="916">
        <f t="shared" si="606"/>
        <v>0.40335427814651642</v>
      </c>
      <c r="Y57" s="915"/>
      <c r="Z57" s="918">
        <f t="shared" ref="Z57:AX57" si="607">+Z54/Z22</f>
        <v>0.19429604771830272</v>
      </c>
      <c r="AA57" s="920">
        <f t="shared" si="607"/>
        <v>0.2112452171459808</v>
      </c>
      <c r="AB57" s="920">
        <f t="shared" si="607"/>
        <v>0.20317414601239425</v>
      </c>
      <c r="AC57" s="920">
        <f t="shared" si="607"/>
        <v>0.24507778585039586</v>
      </c>
      <c r="AD57" s="920">
        <f t="shared" si="607"/>
        <v>0.25038704424312841</v>
      </c>
      <c r="AE57" s="917">
        <f t="shared" si="607"/>
        <v>0.15918931175447085</v>
      </c>
      <c r="AF57" s="916">
        <f t="shared" si="607"/>
        <v>0.1368346836040118</v>
      </c>
      <c r="AG57" s="916">
        <f t="shared" si="607"/>
        <v>0.22540644005990149</v>
      </c>
      <c r="AH57" s="916">
        <f t="shared" si="607"/>
        <v>0.29544750703079753</v>
      </c>
      <c r="AI57" s="916">
        <f t="shared" si="607"/>
        <v>0.34751059597151818</v>
      </c>
      <c r="AJ57" s="916">
        <f t="shared" si="607"/>
        <v>0.36134877150304451</v>
      </c>
      <c r="AK57" s="916">
        <f t="shared" si="607"/>
        <v>0.38163308298504389</v>
      </c>
      <c r="AL57" s="916">
        <f t="shared" si="607"/>
        <v>0.40445792233894334</v>
      </c>
      <c r="AM57" s="916">
        <f t="shared" si="607"/>
        <v>0.40467444795847429</v>
      </c>
      <c r="AN57" s="916">
        <f t="shared" si="607"/>
        <v>0.42143672122999071</v>
      </c>
      <c r="AO57" s="916">
        <f t="shared" si="607"/>
        <v>0.41574312819265308</v>
      </c>
      <c r="AP57" s="916">
        <f t="shared" si="607"/>
        <v>0.39750822170862421</v>
      </c>
      <c r="AQ57" s="916">
        <f t="shared" si="607"/>
        <v>0.38267683029720545</v>
      </c>
      <c r="AR57" s="916">
        <f t="shared" si="607"/>
        <v>0.39837751123239495</v>
      </c>
      <c r="AS57" s="916">
        <f t="shared" si="607"/>
        <v>0.40376900962854573</v>
      </c>
      <c r="AT57" s="916">
        <f t="shared" si="607"/>
        <v>0.4022825141596485</v>
      </c>
      <c r="AU57" s="916">
        <f t="shared" si="607"/>
        <v>0.44083037219838017</v>
      </c>
      <c r="AV57" s="916">
        <f t="shared" si="607"/>
        <v>0.42520705357415706</v>
      </c>
      <c r="AW57" s="916">
        <f t="shared" si="607"/>
        <v>0.3875852660300137</v>
      </c>
      <c r="AX57" s="919">
        <f t="shared" si="607"/>
        <v>0.3788339042448528</v>
      </c>
      <c r="AY57" s="916">
        <f t="shared" ref="AY57" si="608">+AY54/AY22</f>
        <v>0.37692715288978867</v>
      </c>
      <c r="BA57" s="915"/>
      <c r="BB57" s="921"/>
      <c r="BC57" s="922"/>
      <c r="BD57" s="923"/>
      <c r="BE57" s="924"/>
      <c r="BF57" s="923"/>
    </row>
    <row r="58" spans="1:58" x14ac:dyDescent="0.3">
      <c r="A58" s="759"/>
      <c r="B58" s="759"/>
      <c r="C58" s="943"/>
      <c r="D58" s="943"/>
      <c r="E58" s="943"/>
      <c r="F58" s="943"/>
      <c r="G58" s="949"/>
      <c r="H58" s="946"/>
      <c r="I58" s="943"/>
      <c r="J58" s="946"/>
      <c r="K58" s="943"/>
      <c r="L58" s="946"/>
      <c r="M58" s="943"/>
      <c r="N58" s="946"/>
      <c r="O58" s="943"/>
      <c r="P58" s="946"/>
      <c r="Q58" s="943"/>
      <c r="R58" s="946"/>
      <c r="S58" s="943"/>
      <c r="T58" s="943"/>
      <c r="U58" s="949"/>
      <c r="V58" s="947"/>
      <c r="W58" s="943"/>
      <c r="X58" s="943"/>
      <c r="Y58" s="759"/>
      <c r="Z58" s="946"/>
      <c r="AA58" s="948"/>
      <c r="AB58" s="948"/>
      <c r="AC58" s="948"/>
      <c r="AD58" s="948"/>
      <c r="AE58" s="949"/>
      <c r="AF58" s="943"/>
      <c r="AG58" s="943"/>
      <c r="AH58" s="943"/>
      <c r="AI58" s="943"/>
      <c r="AJ58" s="943"/>
      <c r="AK58" s="943"/>
      <c r="AL58" s="943"/>
      <c r="AM58" s="943"/>
      <c r="AN58" s="943"/>
      <c r="AO58" s="943"/>
      <c r="AP58" s="943"/>
      <c r="AQ58" s="943"/>
      <c r="AR58" s="943"/>
      <c r="AS58" s="943"/>
      <c r="AT58" s="943"/>
      <c r="AU58" s="943"/>
      <c r="AV58" s="943"/>
      <c r="AW58" s="943"/>
      <c r="AX58" s="947"/>
      <c r="AY58" s="943"/>
      <c r="BA58" s="759"/>
      <c r="BB58" s="895"/>
      <c r="BC58" s="896"/>
      <c r="BD58" s="897"/>
      <c r="BE58" s="898"/>
      <c r="BF58" s="897"/>
    </row>
    <row r="59" spans="1:58" s="758" customFormat="1" ht="14.5" x14ac:dyDescent="0.35">
      <c r="A59" s="1156" t="s">
        <v>150</v>
      </c>
      <c r="B59" s="915"/>
      <c r="C59" s="1268"/>
      <c r="D59" s="1268"/>
      <c r="E59" s="1268"/>
      <c r="F59" s="1268"/>
      <c r="G59" s="1269"/>
      <c r="H59" s="1270"/>
      <c r="I59" s="1268"/>
      <c r="J59" s="1270"/>
      <c r="K59" s="1268"/>
      <c r="L59" s="1270"/>
      <c r="M59" s="1268"/>
      <c r="N59" s="1270"/>
      <c r="O59" s="1268"/>
      <c r="P59" s="1270"/>
      <c r="Q59" s="1268"/>
      <c r="R59" s="1270"/>
      <c r="S59" s="1268"/>
      <c r="T59" s="1268"/>
      <c r="U59" s="1269"/>
      <c r="V59" s="1271"/>
      <c r="W59" s="1268"/>
      <c r="X59" s="1268"/>
      <c r="Y59" s="915"/>
      <c r="Z59" s="1268"/>
      <c r="AA59" s="1268"/>
      <c r="AB59" s="1268"/>
      <c r="AC59" s="1268"/>
      <c r="AD59" s="1268"/>
      <c r="AE59" s="1268"/>
      <c r="AF59" s="1268"/>
      <c r="AG59" s="1268"/>
      <c r="AH59" s="1268"/>
      <c r="AI59" s="1268"/>
      <c r="AJ59" s="1268"/>
      <c r="AK59" s="1268"/>
      <c r="AL59" s="1268"/>
      <c r="AM59" s="1268"/>
      <c r="AN59" s="1268"/>
      <c r="AO59" s="1268"/>
      <c r="AP59" s="1268"/>
      <c r="AQ59" s="1268"/>
      <c r="AR59" s="1268"/>
      <c r="AS59" s="1268"/>
      <c r="AT59" s="1268"/>
      <c r="AU59" s="1268"/>
      <c r="AV59" s="1268"/>
      <c r="AW59" s="1268"/>
      <c r="AX59" s="1271"/>
      <c r="AY59" s="1268"/>
      <c r="BA59" s="915"/>
      <c r="BB59" s="921"/>
      <c r="BC59" s="922"/>
      <c r="BD59" s="923"/>
      <c r="BE59" s="924"/>
      <c r="BF59" s="923"/>
    </row>
    <row r="60" spans="1:58" s="1283" customFormat="1" ht="14.5" collapsed="1" x14ac:dyDescent="0.35">
      <c r="A60" s="914" t="s">
        <v>154</v>
      </c>
      <c r="B60" s="1272"/>
      <c r="C60" s="1273">
        <f>'Disclosed financials'!C144</f>
        <v>1.1900000000000001E-3</v>
      </c>
      <c r="D60" s="1273">
        <f>'Disclosed financials'!D144</f>
        <v>4.2940000000000001E-3</v>
      </c>
      <c r="E60" s="1273">
        <f>'Disclosed financials'!E144</f>
        <v>0.50581200000000004</v>
      </c>
      <c r="F60" s="1274">
        <f>'Disclosed financials'!F144</f>
        <v>0.38218799999999997</v>
      </c>
      <c r="G60" s="1275">
        <f>'Disclosed financials'!G144</f>
        <v>0.436</v>
      </c>
      <c r="H60" s="1276">
        <f>'Disclosed financials'!H144</f>
        <v>0.8660000000000001</v>
      </c>
      <c r="I60" s="1273">
        <f>'Disclosed financials'!I144</f>
        <v>1.3280000000000001</v>
      </c>
      <c r="J60" s="1276">
        <f>'Disclosed financials'!J144</f>
        <v>1.1569999999999998</v>
      </c>
      <c r="K60" s="1273">
        <f>'Disclosed financials'!K144</f>
        <v>0.89800000000000002</v>
      </c>
      <c r="L60" s="1276">
        <f>'Disclosed financials'!L144</f>
        <v>0.83399999999999996</v>
      </c>
      <c r="M60" s="1273">
        <f>'Disclosed financials'!M144</f>
        <v>0.97099999999999997</v>
      </c>
      <c r="N60" s="1276">
        <f>'Disclosed financials'!N144</f>
        <v>0.98699999999999999</v>
      </c>
      <c r="O60" s="1273">
        <f>'Disclosed financials'!O144</f>
        <v>1.113</v>
      </c>
      <c r="P60" s="1276">
        <f>'Disclosed financials'!P144</f>
        <v>1.1539999999999999</v>
      </c>
      <c r="Q60" s="1273">
        <f>'Disclosed financials'!Q144</f>
        <v>1.4159999999999999</v>
      </c>
      <c r="R60" s="1276">
        <f>'Disclosed financials'!R144</f>
        <v>1.125</v>
      </c>
      <c r="S60" s="1273">
        <f>'Disclosed financials'!S144</f>
        <v>1.591</v>
      </c>
      <c r="T60" s="1273">
        <f>'Disclosed financials'!T144</f>
        <v>1.7390000000000001</v>
      </c>
      <c r="U60" s="1275">
        <f>'Disclosed financials'!U144</f>
        <v>1.6990000000000001</v>
      </c>
      <c r="V60" s="1277">
        <f>'Disclosed financials'!V144</f>
        <v>1.913</v>
      </c>
      <c r="W60" s="1278">
        <f t="shared" ref="W60:X60" si="609">+U60/U22*W22</f>
        <v>1.9028800000000003</v>
      </c>
      <c r="X60" s="1278">
        <f t="shared" si="609"/>
        <v>2.1425600000000005</v>
      </c>
      <c r="Y60" s="1273"/>
      <c r="Z60" s="1273">
        <f>'Disclosed financials'!AE144</f>
        <v>0</v>
      </c>
      <c r="AA60" s="1273">
        <f>'Disclosed financials'!AF144</f>
        <v>0</v>
      </c>
      <c r="AB60" s="1273">
        <f>'Disclosed financials'!AG144</f>
        <v>0</v>
      </c>
      <c r="AC60" s="1273">
        <f>'Disclosed financials'!AH144</f>
        <v>0</v>
      </c>
      <c r="AD60" s="1273">
        <f>'Disclosed financials'!AI144</f>
        <v>0</v>
      </c>
      <c r="AE60" s="1273">
        <f>'Disclosed financials'!AJ144</f>
        <v>0</v>
      </c>
      <c r="AF60" s="1273">
        <f>'Disclosed financials'!AK144</f>
        <v>0.34357500000000002</v>
      </c>
      <c r="AG60" s="1273">
        <f>'Disclosed financials'!AL144</f>
        <v>0.32500000000000001</v>
      </c>
      <c r="AH60" s="1273">
        <f>'Disclosed financials'!AM144</f>
        <v>6.7757999999999999E-2</v>
      </c>
      <c r="AI60" s="1273">
        <f>'Disclosed financials'!AN144</f>
        <v>0</v>
      </c>
      <c r="AJ60" s="1273">
        <f>'Disclosed financials'!AO144</f>
        <v>0</v>
      </c>
      <c r="AK60" s="1273">
        <f>'Disclosed financials'!AP144</f>
        <v>0.15603700000000001</v>
      </c>
      <c r="AL60" s="1273">
        <f>'Disclosed financials'!AQ144</f>
        <v>0.915798</v>
      </c>
      <c r="AM60" s="1273">
        <f>'Disclosed financials'!AR144</f>
        <v>0.73489099999999996</v>
      </c>
      <c r="AN60" s="1273">
        <f>'Disclosed financials'!AS144</f>
        <v>2.41E-4</v>
      </c>
      <c r="AO60" s="1273">
        <f>'Disclosed financials'!AT144</f>
        <v>5.4840000000000002E-3</v>
      </c>
      <c r="AP60" s="1273">
        <f>'Disclosed financials'!AU144</f>
        <v>0.88800000000000001</v>
      </c>
      <c r="AQ60" s="1273">
        <f>'Disclosed financials'!AV144</f>
        <v>1.302</v>
      </c>
      <c r="AR60" s="1273">
        <f>'Disclosed financials'!AW144</f>
        <v>2.4849999999999999</v>
      </c>
      <c r="AS60" s="1273">
        <f>'Disclosed financials'!AX144</f>
        <v>2.4849999999999999</v>
      </c>
      <c r="AT60" s="1273">
        <f>'Disclosed financials'!AY144</f>
        <v>2.4849999999999999</v>
      </c>
      <c r="AU60" s="1273">
        <f>'Disclosed financials'!AZ144</f>
        <v>2.4849999999999999</v>
      </c>
      <c r="AV60" s="1273">
        <f>'Disclosed financials'!BA144</f>
        <v>2.4849999999999999</v>
      </c>
      <c r="AW60" s="1273">
        <f>SUM(S60:T60)</f>
        <v>3.33</v>
      </c>
      <c r="AX60" s="1277">
        <f>SUM(U60:V60)</f>
        <v>3.6120000000000001</v>
      </c>
      <c r="AY60" s="1273">
        <f t="shared" ref="AY60:AY61" si="610">+SUM(W60:X60)</f>
        <v>4.045440000000001</v>
      </c>
      <c r="BA60" s="1274"/>
      <c r="BB60" s="1279"/>
      <c r="BC60" s="1280"/>
      <c r="BD60" s="1281"/>
      <c r="BE60" s="1282"/>
      <c r="BF60" s="1281"/>
    </row>
    <row r="61" spans="1:58" s="758" customFormat="1" ht="14.5" collapsed="1" x14ac:dyDescent="0.35">
      <c r="A61" s="956" t="s">
        <v>155</v>
      </c>
      <c r="B61" s="925"/>
      <c r="C61" s="926">
        <f>+'Disclosed financials'!C107</f>
        <v>18.345189999999985</v>
      </c>
      <c r="D61" s="926">
        <f>+'Disclosed financials'!D107</f>
        <v>24.388294000000027</v>
      </c>
      <c r="E61" s="926">
        <f>+'Disclosed financials'!E107</f>
        <v>20.587812000000014</v>
      </c>
      <c r="F61" s="927">
        <f>+'Disclosed financials'!F107</f>
        <v>28.286187999999967</v>
      </c>
      <c r="G61" s="928">
        <f>+'Disclosed financials'!G107</f>
        <v>22.324999999999999</v>
      </c>
      <c r="H61" s="929">
        <f>+'Disclosed financials'!H107</f>
        <v>31.137000000000004</v>
      </c>
      <c r="I61" s="926">
        <f>+'Disclosed financials'!I107</f>
        <v>26.337</v>
      </c>
      <c r="J61" s="929">
        <f>+'Disclosed financials'!J107</f>
        <v>45.929000000000009</v>
      </c>
      <c r="K61" s="926">
        <f>+'Disclosed financials'!K107</f>
        <v>35.519000000000034</v>
      </c>
      <c r="L61" s="929">
        <f>+'Disclosed financials'!L107</f>
        <v>52.219000000000008</v>
      </c>
      <c r="M61" s="926">
        <f>+'Disclosed financials'!M107</f>
        <v>42.100000000000023</v>
      </c>
      <c r="N61" s="929">
        <f>+'Disclosed financials'!N107</f>
        <v>55.204999999999892</v>
      </c>
      <c r="O61" s="926">
        <f>+'Disclosed financials'!O107</f>
        <v>59.526000000000046</v>
      </c>
      <c r="P61" s="929">
        <f>+'Disclosed financials'!P107</f>
        <v>64.785999999999888</v>
      </c>
      <c r="Q61" s="926">
        <f>+'Disclosed financials'!Q107</f>
        <v>66.809000000000069</v>
      </c>
      <c r="R61" s="929">
        <f>+'Disclosed financials'!R107</f>
        <v>74.807999999999865</v>
      </c>
      <c r="S61" s="926">
        <f>+'Disclosed financials'!S107</f>
        <v>66.57999999999997</v>
      </c>
      <c r="T61" s="926">
        <f>+'Disclosed financials'!T107</f>
        <v>81.641000000000048</v>
      </c>
      <c r="U61" s="928">
        <f>+'Disclosed financials'!U107</f>
        <v>70.427000000000021</v>
      </c>
      <c r="V61" s="930">
        <f>+'Disclosed financials'!V107</f>
        <v>91.44399999999996</v>
      </c>
      <c r="W61" s="926">
        <f t="shared" ref="W61:X61" si="611">+W60+W54</f>
        <v>78.314601969308029</v>
      </c>
      <c r="X61" s="926">
        <f t="shared" si="611"/>
        <v>102.08878080000001</v>
      </c>
      <c r="Y61" s="926"/>
      <c r="Z61" s="926">
        <f>+'Disclosed financials'!AE107</f>
        <v>0.61737200000000025</v>
      </c>
      <c r="AA61" s="926">
        <f>+'Disclosed financials'!AF107</f>
        <v>0.95842800000000095</v>
      </c>
      <c r="AB61" s="926">
        <f>+'Disclosed financials'!AG107</f>
        <v>1.4531979999999993</v>
      </c>
      <c r="AC61" s="926">
        <f>+'Disclosed financials'!AH107</f>
        <v>1.8009720000000016</v>
      </c>
      <c r="AD61" s="926">
        <f>+'Disclosed financials'!AI107</f>
        <v>2.1799620000000024</v>
      </c>
      <c r="AE61" s="926">
        <f>+'Disclosed financials'!AJ107</f>
        <v>1.3630510000000049</v>
      </c>
      <c r="AF61" s="926">
        <f>+'Disclosed financials'!AK107</f>
        <v>1.8294199999999956</v>
      </c>
      <c r="AG61" s="926">
        <f>+'Disclosed financials'!AL107</f>
        <v>3.7500610000000076</v>
      </c>
      <c r="AH61" s="926">
        <f>+'Disclosed financials'!AM107</f>
        <v>5.9053359999999993</v>
      </c>
      <c r="AI61" s="926">
        <f>+'Disclosed financials'!AN107</f>
        <v>7.6738030000000093</v>
      </c>
      <c r="AJ61" s="926">
        <f>+'Disclosed financials'!AO107</f>
        <v>10.305215999999991</v>
      </c>
      <c r="AK61" s="926">
        <f>+'Disclosed financials'!AP107</f>
        <v>16.683115999999988</v>
      </c>
      <c r="AL61" s="926">
        <f>+'Disclosed financials'!AQ107</f>
        <v>23.680479999999999</v>
      </c>
      <c r="AM61" s="926">
        <f>+'Disclosed financials'!AR107</f>
        <v>29.268890999999968</v>
      </c>
      <c r="AN61" s="926">
        <f>+'Disclosed financials'!AS107</f>
        <v>37.306241000000014</v>
      </c>
      <c r="AO61" s="926">
        <f>+'Disclosed financials'!AT107</f>
        <v>42.733483999999926</v>
      </c>
      <c r="AP61" s="926">
        <f>+'Disclosed financials'!AU107</f>
        <v>48.873999999999981</v>
      </c>
      <c r="AQ61" s="926">
        <f>+'Disclosed financials'!AV107</f>
        <v>53.461999999999996</v>
      </c>
      <c r="AR61" s="926">
        <f>+'Disclosed financials'!AW107</f>
        <v>72.266000000000005</v>
      </c>
      <c r="AS61" s="926">
        <f>+'Disclosed financials'!AX107</f>
        <v>87.738000000000042</v>
      </c>
      <c r="AT61" s="926">
        <f>+'Disclosed financials'!AY107</f>
        <v>97.304999999999922</v>
      </c>
      <c r="AU61" s="926">
        <f>+'Disclosed financials'!AZ107</f>
        <v>124.31199999999993</v>
      </c>
      <c r="AV61" s="926">
        <f>+'Disclosed financials'!BA107</f>
        <v>141.6169999999999</v>
      </c>
      <c r="AW61" s="926">
        <f>SUM(S61:T61)</f>
        <v>148.221</v>
      </c>
      <c r="AX61" s="930">
        <f>SUM(U61:V61)</f>
        <v>161.87099999999998</v>
      </c>
      <c r="AY61" s="926">
        <f t="shared" si="610"/>
        <v>180.40338276930805</v>
      </c>
      <c r="BA61" s="927"/>
      <c r="BB61" s="933">
        <f>(AE61/Z61)^(1/5)-1</f>
        <v>0.17163688466569216</v>
      </c>
      <c r="BC61" s="934">
        <f>(AJ61/AE61)^(1/5)-1</f>
        <v>0.49868030031790411</v>
      </c>
      <c r="BD61" s="935">
        <f>(AO61/AJ61)^(1/5)-1</f>
        <v>0.32905281765620087</v>
      </c>
      <c r="BE61" s="936">
        <f>(AO61/AE61)^(1/10)-1</f>
        <v>0.41132040157554295</v>
      </c>
      <c r="BF61" s="935">
        <f>(AO61/Z61)^(1/15)-1</f>
        <v>0.32642110938062729</v>
      </c>
    </row>
    <row r="62" spans="1:58" s="758" customFormat="1" ht="14.5" x14ac:dyDescent="0.35">
      <c r="A62" s="1267" t="s">
        <v>37</v>
      </c>
      <c r="B62" s="915"/>
      <c r="C62" s="916"/>
      <c r="D62" s="916"/>
      <c r="E62" s="916">
        <f>E61/C61-1</f>
        <v>0.12224577668587955</v>
      </c>
      <c r="F62" s="916">
        <f>F61/D61-1</f>
        <v>0.15982643148388886</v>
      </c>
      <c r="G62" s="917">
        <f>G61/E61-1</f>
        <v>8.4379437698381077E-2</v>
      </c>
      <c r="H62" s="918">
        <f t="shared" ref="H62" si="612">H61/F61-1</f>
        <v>0.10078459494082548</v>
      </c>
      <c r="I62" s="916">
        <f t="shared" ref="I62" si="613">I61/G61-1</f>
        <v>0.17970884658454644</v>
      </c>
      <c r="J62" s="918">
        <f t="shared" ref="J62" si="614">J61/H61-1</f>
        <v>0.4750618235539712</v>
      </c>
      <c r="K62" s="916">
        <f t="shared" ref="K62" si="615">K61/I61-1</f>
        <v>0.34863500018984839</v>
      </c>
      <c r="L62" s="918">
        <f t="shared" ref="L62" si="616">L61/J61-1</f>
        <v>0.13695051057066343</v>
      </c>
      <c r="M62" s="916">
        <f t="shared" ref="M62" si="617">M61/K61-1</f>
        <v>0.18528111714856799</v>
      </c>
      <c r="N62" s="918">
        <f t="shared" ref="N62" si="618">N61/L61-1</f>
        <v>5.7182251670845563E-2</v>
      </c>
      <c r="O62" s="916">
        <f t="shared" ref="O62" si="619">O61/M61-1</f>
        <v>0.41391923990498847</v>
      </c>
      <c r="P62" s="918">
        <f t="shared" ref="P62" si="620">P61/N61-1</f>
        <v>0.17355312018838909</v>
      </c>
      <c r="Q62" s="916">
        <f t="shared" ref="Q62" si="621">Q61/O61-1</f>
        <v>0.12234989752377134</v>
      </c>
      <c r="R62" s="918">
        <f t="shared" ref="R62" si="622">R61/P61-1</f>
        <v>0.1546939153520821</v>
      </c>
      <c r="S62" s="916">
        <f t="shared" ref="S62" si="623">S61/Q61-1</f>
        <v>-3.4276818991467728E-3</v>
      </c>
      <c r="T62" s="916">
        <f t="shared" ref="T62" si="624">T61/R61-1</f>
        <v>9.1340498342425969E-2</v>
      </c>
      <c r="U62" s="917">
        <f t="shared" ref="U62" si="625">U61/S61-1</f>
        <v>5.7780114148393791E-2</v>
      </c>
      <c r="V62" s="919">
        <f t="shared" ref="V62" si="626">V61/T61-1</f>
        <v>0.12007447238519742</v>
      </c>
      <c r="W62" s="916">
        <f t="shared" ref="W62" si="627">W61/U61-1</f>
        <v>0.11199684736405091</v>
      </c>
      <c r="X62" s="916">
        <f t="shared" ref="X62" si="628">X61/V61-1</f>
        <v>0.11640764620970279</v>
      </c>
      <c r="Y62" s="915"/>
      <c r="Z62" s="918" t="str">
        <f t="shared" ref="Z62" si="629">IFERROR(Z61/Y61-1,"")</f>
        <v/>
      </c>
      <c r="AA62" s="920">
        <f t="shared" ref="AA62" si="630">IFERROR(AA61/Z61-1,"")</f>
        <v>0.55243192111077355</v>
      </c>
      <c r="AB62" s="920">
        <f t="shared" ref="AB62" si="631">IFERROR(AB61/AA61-1,"")</f>
        <v>0.51623074451080098</v>
      </c>
      <c r="AC62" s="920">
        <f t="shared" ref="AC62" si="632">IFERROR(AC61/AB61-1,"")</f>
        <v>0.23931632165747718</v>
      </c>
      <c r="AD62" s="920">
        <f t="shared" ref="AD62" si="633">IFERROR(AD61/AC61-1,"")</f>
        <v>0.21043636436324409</v>
      </c>
      <c r="AE62" s="917">
        <f t="shared" ref="AE62:AN62" si="634">IFERROR(AE61/AD61-1,"")</f>
        <v>-0.37473634861524951</v>
      </c>
      <c r="AF62" s="916">
        <f t="shared" si="634"/>
        <v>0.34215080726985936</v>
      </c>
      <c r="AG62" s="916">
        <f t="shared" si="634"/>
        <v>1.0498633446666248</v>
      </c>
      <c r="AH62" s="916">
        <f t="shared" si="634"/>
        <v>0.57473065104807297</v>
      </c>
      <c r="AI62" s="916">
        <f t="shared" si="634"/>
        <v>0.29946932740152477</v>
      </c>
      <c r="AJ62" s="916">
        <f t="shared" si="634"/>
        <v>0.3429085943436363</v>
      </c>
      <c r="AK62" s="916">
        <f t="shared" si="634"/>
        <v>0.61890017637670103</v>
      </c>
      <c r="AL62" s="916">
        <f t="shared" si="634"/>
        <v>0.41942788145811716</v>
      </c>
      <c r="AM62" s="916">
        <f t="shared" si="634"/>
        <v>0.23599230252089343</v>
      </c>
      <c r="AN62" s="916">
        <f t="shared" si="634"/>
        <v>0.27460384474423893</v>
      </c>
      <c r="AO62" s="916">
        <f>IFERROR(AO61/AN61-1,"")</f>
        <v>0.14547815203359438</v>
      </c>
      <c r="AP62" s="916">
        <f t="shared" ref="AP62" si="635">IFERROR(AP61/AO61-1,"")</f>
        <v>0.14369331552746933</v>
      </c>
      <c r="AQ62" s="916">
        <f t="shared" ref="AQ62" si="636">IFERROR(AQ61/AP61-1,"")</f>
        <v>9.3874043458689993E-2</v>
      </c>
      <c r="AR62" s="916">
        <f t="shared" ref="AR62" si="637">IFERROR(AR61/AQ61-1,"")</f>
        <v>0.35172645991545415</v>
      </c>
      <c r="AS62" s="916">
        <f t="shared" ref="AS62" si="638">IFERROR(AS61/AR61-1,"")</f>
        <v>0.21409791603243611</v>
      </c>
      <c r="AT62" s="916">
        <f t="shared" ref="AT62" si="639">IFERROR(AT61/AS61-1,"")</f>
        <v>0.10904055255419398</v>
      </c>
      <c r="AU62" s="916">
        <f t="shared" ref="AU62" si="640">IFERROR(AU61/AT61-1,"")</f>
        <v>0.27754997173834872</v>
      </c>
      <c r="AV62" s="916">
        <f t="shared" ref="AV62" si="641">IFERROR(AV61/AU61-1,"")</f>
        <v>0.13920619087457364</v>
      </c>
      <c r="AW62" s="916">
        <f t="shared" ref="AW62" si="642">IFERROR(AW61/AV61-1,"")</f>
        <v>4.6632819506133405E-2</v>
      </c>
      <c r="AX62" s="919">
        <f t="shared" ref="AX62:AY62" si="643">IFERROR(AX61/AW61-1,"")</f>
        <v>9.2092213653935495E-2</v>
      </c>
      <c r="AY62" s="916">
        <f t="shared" si="643"/>
        <v>0.11448859134315637</v>
      </c>
      <c r="BA62" s="915"/>
      <c r="BB62" s="921"/>
      <c r="BC62" s="922"/>
      <c r="BD62" s="923"/>
      <c r="BE62" s="924"/>
      <c r="BF62" s="923"/>
    </row>
    <row r="63" spans="1:58" s="758" customFormat="1" ht="14.5" x14ac:dyDescent="0.35">
      <c r="A63" s="1267" t="s">
        <v>1488</v>
      </c>
      <c r="B63" s="915"/>
      <c r="C63" s="916">
        <f t="shared" ref="C63" si="644">+C62</f>
        <v>0</v>
      </c>
      <c r="D63" s="916">
        <f t="shared" ref="D63" si="645">+D62</f>
        <v>0</v>
      </c>
      <c r="E63" s="916">
        <f>+E62</f>
        <v>0.12224577668587955</v>
      </c>
      <c r="F63" s="916">
        <f t="shared" ref="F63" si="646">+F62</f>
        <v>0.15982643148388886</v>
      </c>
      <c r="G63" s="917">
        <f t="shared" ref="G63" si="647">+G62</f>
        <v>8.4379437698381077E-2</v>
      </c>
      <c r="H63" s="918">
        <f t="shared" ref="H63" si="648">+H62</f>
        <v>0.10078459494082548</v>
      </c>
      <c r="I63" s="916">
        <f t="shared" ref="I63" si="649">+I62</f>
        <v>0.17970884658454644</v>
      </c>
      <c r="J63" s="918">
        <f t="shared" ref="J63" si="650">+J62</f>
        <v>0.4750618235539712</v>
      </c>
      <c r="K63" s="916">
        <f t="shared" ref="K63" si="651">+K62</f>
        <v>0.34863500018984839</v>
      </c>
      <c r="L63" s="918">
        <f t="shared" ref="L63" si="652">+L62</f>
        <v>0.13695051057066343</v>
      </c>
      <c r="M63" s="916">
        <f t="shared" ref="M63" si="653">+M62</f>
        <v>0.18528111714856799</v>
      </c>
      <c r="N63" s="918">
        <f t="shared" ref="N63" si="654">+N62</f>
        <v>5.7182251670845563E-2</v>
      </c>
      <c r="O63" s="916">
        <f t="shared" ref="O63" si="655">+O62</f>
        <v>0.41391923990498847</v>
      </c>
      <c r="P63" s="918">
        <f t="shared" ref="P63" si="656">+P62</f>
        <v>0.17355312018838909</v>
      </c>
      <c r="Q63" s="916">
        <f t="shared" ref="Q63" si="657">+Q62</f>
        <v>0.12234989752377134</v>
      </c>
      <c r="R63" s="918">
        <f t="shared" ref="R63" si="658">+R62</f>
        <v>0.1546939153520821</v>
      </c>
      <c r="S63" s="916">
        <f t="shared" ref="S63" si="659">+S62</f>
        <v>-3.4276818991467728E-3</v>
      </c>
      <c r="T63" s="916">
        <f t="shared" ref="T63" si="660">+T62</f>
        <v>9.1340498342425969E-2</v>
      </c>
      <c r="U63" s="917">
        <f t="shared" ref="U63" si="661">+U62</f>
        <v>5.7780114148393791E-2</v>
      </c>
      <c r="V63" s="919">
        <f t="shared" ref="V63" si="662">+V62</f>
        <v>0.12007447238519742</v>
      </c>
      <c r="W63" s="916">
        <f t="shared" ref="W63" si="663">+W62</f>
        <v>0.11199684736405091</v>
      </c>
      <c r="X63" s="916">
        <f t="shared" ref="X63" si="664">+X62</f>
        <v>0.11640764620970279</v>
      </c>
      <c r="Y63" s="915"/>
      <c r="Z63" s="918" t="str">
        <f t="shared" ref="Z63" si="665">+Z62</f>
        <v/>
      </c>
      <c r="AA63" s="920">
        <f t="shared" ref="AA63" si="666">+AA62</f>
        <v>0.55243192111077355</v>
      </c>
      <c r="AB63" s="920">
        <f t="shared" ref="AB63" si="667">+AB62</f>
        <v>0.51623074451080098</v>
      </c>
      <c r="AC63" s="920">
        <f t="shared" ref="AC63" si="668">+AC62</f>
        <v>0.23931632165747718</v>
      </c>
      <c r="AD63" s="920">
        <f t="shared" ref="AD63" si="669">+AD62</f>
        <v>0.21043636436324409</v>
      </c>
      <c r="AE63" s="917">
        <f t="shared" ref="AE63" si="670">+AE62</f>
        <v>-0.37473634861524951</v>
      </c>
      <c r="AF63" s="916">
        <f t="shared" ref="AF63" si="671">+AF62</f>
        <v>0.34215080726985936</v>
      </c>
      <c r="AG63" s="916">
        <f t="shared" ref="AG63" si="672">+AG62</f>
        <v>1.0498633446666248</v>
      </c>
      <c r="AH63" s="916">
        <f t="shared" ref="AH63" si="673">+AH62</f>
        <v>0.57473065104807297</v>
      </c>
      <c r="AI63" s="916">
        <f t="shared" ref="AI63" si="674">+AI62</f>
        <v>0.29946932740152477</v>
      </c>
      <c r="AJ63" s="916">
        <f t="shared" ref="AJ63" si="675">+AJ62</f>
        <v>0.3429085943436363</v>
      </c>
      <c r="AK63" s="916">
        <f t="shared" ref="AK63" si="676">+AK62</f>
        <v>0.61890017637670103</v>
      </c>
      <c r="AL63" s="916">
        <f t="shared" ref="AL63" si="677">+AL62</f>
        <v>0.41942788145811716</v>
      </c>
      <c r="AM63" s="916">
        <f t="shared" ref="AM63" si="678">+AM62</f>
        <v>0.23599230252089343</v>
      </c>
      <c r="AN63" s="916">
        <f t="shared" ref="AN63" si="679">+AN62</f>
        <v>0.27460384474423893</v>
      </c>
      <c r="AO63" s="916">
        <f t="shared" ref="AO63" si="680">+AO62</f>
        <v>0.14547815203359438</v>
      </c>
      <c r="AP63" s="916">
        <f t="shared" ref="AP63" si="681">+AP62</f>
        <v>0.14369331552746933</v>
      </c>
      <c r="AQ63" s="916">
        <f t="shared" ref="AQ63" si="682">+AQ62</f>
        <v>9.3874043458689993E-2</v>
      </c>
      <c r="AR63" s="916">
        <f t="shared" ref="AR63" si="683">+AR62</f>
        <v>0.35172645991545415</v>
      </c>
      <c r="AS63" s="916">
        <f t="shared" ref="AS63" si="684">+AS62</f>
        <v>0.21409791603243611</v>
      </c>
      <c r="AT63" s="916">
        <f t="shared" ref="AT63" si="685">+AT62</f>
        <v>0.10904055255419398</v>
      </c>
      <c r="AU63" s="916">
        <f t="shared" ref="AU63" si="686">+AU62</f>
        <v>0.27754997173834872</v>
      </c>
      <c r="AV63" s="916">
        <f t="shared" ref="AV63" si="687">+AV62</f>
        <v>0.13920619087457364</v>
      </c>
      <c r="AW63" s="916">
        <f t="shared" ref="AW63" si="688">+AW62</f>
        <v>4.6632819506133405E-2</v>
      </c>
      <c r="AX63" s="919">
        <f t="shared" ref="AX63" si="689">+AX62</f>
        <v>9.2092213653935495E-2</v>
      </c>
      <c r="AY63" s="916">
        <f t="shared" ref="AY63" si="690">+AY62</f>
        <v>0.11448859134315637</v>
      </c>
      <c r="BA63" s="915"/>
      <c r="BB63" s="921"/>
      <c r="BC63" s="922"/>
      <c r="BD63" s="923"/>
      <c r="BE63" s="924"/>
      <c r="BF63" s="923"/>
    </row>
    <row r="64" spans="1:58" s="758" customFormat="1" ht="14.5" x14ac:dyDescent="0.35">
      <c r="A64" s="1267" t="s">
        <v>45</v>
      </c>
      <c r="B64" s="915"/>
      <c r="C64" s="916">
        <f t="shared" ref="C64:S64" si="691">C61/C22</f>
        <v>0.39334441132957376</v>
      </c>
      <c r="D64" s="916">
        <f t="shared" si="691"/>
        <v>0.43445015676214938</v>
      </c>
      <c r="E64" s="916">
        <f t="shared" si="691"/>
        <v>0.38356426641825819</v>
      </c>
      <c r="F64" s="916">
        <f t="shared" si="691"/>
        <v>0.42191742489782491</v>
      </c>
      <c r="G64" s="917">
        <f t="shared" si="691"/>
        <v>0.36419249592169656</v>
      </c>
      <c r="H64" s="918">
        <f t="shared" si="691"/>
        <v>0.41514339426422947</v>
      </c>
      <c r="I64" s="916">
        <f t="shared" si="691"/>
        <v>0.35193425536179607</v>
      </c>
      <c r="J64" s="918">
        <f t="shared" si="691"/>
        <v>0.45778845387130207</v>
      </c>
      <c r="K64" s="916">
        <f t="shared" si="691"/>
        <v>0.37517956734831864</v>
      </c>
      <c r="L64" s="918">
        <f t="shared" si="691"/>
        <v>0.44834336444265099</v>
      </c>
      <c r="M64" s="916">
        <f t="shared" si="691"/>
        <v>0.37699691955011116</v>
      </c>
      <c r="N64" s="918">
        <f t="shared" si="691"/>
        <v>0.44508316335168813</v>
      </c>
      <c r="O64" s="916">
        <f t="shared" si="691"/>
        <v>0.44269098048548328</v>
      </c>
      <c r="P64" s="918">
        <f t="shared" si="691"/>
        <v>0.45658026414083708</v>
      </c>
      <c r="Q64" s="916">
        <f t="shared" si="691"/>
        <v>0.44476769344455491</v>
      </c>
      <c r="R64" s="918">
        <f t="shared" si="691"/>
        <v>0.42264645562969239</v>
      </c>
      <c r="S64" s="916">
        <f t="shared" si="691"/>
        <v>0.37604346696488067</v>
      </c>
      <c r="T64" s="916">
        <f t="shared" ref="T64:U64" si="692">T61/T22</f>
        <v>0.41489307639143008</v>
      </c>
      <c r="U64" s="917">
        <f t="shared" si="692"/>
        <v>0.35838159113345625</v>
      </c>
      <c r="V64" s="919">
        <f t="shared" ref="V64" si="693">V61/V22</f>
        <v>0.41332676426850584</v>
      </c>
      <c r="W64" s="916">
        <f t="shared" ref="W64:X64" si="694">W61/W22</f>
        <v>0.35582071383367458</v>
      </c>
      <c r="X64" s="916">
        <f t="shared" si="694"/>
        <v>0.41200103572542435</v>
      </c>
      <c r="Y64" s="915"/>
      <c r="Z64" s="918">
        <f t="shared" ref="Z64:AX64" si="695">Z61/Z22</f>
        <v>0.19429604771830272</v>
      </c>
      <c r="AA64" s="920">
        <f t="shared" si="695"/>
        <v>0.2112452171459808</v>
      </c>
      <c r="AB64" s="920">
        <f t="shared" si="695"/>
        <v>0.20317414601239425</v>
      </c>
      <c r="AC64" s="920">
        <f t="shared" si="695"/>
        <v>0.24507778585039586</v>
      </c>
      <c r="AD64" s="920">
        <f t="shared" si="695"/>
        <v>0.25038704424312841</v>
      </c>
      <c r="AE64" s="917">
        <f t="shared" si="695"/>
        <v>0.15918931175447085</v>
      </c>
      <c r="AF64" s="916">
        <f t="shared" si="695"/>
        <v>0.16847524935565381</v>
      </c>
      <c r="AG64" s="916">
        <f t="shared" si="695"/>
        <v>0.24679499139357639</v>
      </c>
      <c r="AH64" s="916">
        <f t="shared" si="695"/>
        <v>0.29887682860583992</v>
      </c>
      <c r="AI64" s="916">
        <f t="shared" si="695"/>
        <v>0.34751059597151818</v>
      </c>
      <c r="AJ64" s="916">
        <f t="shared" si="695"/>
        <v>0.36134877150304451</v>
      </c>
      <c r="AK64" s="916">
        <f t="shared" si="695"/>
        <v>0.38523619284914862</v>
      </c>
      <c r="AL64" s="916">
        <f t="shared" si="695"/>
        <v>0.42072881759511949</v>
      </c>
      <c r="AM64" s="916">
        <f t="shared" si="695"/>
        <v>0.41509680759030482</v>
      </c>
      <c r="AN64" s="916">
        <f t="shared" si="695"/>
        <v>0.42143944374781134</v>
      </c>
      <c r="AO64" s="916">
        <f t="shared" si="695"/>
        <v>0.41579648747263365</v>
      </c>
      <c r="AP64" s="916">
        <f t="shared" si="695"/>
        <v>0.40486426932412162</v>
      </c>
      <c r="AQ64" s="916">
        <f t="shared" si="695"/>
        <v>0.39222907786328987</v>
      </c>
      <c r="AR64" s="916">
        <f t="shared" si="695"/>
        <v>0.41256429725455718</v>
      </c>
      <c r="AS64" s="916">
        <f t="shared" si="695"/>
        <v>0.41553828448018654</v>
      </c>
      <c r="AT64" s="916">
        <f t="shared" si="695"/>
        <v>0.41282535372605567</v>
      </c>
      <c r="AU64" s="916">
        <f t="shared" si="695"/>
        <v>0.4498223319028215</v>
      </c>
      <c r="AV64" s="916">
        <f t="shared" si="695"/>
        <v>0.43280156474435361</v>
      </c>
      <c r="AW64" s="916">
        <f t="shared" si="695"/>
        <v>0.39649305834202714</v>
      </c>
      <c r="AX64" s="919">
        <f t="shared" si="695"/>
        <v>0.38748016172235744</v>
      </c>
      <c r="AY64" s="916">
        <f t="shared" ref="AY64" si="696">AY61/AY22</f>
        <v>0.38557341036729331</v>
      </c>
      <c r="BA64" s="915"/>
      <c r="BB64" s="921"/>
      <c r="BC64" s="922"/>
      <c r="BD64" s="923"/>
      <c r="BE64" s="924"/>
      <c r="BF64" s="923"/>
    </row>
    <row r="65" spans="1:64" s="758" customFormat="1" ht="14.5" x14ac:dyDescent="0.35">
      <c r="A65" s="914"/>
      <c r="B65" s="925"/>
      <c r="C65" s="925"/>
      <c r="D65" s="925"/>
      <c r="E65" s="925"/>
      <c r="F65" s="925"/>
      <c r="G65" s="968"/>
      <c r="H65" s="969"/>
      <c r="I65" s="925"/>
      <c r="J65" s="969"/>
      <c r="K65" s="925"/>
      <c r="L65" s="969"/>
      <c r="M65" s="925"/>
      <c r="N65" s="969"/>
      <c r="O65" s="925"/>
      <c r="P65" s="969"/>
      <c r="Q65" s="925"/>
      <c r="R65" s="969"/>
      <c r="S65" s="925"/>
      <c r="T65" s="925"/>
      <c r="U65" s="968"/>
      <c r="V65" s="1439"/>
      <c r="W65" s="925"/>
      <c r="X65" s="925"/>
      <c r="Y65" s="1164"/>
      <c r="Z65" s="1162"/>
      <c r="AA65" s="970"/>
      <c r="AB65" s="970"/>
      <c r="AC65" s="970"/>
      <c r="AD65" s="970"/>
      <c r="AE65" s="971"/>
      <c r="AF65" s="972"/>
      <c r="AG65" s="972"/>
      <c r="AH65" s="972"/>
      <c r="AI65" s="972"/>
      <c r="AJ65" s="972"/>
      <c r="AK65" s="972"/>
      <c r="AL65" s="972"/>
      <c r="AM65" s="972"/>
      <c r="AN65" s="972"/>
      <c r="AO65" s="972"/>
      <c r="AP65" s="972"/>
      <c r="AQ65" s="972"/>
      <c r="AR65" s="972"/>
      <c r="AS65" s="972"/>
      <c r="AT65" s="972"/>
      <c r="AU65" s="972"/>
      <c r="AV65" s="972"/>
      <c r="AW65" s="972"/>
      <c r="AX65" s="973"/>
      <c r="AY65" s="972"/>
      <c r="BA65" s="915"/>
      <c r="BB65" s="933"/>
      <c r="BC65" s="934"/>
      <c r="BD65" s="935"/>
      <c r="BE65" s="936"/>
      <c r="BF65" s="935"/>
    </row>
    <row r="66" spans="1:64" collapsed="1" x14ac:dyDescent="0.3">
      <c r="A66" s="900" t="s">
        <v>51</v>
      </c>
      <c r="B66" s="901"/>
      <c r="C66" s="902">
        <f>('Disclosed financials'!C402+'Disclosed financials'!C401+'Disclosed financials'!C410+'Disclosed financials'!C413+'Disclosed financials'!C414)*-1</f>
        <v>1.359</v>
      </c>
      <c r="D66" s="902">
        <f>('Disclosed financials'!D402+'Disclosed financials'!D401+'Disclosed financials'!D410+'Disclosed financials'!D413+'Disclosed financials'!D414)*-1</f>
        <v>1.1459999999999999</v>
      </c>
      <c r="E66" s="902">
        <f>('Disclosed financials'!E402+'Disclosed financials'!E401+'Disclosed financials'!E410+'Disclosed financials'!E413+'Disclosed financials'!E414)*-1</f>
        <v>1.0210000000000001</v>
      </c>
      <c r="F66" s="903">
        <f>('Disclosed financials'!F402+'Disclosed financials'!F401+'Disclosed financials'!F410+'Disclosed financials'!F413+'Disclosed financials'!F414)*-1</f>
        <v>0.70499999999999985</v>
      </c>
      <c r="G66" s="904">
        <f>('Disclosed financials'!G402+'Disclosed financials'!G401+'Disclosed financials'!G410+'Disclosed financials'!G413+'Disclosed financials'!G414)*-1</f>
        <v>1.1000000000000001</v>
      </c>
      <c r="H66" s="905">
        <f>('Disclosed financials'!H402+'Disclosed financials'!H401+'Disclosed financials'!H410+'Disclosed financials'!H413+'Disclosed financials'!H414)*-1</f>
        <v>0.36099999999999993</v>
      </c>
      <c r="I66" s="902">
        <f>('Disclosed financials'!I402+'Disclosed financials'!I401+'Disclosed financials'!I410+'Disclosed financials'!I413+'Disclosed financials'!I414)*-1</f>
        <v>0.59000000000000008</v>
      </c>
      <c r="J66" s="905">
        <f>('Disclosed financials'!J402+'Disclosed financials'!J401+'Disclosed financials'!J410+'Disclosed financials'!J413+'Disclosed financials'!J414)*-1</f>
        <v>0.49399999999999988</v>
      </c>
      <c r="K66" s="902">
        <f>('Disclosed financials'!K402+'Disclosed financials'!K401+'Disclosed financials'!K410+'Disclosed financials'!K413+'Disclosed financials'!K414)*-1</f>
        <v>1.32</v>
      </c>
      <c r="L66" s="905">
        <f>('Disclosed financials'!L402+'Disclosed financials'!L401+'Disclosed financials'!L410+'Disclosed financials'!L413+'Disclosed financials'!L414)*-1</f>
        <v>1.0090000000000001</v>
      </c>
      <c r="M66" s="902">
        <f>('Disclosed financials'!M402+'Disclosed financials'!M401+'Disclosed financials'!M410+'Disclosed financials'!M413+'Disclosed financials'!M414)*-1</f>
        <v>2.6080000000000001</v>
      </c>
      <c r="N66" s="905">
        <f>('Disclosed financials'!N402+'Disclosed financials'!N401+'Disclosed financials'!N410+'Disclosed financials'!N413+'Disclosed financials'!N414)*-1</f>
        <v>8.5470000000000006</v>
      </c>
      <c r="O66" s="902">
        <f>('Disclosed financials'!O402+'Disclosed financials'!O401+'Disclosed financials'!O410+'Disclosed financials'!O413+'Disclosed financials'!O414)*-1</f>
        <v>4.9130000000000003</v>
      </c>
      <c r="P66" s="905">
        <f>('Disclosed financials'!P402+'Disclosed financials'!P401+'Disclosed financials'!P410+'Disclosed financials'!P413+'Disclosed financials'!P414)*-1</f>
        <v>3.9670000000000001</v>
      </c>
      <c r="Q66" s="902">
        <f>('Disclosed financials'!Q402+'Disclosed financials'!Q401+'Disclosed financials'!Q410+'Disclosed financials'!Q413+'Disclosed financials'!Q414)*-1</f>
        <v>4.1459999999999999</v>
      </c>
      <c r="R66" s="905">
        <f>('Disclosed financials'!R402+'Disclosed financials'!R401+'Disclosed financials'!R410+'Disclosed financials'!R413+'Disclosed financials'!R414)*-1</f>
        <v>3.7</v>
      </c>
      <c r="S66" s="902">
        <f>('Disclosed financials'!S402+'Disclosed financials'!S401+'Disclosed financials'!S410+'Disclosed financials'!S413+'Disclosed financials'!S414)*-1</f>
        <v>2.4950000000000001</v>
      </c>
      <c r="T66" s="902">
        <f>('Disclosed financials'!T402+'Disclosed financials'!T401+'Disclosed financials'!T410+'Disclosed financials'!T413+'Disclosed financials'!T414)*-1</f>
        <v>3.7939999999999996</v>
      </c>
      <c r="U66" s="904">
        <f>('Disclosed financials'!U402+'Disclosed financials'!U401+'Disclosed financials'!U410+'Disclosed financials'!U413+'Disclosed financials'!U414)*-1</f>
        <v>3.9470000000000001</v>
      </c>
      <c r="V66" s="906">
        <f>('Disclosed financials'!V402+'Disclosed financials'!V401+'Disclosed financials'!V410+'Disclosed financials'!V413+'Disclosed financials'!V414)*-1</f>
        <v>5.5570000000000004</v>
      </c>
      <c r="W66" s="974">
        <f t="shared" ref="W66:X66" si="697">+U66/U22*W22</f>
        <v>4.4206400000000006</v>
      </c>
      <c r="X66" s="974">
        <f t="shared" si="697"/>
        <v>6.2238400000000009</v>
      </c>
      <c r="Y66" s="908"/>
      <c r="Z66" s="905">
        <f>('Disclosed financials'!AE402+'Disclosed financials'!AE401+'Disclosed financials'!AE410+'Disclosed financials'!AE413+'Disclosed financials'!AE414)*-1</f>
        <v>2.1787999999999998E-2</v>
      </c>
      <c r="AA66" s="909">
        <f>('Disclosed financials'!AF402+'Disclosed financials'!AF401+'Disclosed financials'!AF410+'Disclosed financials'!AF413+'Disclosed financials'!AF414)*-1</f>
        <v>2.1878000000000002E-2</v>
      </c>
      <c r="AB66" s="909">
        <f>('Disclosed financials'!AG402+'Disclosed financials'!AG401+'Disclosed financials'!AG410+'Disclosed financials'!AG413+'Disclosed financials'!AG414)*-1</f>
        <v>1.8106000000000001E-2</v>
      </c>
      <c r="AC66" s="909">
        <f>('Disclosed financials'!AH402+'Disclosed financials'!AH401+'Disclosed financials'!AH410+'Disclosed financials'!AH413+'Disclosed financials'!AH414)*-1</f>
        <v>0.15890199999999999</v>
      </c>
      <c r="AD66" s="909">
        <f>('Disclosed financials'!AI402+'Disclosed financials'!AI401+'Disclosed financials'!AI410+'Disclosed financials'!AI413+'Disclosed financials'!AI414)*-1</f>
        <v>0.50926799999999994</v>
      </c>
      <c r="AE66" s="902">
        <f>('Disclosed financials'!AJ402+'Disclosed financials'!AJ401+'Disclosed financials'!AJ410+'Disclosed financials'!AJ413+'Disclosed financials'!AJ414)*-1</f>
        <v>0.25996999999999998</v>
      </c>
      <c r="AF66" s="902">
        <f>('Disclosed financials'!AK402+'Disclosed financials'!AK401+'Disclosed financials'!AK410+'Disclosed financials'!AK413+'Disclosed financials'!AK414)*-1</f>
        <v>0.104352</v>
      </c>
      <c r="AG66" s="902">
        <f>('Disclosed financials'!AL402+'Disclosed financials'!AL401+'Disclosed financials'!AL410+'Disclosed financials'!AL413+'Disclosed financials'!AL414)*-1</f>
        <v>0.14676900000000001</v>
      </c>
      <c r="AH66" s="902">
        <f>('Disclosed financials'!AM402+'Disclosed financials'!AM401+'Disclosed financials'!AM410+'Disclosed financials'!AM413+'Disclosed financials'!AM414)*-1</f>
        <v>0.229742</v>
      </c>
      <c r="AI66" s="902">
        <f>('Disclosed financials'!AN402+'Disclosed financials'!AN401+'Disclosed financials'!AN410+'Disclosed financials'!AN413+'Disclosed financials'!AN414)*-1</f>
        <v>0.16253699999999999</v>
      </c>
      <c r="AJ66" s="902">
        <f>('Disclosed financials'!AO402+'Disclosed financials'!AO401+'Disclosed financials'!AO410+'Disclosed financials'!AO413+'Disclosed financials'!AO414)*-1</f>
        <v>0.23166900000000001</v>
      </c>
      <c r="AK66" s="902">
        <f>('Disclosed financials'!AP402+'Disclosed financials'!AP401+'Disclosed financials'!AP410+'Disclosed financials'!AP413+'Disclosed financials'!AP414)*-1</f>
        <v>0.57602100000000001</v>
      </c>
      <c r="AL66" s="902">
        <f>('Disclosed financials'!AQ402+'Disclosed financials'!AQ401+'Disclosed financials'!AQ410+'Disclosed financials'!AQ413+'Disclosed financials'!AQ414)*-1</f>
        <v>4.500019</v>
      </c>
      <c r="AM66" s="902">
        <f>('Disclosed financials'!AR402+'Disclosed financials'!AR401+'Disclosed financials'!AR410+'Disclosed financials'!AR413+'Disclosed financials'!AR414)*-1</f>
        <v>3.097</v>
      </c>
      <c r="AN66" s="902">
        <f>('Disclosed financials'!AS402+'Disclosed financials'!AS401+'Disclosed financials'!AS410+'Disclosed financials'!AS413+'Disclosed financials'!AS414)*-1</f>
        <v>2.1520000000000001</v>
      </c>
      <c r="AO66" s="902">
        <f>('Disclosed financials'!AT402+'Disclosed financials'!AT401+'Disclosed financials'!AT410+'Disclosed financials'!AT413+'Disclosed financials'!AT414)*-1</f>
        <v>2.5049999999999999</v>
      </c>
      <c r="AP66" s="902">
        <f>('Disclosed financials'!AU402+'Disclosed financials'!AU401+'Disclosed financials'!AU410+'Disclosed financials'!AU413+'Disclosed financials'!AU414)*-1</f>
        <v>1.726</v>
      </c>
      <c r="AQ66" s="902">
        <f>('Disclosed financials'!AV402+'Disclosed financials'!AV401+'Disclosed financials'!AV410+'Disclosed financials'!AV413+'Disclosed financials'!AV414)*-1</f>
        <v>1.4609999999999999</v>
      </c>
      <c r="AR66" s="902">
        <f>('Disclosed financials'!AW402+'Disclosed financials'!AW401+'Disclosed financials'!AW410+'Disclosed financials'!AW413+'Disclosed financials'!AW414)*-1</f>
        <v>1.0840000000000001</v>
      </c>
      <c r="AS66" s="902">
        <f>('Disclosed financials'!AX402+'Disclosed financials'!AX401+'Disclosed financials'!AX410+'Disclosed financials'!AX413+'Disclosed financials'!AX414)*-1</f>
        <v>2.3290000000000002</v>
      </c>
      <c r="AT66" s="902">
        <f>('Disclosed financials'!AY402+'Disclosed financials'!AY401+'Disclosed financials'!AY410+'Disclosed financials'!AY413+'Disclosed financials'!AY414)*-1</f>
        <v>11.154999999999999</v>
      </c>
      <c r="AU66" s="902">
        <f>('Disclosed financials'!AZ402+'Disclosed financials'!AZ401+'Disclosed financials'!AZ410+'Disclosed financials'!AZ413+'Disclosed financials'!AZ414)*-1</f>
        <v>8.8800000000000008</v>
      </c>
      <c r="AV66" s="902">
        <f>('Disclosed financials'!BA402+'Disclosed financials'!BA401+'Disclosed financials'!BA410+'Disclosed financials'!BA413+'Disclosed financials'!BA414)*-1</f>
        <v>7.8460000000000001</v>
      </c>
      <c r="AW66" s="902">
        <f>SUM(S66:T66)</f>
        <v>6.2889999999999997</v>
      </c>
      <c r="AX66" s="906">
        <f>SUM(U66:V66)</f>
        <v>9.5040000000000013</v>
      </c>
      <c r="AY66" s="902">
        <f>+SUM(W66:X66)</f>
        <v>10.644480000000001</v>
      </c>
      <c r="BA66" s="903"/>
      <c r="BB66" s="910">
        <f>(AE66/Z66)^(1/5)-1</f>
        <v>0.64187909580450286</v>
      </c>
      <c r="BC66" s="911">
        <f>(AJ66/AE66)^(1/5)-1</f>
        <v>-2.2787670191442122E-2</v>
      </c>
      <c r="BD66" s="912">
        <f>(AO66/AJ66)^(1/5)-1</f>
        <v>0.60985944983432949</v>
      </c>
      <c r="BE66" s="913">
        <f>(AO66/AE66)^(1/10)-1</f>
        <v>0.25426253377709096</v>
      </c>
      <c r="BF66" s="912">
        <f>(AO66/Z66)^(1/15)-1</f>
        <v>0.37205869673651648</v>
      </c>
    </row>
    <row r="67" spans="1:64" ht="14.5" x14ac:dyDescent="0.35">
      <c r="A67" s="914" t="s">
        <v>45</v>
      </c>
      <c r="B67" s="759"/>
      <c r="C67" s="916">
        <f t="shared" ref="C67:AU67" si="698">IFERROR(C66/C$22,"")</f>
        <v>2.9138703660027028E-2</v>
      </c>
      <c r="D67" s="916">
        <f t="shared" si="698"/>
        <v>2.0414707139803326E-2</v>
      </c>
      <c r="E67" s="916">
        <f t="shared" si="698"/>
        <v>1.9021891010712621E-2</v>
      </c>
      <c r="F67" s="916">
        <f t="shared" si="698"/>
        <v>1.0515796068136393E-2</v>
      </c>
      <c r="G67" s="917">
        <f t="shared" si="698"/>
        <v>1.7944535073409464E-2</v>
      </c>
      <c r="H67" s="918">
        <f t="shared" si="698"/>
        <v>4.8131408077010246E-3</v>
      </c>
      <c r="I67" s="916">
        <f t="shared" si="698"/>
        <v>7.8840114919489571E-3</v>
      </c>
      <c r="J67" s="918">
        <f t="shared" si="698"/>
        <v>4.9238497727453921E-3</v>
      </c>
      <c r="K67" s="916">
        <f t="shared" si="698"/>
        <v>1.3942876457664354E-2</v>
      </c>
      <c r="L67" s="918">
        <f t="shared" si="698"/>
        <v>8.663100686007676E-3</v>
      </c>
      <c r="M67" s="916">
        <f t="shared" si="698"/>
        <v>2.3354108460491435E-2</v>
      </c>
      <c r="N67" s="918">
        <f t="shared" si="698"/>
        <v>6.8909080647892154E-2</v>
      </c>
      <c r="O67" s="916">
        <f t="shared" si="698"/>
        <v>3.6537660637791514E-2</v>
      </c>
      <c r="P67" s="918">
        <f t="shared" si="698"/>
        <v>2.7957489393490936E-2</v>
      </c>
      <c r="Q67" s="916">
        <f t="shared" si="698"/>
        <v>2.7601174348083683E-2</v>
      </c>
      <c r="R67" s="918">
        <f t="shared" si="698"/>
        <v>2.0904072904366709E-2</v>
      </c>
      <c r="S67" s="916">
        <f t="shared" si="698"/>
        <v>1.409174602098795E-2</v>
      </c>
      <c r="T67" s="916">
        <f t="shared" ref="T67:U67" si="699">IFERROR(T66/T$22,"")</f>
        <v>1.9280806602431189E-2</v>
      </c>
      <c r="U67" s="917">
        <f t="shared" si="699"/>
        <v>2.0085082996631282E-2</v>
      </c>
      <c r="V67" s="919">
        <f t="shared" ref="V67" si="700">IFERROR(V66/V$22,"")</f>
        <v>2.5117632967062774E-2</v>
      </c>
      <c r="W67" s="916">
        <f t="shared" ref="W67:X67" si="701">IFERROR(W66/W$22,"")</f>
        <v>2.0085082996631282E-2</v>
      </c>
      <c r="X67" s="916">
        <f t="shared" si="701"/>
        <v>2.5117632967062774E-2</v>
      </c>
      <c r="Y67" s="759"/>
      <c r="Z67" s="918">
        <f t="shared" si="698"/>
        <v>6.8570040229980912E-3</v>
      </c>
      <c r="AA67" s="920">
        <f t="shared" si="698"/>
        <v>4.8220866468005564E-3</v>
      </c>
      <c r="AB67" s="920">
        <f t="shared" si="698"/>
        <v>2.5314314275827602E-3</v>
      </c>
      <c r="AC67" s="920">
        <f t="shared" si="698"/>
        <v>2.1623517926541651E-2</v>
      </c>
      <c r="AD67" s="920">
        <f t="shared" si="698"/>
        <v>5.8493730279522933E-2</v>
      </c>
      <c r="AE67" s="917">
        <f t="shared" si="698"/>
        <v>3.0361626510533819E-2</v>
      </c>
      <c r="AF67" s="916">
        <f t="shared" si="698"/>
        <v>9.61000165121253E-3</v>
      </c>
      <c r="AG67" s="916">
        <f t="shared" si="698"/>
        <v>9.659003971360396E-3</v>
      </c>
      <c r="AH67" s="916">
        <f t="shared" si="698"/>
        <v>1.1627545046981727E-2</v>
      </c>
      <c r="AI67" s="916">
        <f t="shared" si="698"/>
        <v>7.3605394531788965E-3</v>
      </c>
      <c r="AJ67" s="916">
        <f t="shared" si="698"/>
        <v>8.1233919352431717E-3</v>
      </c>
      <c r="AK67" s="916">
        <f t="shared" si="698"/>
        <v>1.3301120548532996E-2</v>
      </c>
      <c r="AL67" s="916">
        <f t="shared" si="698"/>
        <v>7.9951406095888772E-2</v>
      </c>
      <c r="AM67" s="916">
        <f t="shared" si="698"/>
        <v>4.3922224901079283E-2</v>
      </c>
      <c r="AN67" s="916">
        <f t="shared" si="698"/>
        <v>2.4310615560149566E-2</v>
      </c>
      <c r="AO67" s="916">
        <f t="shared" si="698"/>
        <v>2.4373631719776207E-2</v>
      </c>
      <c r="AP67" s="916">
        <f t="shared" si="698"/>
        <v>1.4297903360752836E-2</v>
      </c>
      <c r="AQ67" s="916">
        <f t="shared" si="698"/>
        <v>1.0718766278071648E-2</v>
      </c>
      <c r="AR67" s="916">
        <f t="shared" si="698"/>
        <v>6.1885215485005399E-3</v>
      </c>
      <c r="AS67" s="916">
        <f t="shared" si="698"/>
        <v>1.1030439086306435E-2</v>
      </c>
      <c r="AT67" s="916">
        <f t="shared" si="698"/>
        <v>4.7326106786024918E-2</v>
      </c>
      <c r="AU67" s="916">
        <f t="shared" si="698"/>
        <v>3.2132234275830632E-2</v>
      </c>
      <c r="AV67" s="916">
        <f>IFERROR(AV66/AV$22,"")</f>
        <v>2.3978484765135546E-2</v>
      </c>
      <c r="AW67" s="916">
        <f t="shared" ref="AW67:AY67" si="702">IFERROR(AW66/AW$22,"")</f>
        <v>1.6823154909985823E-2</v>
      </c>
      <c r="AX67" s="919">
        <f t="shared" si="702"/>
        <v>2.2750285455759748E-2</v>
      </c>
      <c r="AY67" s="916">
        <f t="shared" si="702"/>
        <v>2.2750285455759744E-2</v>
      </c>
      <c r="BA67" s="759"/>
      <c r="BB67" s="895"/>
      <c r="BC67" s="896"/>
      <c r="BD67" s="897"/>
      <c r="BE67" s="898"/>
      <c r="BF67" s="897"/>
    </row>
    <row r="68" spans="1:64" x14ac:dyDescent="0.3">
      <c r="A68" s="759"/>
      <c r="B68" s="759"/>
      <c r="C68" s="943"/>
      <c r="D68" s="943"/>
      <c r="E68" s="943"/>
      <c r="F68" s="943"/>
      <c r="G68" s="949"/>
      <c r="H68" s="946"/>
      <c r="I68" s="943"/>
      <c r="J68" s="946"/>
      <c r="K68" s="943"/>
      <c r="L68" s="946"/>
      <c r="M68" s="943"/>
      <c r="N68" s="946"/>
      <c r="O68" s="943"/>
      <c r="P68" s="946"/>
      <c r="Q68" s="943"/>
      <c r="R68" s="946"/>
      <c r="S68" s="943"/>
      <c r="T68" s="943"/>
      <c r="U68" s="949"/>
      <c r="V68" s="947"/>
      <c r="W68" s="943"/>
      <c r="X68" s="943"/>
      <c r="Y68" s="759"/>
      <c r="Z68" s="946"/>
      <c r="AA68" s="948"/>
      <c r="AB68" s="948"/>
      <c r="AC68" s="948"/>
      <c r="AD68" s="948"/>
      <c r="AE68" s="949"/>
      <c r="AF68" s="943"/>
      <c r="AG68" s="943"/>
      <c r="AH68" s="943"/>
      <c r="AI68" s="943"/>
      <c r="AJ68" s="943"/>
      <c r="AK68" s="943"/>
      <c r="AL68" s="943"/>
      <c r="AM68" s="943"/>
      <c r="AN68" s="943"/>
      <c r="AO68" s="943"/>
      <c r="AP68" s="943"/>
      <c r="AQ68" s="943"/>
      <c r="AR68" s="943"/>
      <c r="AS68" s="943"/>
      <c r="AT68" s="943"/>
      <c r="AU68" s="943"/>
      <c r="AV68" s="943"/>
      <c r="AW68" s="943"/>
      <c r="AX68" s="947"/>
      <c r="AY68" s="943"/>
      <c r="BA68" s="759"/>
      <c r="BB68" s="895"/>
      <c r="BC68" s="896"/>
      <c r="BD68" s="897"/>
      <c r="BE68" s="898"/>
      <c r="BF68" s="897"/>
    </row>
    <row r="69" spans="1:64" collapsed="1" x14ac:dyDescent="0.3">
      <c r="A69" s="900" t="s">
        <v>53</v>
      </c>
      <c r="B69" s="902"/>
      <c r="C69" s="902">
        <f t="shared" ref="C69:S69" si="703">+C54-C66</f>
        <v>16.984999999999985</v>
      </c>
      <c r="D69" s="902">
        <f t="shared" si="703"/>
        <v>23.238000000000024</v>
      </c>
      <c r="E69" s="902">
        <f t="shared" si="703"/>
        <v>19.061000000000014</v>
      </c>
      <c r="F69" s="903">
        <f t="shared" si="703"/>
        <v>27.19899999999997</v>
      </c>
      <c r="G69" s="904">
        <f t="shared" si="703"/>
        <v>20.788999999999998</v>
      </c>
      <c r="H69" s="905">
        <f t="shared" si="703"/>
        <v>29.910000000000004</v>
      </c>
      <c r="I69" s="902">
        <f t="shared" si="703"/>
        <v>24.419</v>
      </c>
      <c r="J69" s="905">
        <f t="shared" si="703"/>
        <v>44.278000000000013</v>
      </c>
      <c r="K69" s="902">
        <f t="shared" si="703"/>
        <v>33.30100000000003</v>
      </c>
      <c r="L69" s="905">
        <f t="shared" si="703"/>
        <v>50.376000000000005</v>
      </c>
      <c r="M69" s="902">
        <f t="shared" si="703"/>
        <v>38.521000000000029</v>
      </c>
      <c r="N69" s="905">
        <f t="shared" si="703"/>
        <v>45.670999999999893</v>
      </c>
      <c r="O69" s="902">
        <f t="shared" si="703"/>
        <v>53.500000000000043</v>
      </c>
      <c r="P69" s="905">
        <f t="shared" si="703"/>
        <v>59.664999999999893</v>
      </c>
      <c r="Q69" s="902">
        <f t="shared" si="703"/>
        <v>61.247000000000071</v>
      </c>
      <c r="R69" s="905">
        <f t="shared" si="703"/>
        <v>69.982999999999862</v>
      </c>
      <c r="S69" s="902">
        <f t="shared" si="703"/>
        <v>62.493999999999978</v>
      </c>
      <c r="T69" s="902">
        <f t="shared" ref="T69:U69" si="704">+T54-T66</f>
        <v>76.108000000000047</v>
      </c>
      <c r="U69" s="904">
        <f t="shared" si="704"/>
        <v>64.78100000000002</v>
      </c>
      <c r="V69" s="906">
        <f t="shared" ref="V69" si="705">+V54-V66</f>
        <v>83.973999999999961</v>
      </c>
      <c r="W69" s="902">
        <f t="shared" ref="W69:X69" si="706">+W54-W66</f>
        <v>71.991081969308027</v>
      </c>
      <c r="X69" s="902">
        <f t="shared" si="706"/>
        <v>93.72238080000001</v>
      </c>
      <c r="Y69" s="908"/>
      <c r="Z69" s="905">
        <f t="shared" ref="Z69:AX69" si="707">+Z54-Z66</f>
        <v>0.59558400000000022</v>
      </c>
      <c r="AA69" s="909">
        <f t="shared" si="707"/>
        <v>0.93655000000000099</v>
      </c>
      <c r="AB69" s="909">
        <f t="shared" si="707"/>
        <v>1.4350919999999994</v>
      </c>
      <c r="AC69" s="909">
        <f t="shared" si="707"/>
        <v>1.6420700000000017</v>
      </c>
      <c r="AD69" s="909">
        <f t="shared" si="707"/>
        <v>1.6706940000000023</v>
      </c>
      <c r="AE69" s="902">
        <f t="shared" si="707"/>
        <v>1.1030810000000049</v>
      </c>
      <c r="AF69" s="902">
        <f t="shared" si="707"/>
        <v>1.3814929999999956</v>
      </c>
      <c r="AG69" s="902">
        <f t="shared" si="707"/>
        <v>3.2782920000000075</v>
      </c>
      <c r="AH69" s="902">
        <f t="shared" si="707"/>
        <v>5.6078359999999989</v>
      </c>
      <c r="AI69" s="902">
        <f t="shared" si="707"/>
        <v>7.5112660000000089</v>
      </c>
      <c r="AJ69" s="902">
        <f t="shared" si="707"/>
        <v>10.073546999999991</v>
      </c>
      <c r="AK69" s="902">
        <f t="shared" si="707"/>
        <v>15.951057999999986</v>
      </c>
      <c r="AL69" s="902">
        <f t="shared" si="707"/>
        <v>18.264662999999999</v>
      </c>
      <c r="AM69" s="902">
        <f t="shared" si="707"/>
        <v>25.436999999999966</v>
      </c>
      <c r="AN69" s="902">
        <f t="shared" si="707"/>
        <v>35.154000000000011</v>
      </c>
      <c r="AO69" s="902">
        <f t="shared" si="707"/>
        <v>40.222999999999921</v>
      </c>
      <c r="AP69" s="902">
        <f t="shared" si="707"/>
        <v>46.259999999999984</v>
      </c>
      <c r="AQ69" s="902">
        <f t="shared" si="707"/>
        <v>50.698999999999998</v>
      </c>
      <c r="AR69" s="902">
        <f t="shared" si="707"/>
        <v>68.697000000000003</v>
      </c>
      <c r="AS69" s="902">
        <f t="shared" si="707"/>
        <v>82.924000000000049</v>
      </c>
      <c r="AT69" s="902">
        <f t="shared" si="707"/>
        <v>83.664999999999921</v>
      </c>
      <c r="AU69" s="902">
        <f t="shared" si="707"/>
        <v>112.94699999999993</v>
      </c>
      <c r="AV69" s="902">
        <f t="shared" si="707"/>
        <v>131.28599999999989</v>
      </c>
      <c r="AW69" s="902">
        <f t="shared" si="707"/>
        <v>138.60200000000003</v>
      </c>
      <c r="AX69" s="906">
        <f t="shared" si="707"/>
        <v>148.755</v>
      </c>
      <c r="AY69" s="902">
        <f>+SUM(W69:X69)</f>
        <v>165.71346276930802</v>
      </c>
      <c r="BA69" s="903"/>
      <c r="BB69" s="910">
        <f>(AE69/Z69)^(1/5)-1</f>
        <v>0.13118301743491889</v>
      </c>
      <c r="BC69" s="911">
        <f>(AJ69/AE69)^(1/5)-1</f>
        <v>0.55637771088367183</v>
      </c>
      <c r="BD69" s="912">
        <f>(AO69/AJ69)^(1/5)-1</f>
        <v>0.31904134432659204</v>
      </c>
      <c r="BE69" s="913">
        <f>(AO69/AE69)^(1/10)-1</f>
        <v>0.43280373674971373</v>
      </c>
      <c r="BF69" s="912">
        <f>(AO69/Z69)^(1/15)-1</f>
        <v>0.32424628256017307</v>
      </c>
      <c r="BH69" s="1295">
        <f>+SUM(N69:O69)</f>
        <v>99.170999999999935</v>
      </c>
      <c r="BI69" s="1295">
        <f>+SUM(P69:Q69)</f>
        <v>120.91199999999996</v>
      </c>
      <c r="BJ69" s="1295">
        <f>+SUM(R69:S69)</f>
        <v>132.47699999999983</v>
      </c>
      <c r="BK69" s="1295">
        <f>+SUM(T69:U69)</f>
        <v>140.88900000000007</v>
      </c>
      <c r="BL69" s="1295">
        <f>+SUM(V69:W69)</f>
        <v>155.96508196930799</v>
      </c>
    </row>
    <row r="70" spans="1:64" ht="14.5" x14ac:dyDescent="0.35">
      <c r="A70" s="914" t="s">
        <v>37</v>
      </c>
      <c r="B70" s="759"/>
      <c r="C70" s="916"/>
      <c r="D70" s="916"/>
      <c r="E70" s="916">
        <f>E69/C69-1</f>
        <v>0.12222549308213315</v>
      </c>
      <c r="F70" s="916">
        <f>F69/D69-1</f>
        <v>0.17045356743265083</v>
      </c>
      <c r="G70" s="917">
        <f>G69/E69-1</f>
        <v>9.0656313939456723E-2</v>
      </c>
      <c r="H70" s="918">
        <f t="shared" ref="H70" si="708">H69/F69-1</f>
        <v>9.9672782087578016E-2</v>
      </c>
      <c r="I70" s="916">
        <f t="shared" ref="I70" si="709">I69/G69-1</f>
        <v>0.1746115734282554</v>
      </c>
      <c r="J70" s="918">
        <f t="shared" ref="J70" si="710">J69/H69-1</f>
        <v>0.48037445670344381</v>
      </c>
      <c r="K70" s="916">
        <f t="shared" ref="K70" si="711">K69/I69-1</f>
        <v>0.36373315860600464</v>
      </c>
      <c r="L70" s="918">
        <f t="shared" ref="L70" si="712">L69/J69-1</f>
        <v>0.13772076426216162</v>
      </c>
      <c r="M70" s="916">
        <f t="shared" ref="M70" si="713">M69/K69-1</f>
        <v>0.15675204948800325</v>
      </c>
      <c r="N70" s="918">
        <f t="shared" ref="N70" si="714">N69/L69-1</f>
        <v>-9.3397649674450411E-2</v>
      </c>
      <c r="O70" s="916">
        <f t="shared" ref="O70" si="715">O69/M69-1</f>
        <v>0.38885283351937905</v>
      </c>
      <c r="P70" s="918">
        <f t="shared" ref="P70" si="716">P69/N69-1</f>
        <v>0.30640888090911145</v>
      </c>
      <c r="Q70" s="916">
        <f t="shared" ref="Q70" si="717">Q69/O69-1</f>
        <v>0.14480373831775739</v>
      </c>
      <c r="R70" s="918">
        <f t="shared" ref="R70" si="718">R69/P69-1</f>
        <v>0.17293220481019</v>
      </c>
      <c r="S70" s="916">
        <f t="shared" ref="S70" si="719">S69/Q69-1</f>
        <v>2.0360180906818348E-2</v>
      </c>
      <c r="T70" s="916">
        <f t="shared" ref="T70" si="720">T69/R69-1</f>
        <v>8.7521255161970624E-2</v>
      </c>
      <c r="U70" s="917">
        <f t="shared" ref="U70" si="721">U69/S69-1</f>
        <v>3.6595513169265015E-2</v>
      </c>
      <c r="V70" s="919">
        <f t="shared" ref="V70" si="722">V69/T69-1</f>
        <v>0.10335312976296729</v>
      </c>
      <c r="W70" s="916">
        <f t="shared" ref="W70" si="723">W69/U69-1</f>
        <v>0.11129933112035939</v>
      </c>
      <c r="X70" s="916">
        <f t="shared" ref="X70" si="724">X69/V69-1</f>
        <v>0.11608808440707907</v>
      </c>
      <c r="Y70" s="759"/>
      <c r="Z70" s="918" t="str">
        <f t="shared" ref="Z70" si="725">IFERROR(Z69/Y69-1,"")</f>
        <v/>
      </c>
      <c r="AA70" s="920">
        <f t="shared" ref="AA70" si="726">IFERROR(AA69/Z69-1,"")</f>
        <v>0.5724901944981744</v>
      </c>
      <c r="AB70" s="920">
        <f t="shared" ref="AB70" si="727">IFERROR(AB69/AA69-1,"")</f>
        <v>0.53231754844909274</v>
      </c>
      <c r="AC70" s="920">
        <f t="shared" ref="AC70" si="728">IFERROR(AC69/AB69-1,"")</f>
        <v>0.14422629350592331</v>
      </c>
      <c r="AD70" s="920">
        <f t="shared" ref="AD70" si="729">IFERROR(AD69/AC69-1,"")</f>
        <v>1.7431656384929051E-2</v>
      </c>
      <c r="AE70" s="917">
        <f t="shared" ref="AE70" si="730">IFERROR(AE69/AD69-1,"")</f>
        <v>-0.33974683574610109</v>
      </c>
      <c r="AF70" s="916">
        <f t="shared" ref="AF70" si="731">IFERROR(AF69/AE69-1,"")</f>
        <v>0.25239488305934876</v>
      </c>
      <c r="AG70" s="916">
        <f t="shared" ref="AG70" si="732">IFERROR(AG69/AF69-1,"")</f>
        <v>1.3730065950388588</v>
      </c>
      <c r="AH70" s="916">
        <f t="shared" ref="AH70" si="733">IFERROR(AH69/AG69-1,"")</f>
        <v>0.71059685958419383</v>
      </c>
      <c r="AI70" s="916">
        <f t="shared" ref="AI70" si="734">IFERROR(AI69/AH69-1,"")</f>
        <v>0.33942326416107926</v>
      </c>
      <c r="AJ70" s="916">
        <f t="shared" ref="AJ70" si="735">IFERROR(AJ69/AI69-1,"")</f>
        <v>0.34112505135618676</v>
      </c>
      <c r="AK70" s="916">
        <f t="shared" ref="AK70" si="736">IFERROR(AK69/AJ69-1,"")</f>
        <v>0.5834599272728862</v>
      </c>
      <c r="AL70" s="916">
        <f t="shared" ref="AL70" si="737">IFERROR(AL69/AK69-1,"")</f>
        <v>0.14504398391630291</v>
      </c>
      <c r="AM70" s="916">
        <f t="shared" ref="AM70" si="738">IFERROR(AM69/AL69-1,"")</f>
        <v>0.39268926013033845</v>
      </c>
      <c r="AN70" s="916">
        <f t="shared" ref="AN70" si="739">IFERROR(AN69/AM69-1,"")</f>
        <v>0.38200259464559738</v>
      </c>
      <c r="AO70" s="916">
        <f>IFERROR(AO69/AN69-1,"")</f>
        <v>0.14419411731239418</v>
      </c>
      <c r="AP70" s="916">
        <f t="shared" ref="AP70" si="740">IFERROR(AP69/AO69-1,"")</f>
        <v>0.15008825796186454</v>
      </c>
      <c r="AQ70" s="916">
        <f t="shared" ref="AQ70" si="741">IFERROR(AQ69/AP69-1,"")</f>
        <v>9.5957630782533831E-2</v>
      </c>
      <c r="AR70" s="916">
        <f t="shared" ref="AR70" si="742">IFERROR(AR69/AQ69-1,"")</f>
        <v>0.35499713998303717</v>
      </c>
      <c r="AS70" s="916">
        <f t="shared" ref="AS70" si="743">IFERROR(AS69/AR69-1,"")</f>
        <v>0.20709783542221705</v>
      </c>
      <c r="AT70" s="916">
        <f t="shared" ref="AT70" si="744">IFERROR(AT69/AS69-1,"")</f>
        <v>8.9358931069396519E-3</v>
      </c>
      <c r="AU70" s="916">
        <f t="shared" ref="AU70" si="745">IFERROR(AU69/AT69-1,"")</f>
        <v>0.34999103567800205</v>
      </c>
      <c r="AV70" s="916">
        <f t="shared" ref="AV70" si="746">IFERROR(AV69/AU69-1,"")</f>
        <v>0.1623681903901828</v>
      </c>
      <c r="AW70" s="916">
        <f t="shared" ref="AW70" si="747">IFERROR(AW69/AV69-1,"")</f>
        <v>5.5725667626404629E-2</v>
      </c>
      <c r="AX70" s="919">
        <f t="shared" ref="AX70" si="748">IFERROR(AX69/AW69-1,"")</f>
        <v>7.3252911213402161E-2</v>
      </c>
      <c r="AY70" s="916">
        <f t="shared" ref="AY70" si="749">IFERROR(AY69/AX69-1,"")</f>
        <v>0.11400264037718411</v>
      </c>
      <c r="BA70" s="759"/>
      <c r="BB70" s="895"/>
      <c r="BC70" s="896"/>
      <c r="BD70" s="897"/>
      <c r="BE70" s="898"/>
      <c r="BF70" s="897"/>
    </row>
    <row r="71" spans="1:64" ht="14.5" x14ac:dyDescent="0.35">
      <c r="A71" s="914" t="s">
        <v>1488</v>
      </c>
      <c r="B71" s="759"/>
      <c r="C71" s="916">
        <f t="shared" ref="C71" si="750">+C70</f>
        <v>0</v>
      </c>
      <c r="D71" s="916">
        <f t="shared" ref="D71" si="751">+D70</f>
        <v>0</v>
      </c>
      <c r="E71" s="916">
        <f>+E70</f>
        <v>0.12222549308213315</v>
      </c>
      <c r="F71" s="916">
        <f t="shared" ref="F71" si="752">+F70</f>
        <v>0.17045356743265083</v>
      </c>
      <c r="G71" s="917">
        <f t="shared" ref="G71" si="753">+G70</f>
        <v>9.0656313939456723E-2</v>
      </c>
      <c r="H71" s="918">
        <f t="shared" ref="H71" si="754">+H70</f>
        <v>9.9672782087578016E-2</v>
      </c>
      <c r="I71" s="916">
        <f t="shared" ref="I71" si="755">+I70</f>
        <v>0.1746115734282554</v>
      </c>
      <c r="J71" s="918">
        <f t="shared" ref="J71" si="756">+J70</f>
        <v>0.48037445670344381</v>
      </c>
      <c r="K71" s="916">
        <f t="shared" ref="K71" si="757">+K70</f>
        <v>0.36373315860600464</v>
      </c>
      <c r="L71" s="918">
        <f t="shared" ref="L71" si="758">+L70</f>
        <v>0.13772076426216162</v>
      </c>
      <c r="M71" s="916">
        <f t="shared" ref="M71" si="759">+M70</f>
        <v>0.15675204948800325</v>
      </c>
      <c r="N71" s="918">
        <f t="shared" ref="N71" si="760">+N70</f>
        <v>-9.3397649674450411E-2</v>
      </c>
      <c r="O71" s="916">
        <f t="shared" ref="O71" si="761">+O70</f>
        <v>0.38885283351937905</v>
      </c>
      <c r="P71" s="918">
        <f t="shared" ref="P71" si="762">+P70</f>
        <v>0.30640888090911145</v>
      </c>
      <c r="Q71" s="916">
        <f t="shared" ref="Q71" si="763">+Q70</f>
        <v>0.14480373831775739</v>
      </c>
      <c r="R71" s="918">
        <f t="shared" ref="R71" si="764">+R70</f>
        <v>0.17293220481019</v>
      </c>
      <c r="S71" s="916">
        <f t="shared" ref="S71" si="765">+S70</f>
        <v>2.0360180906818348E-2</v>
      </c>
      <c r="T71" s="916">
        <f t="shared" ref="T71" si="766">+T70</f>
        <v>8.7521255161970624E-2</v>
      </c>
      <c r="U71" s="917">
        <f t="shared" ref="U71" si="767">+U70</f>
        <v>3.6595513169265015E-2</v>
      </c>
      <c r="V71" s="919">
        <f t="shared" ref="V71" si="768">+V70</f>
        <v>0.10335312976296729</v>
      </c>
      <c r="W71" s="916">
        <f t="shared" ref="W71" si="769">+W70</f>
        <v>0.11129933112035939</v>
      </c>
      <c r="X71" s="916">
        <f t="shared" ref="X71" si="770">+X70</f>
        <v>0.11608808440707907</v>
      </c>
      <c r="Y71" s="759"/>
      <c r="Z71" s="918" t="str">
        <f t="shared" ref="Z71" si="771">+Z70</f>
        <v/>
      </c>
      <c r="AA71" s="920">
        <f t="shared" ref="AA71" si="772">+AA70</f>
        <v>0.5724901944981744</v>
      </c>
      <c r="AB71" s="920">
        <f t="shared" ref="AB71" si="773">+AB70</f>
        <v>0.53231754844909274</v>
      </c>
      <c r="AC71" s="920">
        <f t="shared" ref="AC71" si="774">+AC70</f>
        <v>0.14422629350592331</v>
      </c>
      <c r="AD71" s="920">
        <f t="shared" ref="AD71" si="775">+AD70</f>
        <v>1.7431656384929051E-2</v>
      </c>
      <c r="AE71" s="917">
        <f t="shared" ref="AE71" si="776">+AE70</f>
        <v>-0.33974683574610109</v>
      </c>
      <c r="AF71" s="916">
        <f t="shared" ref="AF71" si="777">+AF70</f>
        <v>0.25239488305934876</v>
      </c>
      <c r="AG71" s="916">
        <f t="shared" ref="AG71" si="778">+AG70</f>
        <v>1.3730065950388588</v>
      </c>
      <c r="AH71" s="916">
        <f t="shared" ref="AH71" si="779">+AH70</f>
        <v>0.71059685958419383</v>
      </c>
      <c r="AI71" s="916">
        <f t="shared" ref="AI71" si="780">+AI70</f>
        <v>0.33942326416107926</v>
      </c>
      <c r="AJ71" s="916">
        <f t="shared" ref="AJ71" si="781">+AJ70</f>
        <v>0.34112505135618676</v>
      </c>
      <c r="AK71" s="916">
        <f t="shared" ref="AK71" si="782">+AK70</f>
        <v>0.5834599272728862</v>
      </c>
      <c r="AL71" s="916">
        <f t="shared" ref="AL71" si="783">+AL70</f>
        <v>0.14504398391630291</v>
      </c>
      <c r="AM71" s="916">
        <f t="shared" ref="AM71" si="784">+AM70</f>
        <v>0.39268926013033845</v>
      </c>
      <c r="AN71" s="916">
        <f t="shared" ref="AN71" si="785">+AN70</f>
        <v>0.38200259464559738</v>
      </c>
      <c r="AO71" s="916">
        <f t="shared" ref="AO71" si="786">+AO70</f>
        <v>0.14419411731239418</v>
      </c>
      <c r="AP71" s="916">
        <f t="shared" ref="AP71" si="787">+AP70</f>
        <v>0.15008825796186454</v>
      </c>
      <c r="AQ71" s="916">
        <f t="shared" ref="AQ71" si="788">+AQ70</f>
        <v>9.5957630782533831E-2</v>
      </c>
      <c r="AR71" s="916">
        <f t="shared" ref="AR71" si="789">+AR70</f>
        <v>0.35499713998303717</v>
      </c>
      <c r="AS71" s="916">
        <f t="shared" ref="AS71" si="790">+AS70</f>
        <v>0.20709783542221705</v>
      </c>
      <c r="AT71" s="916">
        <f t="shared" ref="AT71" si="791">+AT70</f>
        <v>8.9358931069396519E-3</v>
      </c>
      <c r="AU71" s="916">
        <f t="shared" ref="AU71" si="792">+AU70</f>
        <v>0.34999103567800205</v>
      </c>
      <c r="AV71" s="916">
        <f t="shared" ref="AV71" si="793">+AV70</f>
        <v>0.1623681903901828</v>
      </c>
      <c r="AW71" s="916">
        <f t="shared" ref="AW71" si="794">+AW70</f>
        <v>5.5725667626404629E-2</v>
      </c>
      <c r="AX71" s="919">
        <f t="shared" ref="AX71" si="795">+AX70</f>
        <v>7.3252911213402161E-2</v>
      </c>
      <c r="AY71" s="916">
        <f t="shared" ref="AY71" si="796">+AY70</f>
        <v>0.11400264037718411</v>
      </c>
      <c r="BA71" s="759"/>
      <c r="BB71" s="895"/>
      <c r="BC71" s="896"/>
      <c r="BD71" s="897"/>
      <c r="BE71" s="898"/>
      <c r="BF71" s="897"/>
    </row>
    <row r="72" spans="1:64" ht="14.5" x14ac:dyDescent="0.35">
      <c r="A72" s="914" t="s">
        <v>45</v>
      </c>
      <c r="B72" s="759"/>
      <c r="C72" s="916">
        <f t="shared" ref="C72:S72" si="797">+C69/C22</f>
        <v>0.3641801925427216</v>
      </c>
      <c r="D72" s="916">
        <f t="shared" si="797"/>
        <v>0.41395895681915373</v>
      </c>
      <c r="E72" s="916">
        <f t="shared" si="797"/>
        <v>0.3551187703772708</v>
      </c>
      <c r="F72" s="916">
        <f t="shared" si="797"/>
        <v>0.4057009039109809</v>
      </c>
      <c r="G72" s="917">
        <f t="shared" si="797"/>
        <v>0.33913539967373568</v>
      </c>
      <c r="H72" s="918">
        <f t="shared" si="797"/>
        <v>0.3987840486380545</v>
      </c>
      <c r="I72" s="916">
        <f t="shared" si="797"/>
        <v>0.32630453664729081</v>
      </c>
      <c r="J72" s="918">
        <f t="shared" si="797"/>
        <v>0.44133242963081093</v>
      </c>
      <c r="K72" s="916">
        <f t="shared" si="797"/>
        <v>0.35175130978536445</v>
      </c>
      <c r="L72" s="918">
        <f t="shared" si="797"/>
        <v>0.43251968301122168</v>
      </c>
      <c r="M72" s="916">
        <f t="shared" si="797"/>
        <v>0.34494770399025737</v>
      </c>
      <c r="N72" s="918">
        <f t="shared" si="797"/>
        <v>0.3682165230220984</v>
      </c>
      <c r="O72" s="916">
        <f t="shared" si="797"/>
        <v>0.397876011423132</v>
      </c>
      <c r="P72" s="918">
        <f t="shared" si="797"/>
        <v>0.42048994319703398</v>
      </c>
      <c r="Q72" s="916">
        <f t="shared" si="797"/>
        <v>0.40773977937700995</v>
      </c>
      <c r="R72" s="918">
        <f t="shared" si="797"/>
        <v>0.39538641461251151</v>
      </c>
      <c r="S72" s="916">
        <f t="shared" si="797"/>
        <v>0.35296576185796419</v>
      </c>
      <c r="T72" s="916">
        <f t="shared" ref="T72:U72" si="798">+T69/T22</f>
        <v>0.3867748099361713</v>
      </c>
      <c r="U72" s="917">
        <f t="shared" si="798"/>
        <v>0.32965081368248583</v>
      </c>
      <c r="V72" s="919">
        <f t="shared" ref="V72" si="799">+V69/V22</f>
        <v>0.37956237372253521</v>
      </c>
      <c r="W72" s="916">
        <f t="shared" ref="W72:X72" si="800">+W69/W22</f>
        <v>0.32708993638270417</v>
      </c>
      <c r="X72" s="916">
        <f t="shared" si="800"/>
        <v>0.37823664517945371</v>
      </c>
      <c r="Y72" s="759"/>
      <c r="Z72" s="918">
        <f t="shared" ref="Z72:AE72" si="801">+Z69/Z9</f>
        <v>3.2426566499495144E-2</v>
      </c>
      <c r="AA72" s="920">
        <f t="shared" si="801"/>
        <v>2.938752021166674E-2</v>
      </c>
      <c r="AB72" s="920">
        <f t="shared" si="801"/>
        <v>3.7170320715271696E-2</v>
      </c>
      <c r="AC72" s="920">
        <f t="shared" si="801"/>
        <v>4.1595569434902724E-2</v>
      </c>
      <c r="AD72" s="920">
        <f t="shared" si="801"/>
        <v>3.2673665939813398E-2</v>
      </c>
      <c r="AE72" s="917">
        <f t="shared" si="801"/>
        <v>1.9316729030778811E-2</v>
      </c>
      <c r="AF72" s="916">
        <f t="shared" ref="AF72:AX72" si="802">+AF69/AF22</f>
        <v>0.12722468195279929</v>
      </c>
      <c r="AG72" s="916">
        <f t="shared" si="802"/>
        <v>0.21574743608854111</v>
      </c>
      <c r="AH72" s="916">
        <f t="shared" si="802"/>
        <v>0.28381996198381582</v>
      </c>
      <c r="AI72" s="916">
        <f t="shared" si="802"/>
        <v>0.34015005651833924</v>
      </c>
      <c r="AJ72" s="916">
        <f t="shared" si="802"/>
        <v>0.35322537956780131</v>
      </c>
      <c r="AK72" s="916">
        <f t="shared" si="802"/>
        <v>0.3683319624365109</v>
      </c>
      <c r="AL72" s="916">
        <f t="shared" si="802"/>
        <v>0.32450651624305454</v>
      </c>
      <c r="AM72" s="916">
        <f t="shared" si="802"/>
        <v>0.36075222305739496</v>
      </c>
      <c r="AN72" s="916">
        <f t="shared" si="802"/>
        <v>0.39712610566984113</v>
      </c>
      <c r="AO72" s="916">
        <f t="shared" si="802"/>
        <v>0.39136949647287683</v>
      </c>
      <c r="AP72" s="916">
        <f t="shared" si="802"/>
        <v>0.38321031834787139</v>
      </c>
      <c r="AQ72" s="916">
        <f t="shared" si="802"/>
        <v>0.37195806401913384</v>
      </c>
      <c r="AR72" s="916">
        <f t="shared" si="802"/>
        <v>0.39218898968389443</v>
      </c>
      <c r="AS72" s="916">
        <f t="shared" si="802"/>
        <v>0.39273857054223932</v>
      </c>
      <c r="AT72" s="916">
        <f t="shared" si="802"/>
        <v>0.35495640737362361</v>
      </c>
      <c r="AU72" s="916">
        <f t="shared" si="802"/>
        <v>0.40869813792254955</v>
      </c>
      <c r="AV72" s="916">
        <f t="shared" si="802"/>
        <v>0.40122856880902147</v>
      </c>
      <c r="AW72" s="916">
        <f t="shared" si="802"/>
        <v>0.37076211112002794</v>
      </c>
      <c r="AX72" s="919">
        <f t="shared" si="802"/>
        <v>0.35608361878909306</v>
      </c>
      <c r="AY72" s="916">
        <f t="shared" ref="AY72" si="803">+AY69/AY22</f>
        <v>0.35417686743402887</v>
      </c>
      <c r="BA72" s="759"/>
      <c r="BB72" s="895"/>
      <c r="BC72" s="896"/>
      <c r="BD72" s="897"/>
      <c r="BE72" s="898"/>
      <c r="BF72" s="897"/>
      <c r="BH72" s="916">
        <f t="shared" ref="BH72:BL72" si="804">+BH69/BH22</f>
        <v>0.38364468446442301</v>
      </c>
      <c r="BI72" s="916">
        <f t="shared" si="804"/>
        <v>0.41393334588589714</v>
      </c>
      <c r="BJ72" s="916">
        <f t="shared" si="804"/>
        <v>0.37417279333885012</v>
      </c>
      <c r="BK72" s="916">
        <f t="shared" si="804"/>
        <v>0.35823183910091805</v>
      </c>
      <c r="BL72" s="916">
        <f t="shared" si="804"/>
        <v>0.3533941225042817</v>
      </c>
    </row>
    <row r="73" spans="1:64" x14ac:dyDescent="0.3">
      <c r="A73" s="759"/>
      <c r="B73" s="759"/>
      <c r="C73" s="943"/>
      <c r="D73" s="943"/>
      <c r="E73" s="943"/>
      <c r="F73" s="943"/>
      <c r="G73" s="949"/>
      <c r="H73" s="946"/>
      <c r="I73" s="943"/>
      <c r="J73" s="946"/>
      <c r="K73" s="943"/>
      <c r="L73" s="946"/>
      <c r="M73" s="943"/>
      <c r="N73" s="946"/>
      <c r="O73" s="943"/>
      <c r="P73" s="946"/>
      <c r="Q73" s="943"/>
      <c r="R73" s="946"/>
      <c r="S73" s="943"/>
      <c r="T73" s="943"/>
      <c r="U73" s="949"/>
      <c r="V73" s="947"/>
      <c r="W73" s="943"/>
      <c r="X73" s="943"/>
      <c r="Y73" s="759"/>
      <c r="Z73" s="946"/>
      <c r="AA73" s="948"/>
      <c r="AB73" s="948"/>
      <c r="AC73" s="948"/>
      <c r="AD73" s="948"/>
      <c r="AE73" s="949"/>
      <c r="AF73" s="943"/>
      <c r="AG73" s="943"/>
      <c r="AH73" s="943"/>
      <c r="AI73" s="943"/>
      <c r="AJ73" s="943"/>
      <c r="AK73" s="943"/>
      <c r="AL73" s="943"/>
      <c r="AM73" s="943"/>
      <c r="AN73" s="943"/>
      <c r="AO73" s="943"/>
      <c r="AP73" s="943"/>
      <c r="AQ73" s="943"/>
      <c r="AR73" s="943"/>
      <c r="AS73" s="943"/>
      <c r="AT73" s="943"/>
      <c r="AU73" s="943"/>
      <c r="AV73" s="943"/>
      <c r="AW73" s="943"/>
      <c r="AX73" s="947"/>
      <c r="AY73" s="943"/>
      <c r="BA73" s="759"/>
      <c r="BB73" s="895"/>
      <c r="BC73" s="896"/>
      <c r="BD73" s="897"/>
      <c r="BE73" s="898"/>
      <c r="BF73" s="897"/>
    </row>
    <row r="74" spans="1:64" hidden="1" outlineLevel="1" x14ac:dyDescent="0.3">
      <c r="A74" s="950" t="s">
        <v>156</v>
      </c>
      <c r="B74" s="901"/>
      <c r="C74" s="902"/>
      <c r="D74" s="902"/>
      <c r="E74" s="902"/>
      <c r="F74" s="903"/>
      <c r="G74" s="904"/>
      <c r="H74" s="905"/>
      <c r="I74" s="902"/>
      <c r="J74" s="905"/>
      <c r="K74" s="902"/>
      <c r="L74" s="905"/>
      <c r="M74" s="902"/>
      <c r="N74" s="905"/>
      <c r="O74" s="902"/>
      <c r="P74" s="905"/>
      <c r="Q74" s="902"/>
      <c r="R74" s="905"/>
      <c r="S74" s="902"/>
      <c r="T74" s="902"/>
      <c r="U74" s="904"/>
      <c r="V74" s="906"/>
      <c r="W74" s="902"/>
      <c r="X74" s="902"/>
      <c r="Y74" s="902"/>
      <c r="Z74" s="902"/>
      <c r="AA74" s="902"/>
      <c r="AB74" s="902"/>
      <c r="AC74" s="902"/>
      <c r="AD74" s="902"/>
      <c r="AE74" s="902"/>
      <c r="AF74" s="902"/>
      <c r="AG74" s="902"/>
      <c r="AH74" s="902"/>
      <c r="AI74" s="902"/>
      <c r="AJ74" s="902"/>
      <c r="AK74" s="902"/>
      <c r="AL74" s="902"/>
      <c r="AM74" s="902"/>
      <c r="AN74" s="902"/>
      <c r="AO74" s="902"/>
      <c r="AP74" s="902"/>
      <c r="AQ74" s="902"/>
      <c r="AR74" s="902"/>
      <c r="AS74" s="902"/>
      <c r="AT74" s="902"/>
      <c r="AU74" s="902"/>
      <c r="AV74" s="902"/>
      <c r="AW74" s="902"/>
      <c r="AX74" s="906"/>
      <c r="AY74" s="902"/>
      <c r="BA74" s="903"/>
      <c r="BB74" s="910"/>
      <c r="BC74" s="911"/>
      <c r="BD74" s="912"/>
      <c r="BE74" s="913"/>
      <c r="BF74" s="912"/>
    </row>
    <row r="75" spans="1:64" hidden="1" outlineLevel="1" x14ac:dyDescent="0.3">
      <c r="A75" s="937" t="s">
        <v>157</v>
      </c>
      <c r="B75" s="901"/>
      <c r="C75" s="902">
        <f>+'Disclosed financials'!C278</f>
        <v>17.291999999999984</v>
      </c>
      <c r="D75" s="902">
        <f>+'Disclosed financials'!D278</f>
        <v>23.294000000000025</v>
      </c>
      <c r="E75" s="902">
        <f>+'Disclosed financials'!E278</f>
        <v>19.507000000000012</v>
      </c>
      <c r="F75" s="903">
        <f>+'Disclosed financials'!F278</f>
        <v>27.243999999999975</v>
      </c>
      <c r="G75" s="904">
        <f>+'Disclosed financials'!G278</f>
        <v>21.373999999999999</v>
      </c>
      <c r="H75" s="905">
        <f>+'Disclosed financials'!H278</f>
        <v>30.080000000000002</v>
      </c>
      <c r="I75" s="902">
        <f>+'Disclosed financials'!I278</f>
        <v>25.437999999999978</v>
      </c>
      <c r="J75" s="905">
        <f>+'Disclosed financials'!J278</f>
        <v>45.069000000000024</v>
      </c>
      <c r="K75" s="902">
        <f>+'Disclosed financials'!K278</f>
        <v>34.752000000000031</v>
      </c>
      <c r="L75" s="905">
        <f>+'Disclosed financials'!L278</f>
        <v>51.466000000000008</v>
      </c>
      <c r="M75" s="902">
        <f>+'Disclosed financials'!M278</f>
        <v>41.449000000000019</v>
      </c>
      <c r="N75" s="905">
        <f>+'Disclosed financials'!N278</f>
        <v>54.241999999999898</v>
      </c>
      <c r="O75" s="902">
        <f>+'Disclosed financials'!O278</f>
        <v>58.177000000000049</v>
      </c>
      <c r="P75" s="905">
        <f>+'Disclosed financials'!P278</f>
        <v>63.505999999999887</v>
      </c>
      <c r="Q75" s="902">
        <f>+'Disclosed financials'!Q278</f>
        <v>65.549000000000063</v>
      </c>
      <c r="R75" s="905">
        <f>+'Disclosed financials'!R278</f>
        <v>73.136999999999858</v>
      </c>
      <c r="S75" s="902">
        <f>+'Disclosed financials'!S278</f>
        <v>64.661999999999964</v>
      </c>
      <c r="T75" s="902">
        <f>+'Disclosed financials'!T278</f>
        <v>79.568000000000055</v>
      </c>
      <c r="U75" s="904">
        <f>+'Disclosed financials'!U278</f>
        <v>68.430000000000021</v>
      </c>
      <c r="V75" s="906">
        <f>+'Disclosed financials'!V278</f>
        <v>89.245999999999938</v>
      </c>
      <c r="W75" s="902">
        <f t="shared" ref="W75:X75" si="805">+W45+W60</f>
        <v>75.977961969308026</v>
      </c>
      <c r="X75" s="902">
        <f t="shared" si="805"/>
        <v>99.527020800000003</v>
      </c>
      <c r="Y75" s="902"/>
      <c r="Z75" s="902">
        <f>+'Disclosed financials'!AE278</f>
        <v>0.53351100000000029</v>
      </c>
      <c r="AA75" s="902">
        <f>+'Disclosed financials'!AF278</f>
        <v>0.80633000000000088</v>
      </c>
      <c r="AB75" s="902">
        <f>+'Disclosed financials'!AG278</f>
        <v>1.1837199999999992</v>
      </c>
      <c r="AC75" s="902">
        <f>+'Disclosed financials'!AH278</f>
        <v>1.6568710000000015</v>
      </c>
      <c r="AD75" s="902">
        <f>+'Disclosed financials'!AI278</f>
        <v>1.9936170000000022</v>
      </c>
      <c r="AE75" s="902">
        <f>+'Disclosed financials'!AJ278</f>
        <v>1.147129000000005</v>
      </c>
      <c r="AF75" s="902">
        <f>+'Disclosed financials'!AK278</f>
        <v>1.6560759999999957</v>
      </c>
      <c r="AG75" s="902">
        <f>+'Disclosed financials'!AL278</f>
        <v>3.6586380000000078</v>
      </c>
      <c r="AH75" s="902">
        <f>+'Disclosed financials'!AM278</f>
        <v>5.8051969999999988</v>
      </c>
      <c r="AI75" s="902">
        <f>+'Disclosed financials'!AN278</f>
        <v>7.4000070000000093</v>
      </c>
      <c r="AJ75" s="902">
        <f>+'Disclosed financials'!AO278</f>
        <v>10.032754999999991</v>
      </c>
      <c r="AK75" s="902">
        <f>+'Disclosed financials'!AP278</f>
        <v>16.445728999999989</v>
      </c>
      <c r="AL75" s="902">
        <f>+'Disclosed financials'!AQ278</f>
        <v>23.205904999999998</v>
      </c>
      <c r="AM75" s="902">
        <f>+'Disclosed financials'!AR278</f>
        <v>28.102999999999966</v>
      </c>
      <c r="AN75" s="902">
        <f>+'Disclosed financials'!AS278</f>
        <v>35.528000000000013</v>
      </c>
      <c r="AO75" s="902">
        <f>+'Disclosed financials'!AT278</f>
        <v>40.58599999999992</v>
      </c>
      <c r="AP75" s="902">
        <f>+'Disclosed financials'!AU278</f>
        <v>46.750999999999983</v>
      </c>
      <c r="AQ75" s="902">
        <f>+'Disclosed financials'!AV278</f>
        <v>51.454000000000001</v>
      </c>
      <c r="AR75" s="902">
        <f>+'Disclosed financials'!AW278</f>
        <v>70.507000000000005</v>
      </c>
      <c r="AS75" s="902">
        <f>+'Disclosed financials'!AX278</f>
        <v>86.218000000000032</v>
      </c>
      <c r="AT75" s="902">
        <f>+'Disclosed financials'!AY278</f>
        <v>95.690999999999917</v>
      </c>
      <c r="AU75" s="902">
        <f>+'Disclosed financials'!AZ278</f>
        <v>121.68299999999994</v>
      </c>
      <c r="AV75" s="902">
        <f>+'Disclosed financials'!BA278</f>
        <v>138.68599999999992</v>
      </c>
      <c r="AW75" s="902">
        <f>+AW45+AW60</f>
        <v>144.23000000000002</v>
      </c>
      <c r="AX75" s="906">
        <f>+AX45+AX60</f>
        <v>157.67599999999999</v>
      </c>
      <c r="AY75" s="902"/>
      <c r="BA75" s="903"/>
      <c r="BB75" s="910"/>
      <c r="BC75" s="911"/>
      <c r="BD75" s="912"/>
      <c r="BE75" s="913"/>
      <c r="BF75" s="912"/>
    </row>
    <row r="76" spans="1:64" s="758" customFormat="1" ht="14.5" hidden="1" outlineLevel="1" x14ac:dyDescent="0.35">
      <c r="A76" s="956" t="s">
        <v>37</v>
      </c>
      <c r="B76" s="915"/>
      <c r="C76" s="916"/>
      <c r="D76" s="916"/>
      <c r="E76" s="916">
        <f t="shared" ref="E76" si="806">E75/C75-1</f>
        <v>0.12809391626185684</v>
      </c>
      <c r="F76" s="916">
        <f t="shared" ref="F76" si="807">F75/D75-1</f>
        <v>0.16957156349274261</v>
      </c>
      <c r="G76" s="917">
        <f t="shared" ref="G76" si="808">G75/E75-1</f>
        <v>9.5709232583174542E-2</v>
      </c>
      <c r="H76" s="918">
        <f t="shared" ref="H76" si="809">H75/F75-1</f>
        <v>0.10409631478490788</v>
      </c>
      <c r="I76" s="916">
        <f t="shared" ref="I76" si="810">I75/G75-1</f>
        <v>0.19013755029474955</v>
      </c>
      <c r="J76" s="918">
        <f t="shared" ref="J76" si="811">J75/H75-1</f>
        <v>0.49830452127659641</v>
      </c>
      <c r="K76" s="916">
        <f t="shared" ref="K76" si="812">K75/I75-1</f>
        <v>0.36614513719632291</v>
      </c>
      <c r="L76" s="918">
        <f t="shared" ref="L76" si="813">L75/J75-1</f>
        <v>0.14193791741551798</v>
      </c>
      <c r="M76" s="916">
        <f t="shared" ref="M76" si="814">M75/K75-1</f>
        <v>0.19270833333333282</v>
      </c>
      <c r="N76" s="918">
        <f t="shared" ref="N76" si="815">N75/L75-1</f>
        <v>5.3938522519719534E-2</v>
      </c>
      <c r="O76" s="916">
        <f t="shared" ref="O76" si="816">O75/M75-1</f>
        <v>0.40358030350551344</v>
      </c>
      <c r="P76" s="918">
        <f t="shared" ref="P76" si="817">P75/N75-1</f>
        <v>0.17079016260462376</v>
      </c>
      <c r="Q76" s="916">
        <f t="shared" ref="Q76" si="818">Q75/O75-1</f>
        <v>0.12671674373034025</v>
      </c>
      <c r="R76" s="918">
        <f t="shared" ref="R76" si="819">R75/P75-1</f>
        <v>0.15165496173589887</v>
      </c>
      <c r="S76" s="916">
        <f t="shared" ref="S76" si="820">S75/Q75-1</f>
        <v>-1.3531861660743827E-2</v>
      </c>
      <c r="T76" s="916">
        <f t="shared" ref="T76" si="821">T75/R75-1</f>
        <v>8.7930869464159178E-2</v>
      </c>
      <c r="U76" s="917">
        <f t="shared" ref="U76" si="822">U75/S75-1</f>
        <v>5.8272246450775667E-2</v>
      </c>
      <c r="V76" s="919">
        <f t="shared" ref="V76" si="823">V75/T75-1</f>
        <v>0.12163181178363014</v>
      </c>
      <c r="W76" s="916">
        <f t="shared" ref="W76" si="824">W75/U75-1</f>
        <v>0.11030194314347508</v>
      </c>
      <c r="X76" s="916">
        <f t="shared" ref="X76" si="825">X75/V75-1</f>
        <v>0.11519867332989797</v>
      </c>
      <c r="Y76" s="915"/>
      <c r="Z76" s="918"/>
      <c r="AA76" s="920"/>
      <c r="AB76" s="920"/>
      <c r="AC76" s="920"/>
      <c r="AD76" s="920"/>
      <c r="AE76" s="917"/>
      <c r="AF76" s="916">
        <f t="shared" ref="AF76" si="826">IFERROR(AF75/AE75-1,"")</f>
        <v>0.44367024109754749</v>
      </c>
      <c r="AG76" s="916">
        <f t="shared" ref="AG76" si="827">IFERROR(AG75/AF75-1,"")</f>
        <v>1.2092210743951468</v>
      </c>
      <c r="AH76" s="916">
        <f t="shared" ref="AH76" si="828">IFERROR(AH75/AG75-1,"")</f>
        <v>0.58670986306925865</v>
      </c>
      <c r="AI76" s="916">
        <f t="shared" ref="AI76" si="829">IFERROR(AI75/AH75-1,"")</f>
        <v>0.2747210818168635</v>
      </c>
      <c r="AJ76" s="916">
        <f t="shared" ref="AJ76" si="830">IFERROR(AJ75/AI75-1,"")</f>
        <v>0.35577642021149147</v>
      </c>
      <c r="AK76" s="916">
        <f t="shared" ref="AK76" si="831">IFERROR(AK75/AJ75-1,"")</f>
        <v>0.63920368831891183</v>
      </c>
      <c r="AL76" s="916">
        <f t="shared" ref="AL76" si="832">IFERROR(AL75/AK75-1,"")</f>
        <v>0.41105967391290554</v>
      </c>
      <c r="AM76" s="916">
        <f t="shared" ref="AM76" si="833">IFERROR(AM75/AL75-1,"")</f>
        <v>0.21102796895876152</v>
      </c>
      <c r="AN76" s="916">
        <f t="shared" ref="AN76" si="834">IFERROR(AN75/AM75-1,"")</f>
        <v>0.26420666832722683</v>
      </c>
      <c r="AO76" s="916">
        <f t="shared" ref="AO76" si="835">IFERROR(AO75/AN75-1,"")</f>
        <v>0.14236658410267689</v>
      </c>
      <c r="AP76" s="916">
        <f t="shared" ref="AP76" si="836">IFERROR(AP75/AO75-1,"")</f>
        <v>0.15189966983689152</v>
      </c>
      <c r="AQ76" s="916">
        <f t="shared" ref="AQ76" si="837">IFERROR(AQ75/AP75-1,"")</f>
        <v>0.10059677867853134</v>
      </c>
      <c r="AR76" s="916">
        <f t="shared" ref="AR76" si="838">IFERROR(AR75/AQ75-1,"")</f>
        <v>0.37029191122167382</v>
      </c>
      <c r="AS76" s="916">
        <f t="shared" ref="AS76" si="839">IFERROR(AS75/AR75-1,"")</f>
        <v>0.22282893897059908</v>
      </c>
      <c r="AT76" s="916">
        <f t="shared" ref="AT76" si="840">IFERROR(AT75/AS75-1,"")</f>
        <v>0.10987264840288424</v>
      </c>
      <c r="AU76" s="916">
        <f t="shared" ref="AU76" si="841">IFERROR(AU75/AT75-1,"")</f>
        <v>0.27162429068564475</v>
      </c>
      <c r="AV76" s="916">
        <f t="shared" ref="AV76" si="842">IFERROR(AV75/AU75-1,"")</f>
        <v>0.13973192639892185</v>
      </c>
      <c r="AW76" s="916">
        <f t="shared" ref="AW76" si="843">IFERROR(AW75/AV75-1,"")</f>
        <v>3.9975195765975746E-2</v>
      </c>
      <c r="AX76" s="919">
        <f t="shared" ref="AX76" si="844">IFERROR(AX75/AW75-1,"")</f>
        <v>9.3226097205851621E-2</v>
      </c>
      <c r="AY76" s="916"/>
      <c r="BA76" s="915"/>
      <c r="BB76" s="921"/>
      <c r="BC76" s="922"/>
      <c r="BD76" s="923"/>
      <c r="BE76" s="924"/>
      <c r="BF76" s="923"/>
    </row>
    <row r="77" spans="1:64" s="758" customFormat="1" ht="14.5" hidden="1" outlineLevel="1" x14ac:dyDescent="0.35">
      <c r="A77" s="956" t="s">
        <v>45</v>
      </c>
      <c r="B77" s="915"/>
      <c r="C77" s="916">
        <f t="shared" ref="C77:S77" si="845">+C75/C22</f>
        <v>0.37076266643795946</v>
      </c>
      <c r="D77" s="916">
        <f t="shared" si="845"/>
        <v>0.41495653413139544</v>
      </c>
      <c r="E77" s="916">
        <f t="shared" si="845"/>
        <v>0.36342803912435973</v>
      </c>
      <c r="F77" s="916">
        <f t="shared" si="845"/>
        <v>0.40637212493660668</v>
      </c>
      <c r="G77" s="917">
        <f t="shared" si="845"/>
        <v>0.34867862969004892</v>
      </c>
      <c r="H77" s="918">
        <f t="shared" si="845"/>
        <v>0.40105062464168101</v>
      </c>
      <c r="I77" s="916">
        <f t="shared" si="845"/>
        <v>0.33992115988508032</v>
      </c>
      <c r="J77" s="918">
        <f t="shared" si="845"/>
        <v>0.44921656965154305</v>
      </c>
      <c r="K77" s="916">
        <f t="shared" si="845"/>
        <v>0.36707791110360005</v>
      </c>
      <c r="L77" s="918">
        <f t="shared" si="845"/>
        <v>0.44187823578401497</v>
      </c>
      <c r="M77" s="916">
        <f t="shared" si="845"/>
        <v>0.37116734723117711</v>
      </c>
      <c r="N77" s="918">
        <f t="shared" si="845"/>
        <v>0.43731910056194673</v>
      </c>
      <c r="O77" s="916">
        <f t="shared" si="845"/>
        <v>0.43265855544978599</v>
      </c>
      <c r="P77" s="918">
        <f t="shared" si="845"/>
        <v>0.44755944578347173</v>
      </c>
      <c r="Q77" s="916">
        <f t="shared" si="845"/>
        <v>0.43637949284672917</v>
      </c>
      <c r="R77" s="918">
        <f t="shared" si="845"/>
        <v>0.41320572432612568</v>
      </c>
      <c r="S77" s="916">
        <f t="shared" si="845"/>
        <v>0.36521061371107105</v>
      </c>
      <c r="T77" s="916">
        <f t="shared" ref="T77:U77" si="846">+T75/T22</f>
        <v>0.40435825507175699</v>
      </c>
      <c r="U77" s="917">
        <f t="shared" si="846"/>
        <v>0.3482194652798275</v>
      </c>
      <c r="V77" s="919">
        <f t="shared" ref="V77" si="847">+V75/V22</f>
        <v>0.40339180705029382</v>
      </c>
      <c r="W77" s="916">
        <f t="shared" ref="W77:X77" si="848">+W75/W22</f>
        <v>0.34520424012551276</v>
      </c>
      <c r="X77" s="916">
        <f t="shared" si="848"/>
        <v>0.40166250719164087</v>
      </c>
      <c r="Y77" s="916"/>
      <c r="Z77" s="916">
        <f t="shared" ref="Z77:AX77" si="849">+Z75/Z22</f>
        <v>0.16790375772506594</v>
      </c>
      <c r="AA77" s="916">
        <f t="shared" si="849"/>
        <v>0.1777215982226299</v>
      </c>
      <c r="AB77" s="916">
        <f t="shared" si="849"/>
        <v>0.1654979570008982</v>
      </c>
      <c r="AC77" s="916">
        <f t="shared" si="849"/>
        <v>0.22546840046360037</v>
      </c>
      <c r="AD77" s="916">
        <f t="shared" si="849"/>
        <v>0.22898374741525448</v>
      </c>
      <c r="AE77" s="916">
        <f t="shared" si="849"/>
        <v>0.13397200545217641</v>
      </c>
      <c r="AF77" s="916">
        <f t="shared" si="849"/>
        <v>0.15251162502427745</v>
      </c>
      <c r="AG77" s="916">
        <f t="shared" si="849"/>
        <v>0.24077835899795005</v>
      </c>
      <c r="AH77" s="916">
        <f t="shared" si="849"/>
        <v>0.29380866199520839</v>
      </c>
      <c r="AI77" s="916">
        <f t="shared" si="849"/>
        <v>0.33511165751367428</v>
      </c>
      <c r="AJ77" s="916">
        <f t="shared" si="849"/>
        <v>0.35179502244698485</v>
      </c>
      <c r="AK77" s="916">
        <f t="shared" si="849"/>
        <v>0.37975459911618648</v>
      </c>
      <c r="AL77" s="916">
        <f t="shared" si="849"/>
        <v>0.41229708907398288</v>
      </c>
      <c r="AM77" s="916">
        <f t="shared" si="849"/>
        <v>0.39856192650792044</v>
      </c>
      <c r="AN77" s="916">
        <f t="shared" si="849"/>
        <v>0.40135109183131695</v>
      </c>
      <c r="AO77" s="916">
        <f t="shared" si="849"/>
        <v>0.39490148382388635</v>
      </c>
      <c r="AP77" s="916">
        <f t="shared" si="849"/>
        <v>0.38727768251364753</v>
      </c>
      <c r="AQ77" s="916">
        <f t="shared" si="849"/>
        <v>0.37749719375215512</v>
      </c>
      <c r="AR77" s="916">
        <f t="shared" si="849"/>
        <v>0.40252222215878924</v>
      </c>
      <c r="AS77" s="916">
        <f t="shared" si="849"/>
        <v>0.40833937189487701</v>
      </c>
      <c r="AT77" s="916">
        <f t="shared" si="849"/>
        <v>0.40597781124710952</v>
      </c>
      <c r="AU77" s="916">
        <f t="shared" si="849"/>
        <v>0.44030930893985321</v>
      </c>
      <c r="AV77" s="916">
        <f t="shared" si="849"/>
        <v>0.42384401454723253</v>
      </c>
      <c r="AW77" s="916">
        <f t="shared" si="849"/>
        <v>0.38581708263114256</v>
      </c>
      <c r="AX77" s="919">
        <f t="shared" si="849"/>
        <v>0.37743834275277494</v>
      </c>
      <c r="AY77" s="916"/>
      <c r="BA77" s="915"/>
      <c r="BB77" s="921"/>
      <c r="BC77" s="922"/>
      <c r="BD77" s="923"/>
      <c r="BE77" s="924"/>
      <c r="BF77" s="923"/>
    </row>
    <row r="78" spans="1:64" hidden="1" outlineLevel="1" x14ac:dyDescent="0.3">
      <c r="A78" s="937"/>
      <c r="B78" s="901"/>
      <c r="C78" s="902"/>
      <c r="D78" s="902"/>
      <c r="E78" s="902"/>
      <c r="F78" s="903"/>
      <c r="G78" s="904"/>
      <c r="H78" s="905"/>
      <c r="I78" s="902"/>
      <c r="J78" s="905"/>
      <c r="K78" s="902"/>
      <c r="L78" s="905"/>
      <c r="M78" s="902"/>
      <c r="N78" s="905"/>
      <c r="O78" s="902"/>
      <c r="P78" s="905"/>
      <c r="Q78" s="902"/>
      <c r="R78" s="905"/>
      <c r="S78" s="902"/>
      <c r="T78" s="902"/>
      <c r="U78" s="904"/>
      <c r="V78" s="906"/>
      <c r="W78" s="902"/>
      <c r="X78" s="902"/>
      <c r="Y78" s="902"/>
      <c r="Z78" s="902"/>
      <c r="AA78" s="902"/>
      <c r="AB78" s="902"/>
      <c r="AC78" s="902"/>
      <c r="AD78" s="902"/>
      <c r="AE78" s="902"/>
      <c r="AF78" s="902"/>
      <c r="AG78" s="902"/>
      <c r="AH78" s="902"/>
      <c r="AI78" s="902"/>
      <c r="AJ78" s="902"/>
      <c r="AK78" s="902"/>
      <c r="AL78" s="902"/>
      <c r="AM78" s="902"/>
      <c r="AN78" s="902"/>
      <c r="AO78" s="902"/>
      <c r="AP78" s="902"/>
      <c r="AQ78" s="902"/>
      <c r="AR78" s="902"/>
      <c r="AS78" s="902"/>
      <c r="AT78" s="902"/>
      <c r="AU78" s="902"/>
      <c r="AV78" s="902"/>
      <c r="AW78" s="902"/>
      <c r="AX78" s="906"/>
      <c r="AY78" s="902"/>
      <c r="BA78" s="903"/>
      <c r="BB78" s="910"/>
      <c r="BC78" s="911"/>
      <c r="BD78" s="912"/>
      <c r="BE78" s="913"/>
      <c r="BF78" s="912"/>
    </row>
    <row r="79" spans="1:64" ht="17" collapsed="1" x14ac:dyDescent="0.6">
      <c r="A79" s="759" t="s">
        <v>158</v>
      </c>
      <c r="B79" s="975"/>
      <c r="C79" s="975">
        <f>'Disclosed financials'!C223*-1</f>
        <v>-8.1000000000000003E-2</v>
      </c>
      <c r="D79" s="975">
        <f>'Disclosed financials'!D223*-1</f>
        <v>-0.114</v>
      </c>
      <c r="E79" s="975">
        <f>'Disclosed financials'!E223*-1</f>
        <v>-0.106</v>
      </c>
      <c r="F79" s="975">
        <f>'Disclosed financials'!F223*-1</f>
        <v>-0.106</v>
      </c>
      <c r="G79" s="976">
        <f>'Disclosed financials'!G223*-1</f>
        <v>-8.7999999999999995E-2</v>
      </c>
      <c r="H79" s="977">
        <f>'Disclosed financials'!H223*-1</f>
        <v>-5.3999999999999992E-2</v>
      </c>
      <c r="I79" s="975">
        <f>'Disclosed financials'!I223*-1</f>
        <v>-3.8E-3</v>
      </c>
      <c r="J79" s="977">
        <f>'Disclosed financials'!J223*-1</f>
        <v>-0.11320000000000001</v>
      </c>
      <c r="K79" s="975">
        <f>'Disclosed financials'!K223*-1</f>
        <v>-0.11</v>
      </c>
      <c r="L79" s="977">
        <f>'Disclosed financials'!L223*-1</f>
        <v>-0.22300000000000003</v>
      </c>
      <c r="M79" s="975">
        <f>'Disclosed financials'!M223*-1</f>
        <v>-4.4999999999999998E-2</v>
      </c>
      <c r="N79" s="977">
        <f>'Disclosed financials'!N223*-1</f>
        <v>0.161</v>
      </c>
      <c r="O79" s="975">
        <f>'Disclosed financials'!O223*-1</f>
        <v>0.11400000000000002</v>
      </c>
      <c r="P79" s="977">
        <f>'Disclosed financials'!P223*-1</f>
        <v>0.33499999999999996</v>
      </c>
      <c r="Q79" s="975">
        <f>'Disclosed financials'!Q223*-1</f>
        <v>-7.2000000000000008E-2</v>
      </c>
      <c r="R79" s="977">
        <f>'Disclosed financials'!R223*-1</f>
        <v>7.3000000000000009E-2</v>
      </c>
      <c r="S79" s="975">
        <f>'Disclosed financials'!S223*-1</f>
        <v>-5.1999999999999991E-2</v>
      </c>
      <c r="T79" s="975">
        <f>'Disclosed financials'!T223*-1</f>
        <v>0</v>
      </c>
      <c r="U79" s="976">
        <f>'Disclosed financials'!U223*-1</f>
        <v>-1.4849999999999999</v>
      </c>
      <c r="V79" s="978">
        <f>'Disclosed financials'!V223*-1</f>
        <v>-3.85</v>
      </c>
      <c r="W79" s="963">
        <v>0</v>
      </c>
      <c r="X79" s="963">
        <v>0</v>
      </c>
      <c r="Y79" s="759"/>
      <c r="Z79" s="977">
        <f>'Disclosed financials'!AE223*-1</f>
        <v>0.1</v>
      </c>
      <c r="AA79" s="979">
        <f>'Disclosed financials'!AF223*-1</f>
        <v>0.1</v>
      </c>
      <c r="AB79" s="979">
        <f>'Disclosed financials'!AG223*-1</f>
        <v>0</v>
      </c>
      <c r="AC79" s="979">
        <f>'Disclosed financials'!AH223*-1</f>
        <v>-2.6848E-2</v>
      </c>
      <c r="AD79" s="979">
        <f>'Disclosed financials'!AI223*-1</f>
        <v>-1.5863970000000001</v>
      </c>
      <c r="AE79" s="976">
        <f>'Disclosed financials'!AJ223*-1</f>
        <v>-6.6298999999999997E-2</v>
      </c>
      <c r="AF79" s="975">
        <f>'Disclosed financials'!AK223*-1</f>
        <v>-4.6339999999999999E-2</v>
      </c>
      <c r="AG79" s="975">
        <f>'Disclosed financials'!AL223*-1</f>
        <v>-0.14118900000000001</v>
      </c>
      <c r="AH79" s="975">
        <f>'Disclosed financials'!AM223*-1</f>
        <v>-0.299564</v>
      </c>
      <c r="AI79" s="975">
        <f>'Disclosed financials'!AN223*-1</f>
        <v>-0.21337100000000001</v>
      </c>
      <c r="AJ79" s="975">
        <f>'Disclosed financials'!AO223*-1</f>
        <v>0</v>
      </c>
      <c r="AK79" s="975">
        <f>'Disclosed financials'!AP223*-1</f>
        <v>-5.8015999999999998E-2</v>
      </c>
      <c r="AL79" s="975">
        <f>'Disclosed financials'!AQ223*-1</f>
        <v>-0.13525999999999999</v>
      </c>
      <c r="AM79" s="975">
        <f>'Disclosed financials'!AR223*-1</f>
        <v>-8.1000000000000003E-2</v>
      </c>
      <c r="AN79" s="975">
        <f>'Disclosed financials'!AS223*-1</f>
        <v>-0.10199999999999999</v>
      </c>
      <c r="AO79" s="975">
        <f>SUM(C79:D79)</f>
        <v>-0.19500000000000001</v>
      </c>
      <c r="AP79" s="975">
        <f>SUM(E79:F79)</f>
        <v>-0.21199999999999999</v>
      </c>
      <c r="AQ79" s="975">
        <f>SUM(G79:H79)</f>
        <v>-0.14199999999999999</v>
      </c>
      <c r="AR79" s="975">
        <f>'Disclosed financials'!AW223*-1</f>
        <v>-0.11700000000000001</v>
      </c>
      <c r="AS79" s="975">
        <f>'Disclosed financials'!AX223*-1</f>
        <v>-0.33300000000000002</v>
      </c>
      <c r="AT79" s="975">
        <f>'Disclosed financials'!AY223*-1</f>
        <v>0.11599999999999999</v>
      </c>
      <c r="AU79" s="975">
        <f>'Disclosed financials'!AZ223*-1</f>
        <v>0.44899999999999995</v>
      </c>
      <c r="AV79" s="975">
        <f>'Disclosed financials'!BA223*-1</f>
        <v>1.0000000000000009E-3</v>
      </c>
      <c r="AW79" s="975">
        <f t="shared" ref="AW79:AW82" si="850">SUM(S79:T79)</f>
        <v>-5.1999999999999991E-2</v>
      </c>
      <c r="AX79" s="978">
        <f t="shared" ref="AX79:AX82" si="851">SUM(U79:V79)</f>
        <v>-5.335</v>
      </c>
      <c r="AY79" s="975">
        <f t="shared" ref="AY79:AY82" si="852">+SUM(W79:X79)</f>
        <v>0</v>
      </c>
      <c r="BA79" s="759"/>
      <c r="BB79" s="895"/>
      <c r="BC79" s="896"/>
      <c r="BD79" s="897"/>
      <c r="BE79" s="898"/>
      <c r="BF79" s="897"/>
    </row>
    <row r="80" spans="1:64" collapsed="1" x14ac:dyDescent="0.3">
      <c r="A80" s="937" t="s">
        <v>159</v>
      </c>
      <c r="B80" s="901"/>
      <c r="C80" s="902">
        <f t="shared" ref="C80:S80" si="853">+C45-C79</f>
        <v>17.371999999999982</v>
      </c>
      <c r="D80" s="902">
        <f t="shared" si="853"/>
        <v>23.404000000000025</v>
      </c>
      <c r="E80" s="902">
        <f t="shared" si="853"/>
        <v>19.107000000000017</v>
      </c>
      <c r="F80" s="903">
        <f t="shared" si="853"/>
        <v>26.967999999999968</v>
      </c>
      <c r="G80" s="904">
        <f t="shared" si="853"/>
        <v>20.988</v>
      </c>
      <c r="H80" s="905">
        <f t="shared" si="853"/>
        <v>29.306000000000001</v>
      </c>
      <c r="I80" s="902">
        <f t="shared" si="853"/>
        <v>24.113799999999998</v>
      </c>
      <c r="J80" s="905">
        <f t="shared" si="853"/>
        <v>44.025200000000012</v>
      </c>
      <c r="K80" s="902">
        <f t="shared" si="853"/>
        <v>33.964000000000027</v>
      </c>
      <c r="L80" s="905">
        <f t="shared" si="853"/>
        <v>50.855000000000004</v>
      </c>
      <c r="M80" s="902">
        <f t="shared" si="853"/>
        <v>40.523000000000025</v>
      </c>
      <c r="N80" s="905">
        <f t="shared" si="853"/>
        <v>53.093999999999888</v>
      </c>
      <c r="O80" s="902">
        <f t="shared" si="853"/>
        <v>56.950000000000053</v>
      </c>
      <c r="P80" s="905">
        <f t="shared" si="853"/>
        <v>62.016999999999889</v>
      </c>
      <c r="Q80" s="902">
        <f t="shared" si="853"/>
        <v>64.205000000000069</v>
      </c>
      <c r="R80" s="905">
        <f t="shared" si="853"/>
        <v>71.938999999999865</v>
      </c>
      <c r="S80" s="902">
        <f t="shared" si="853"/>
        <v>63.122999999999976</v>
      </c>
      <c r="T80" s="902">
        <f t="shared" ref="T80:U80" si="854">+T45-T79</f>
        <v>77.82900000000005</v>
      </c>
      <c r="U80" s="904">
        <f t="shared" si="854"/>
        <v>68.216000000000022</v>
      </c>
      <c r="V80" s="906">
        <f t="shared" ref="V80" si="855">+V45-V79</f>
        <v>91.182999999999964</v>
      </c>
      <c r="W80" s="902">
        <f t="shared" ref="W80:X80" si="856">+W45-W79</f>
        <v>74.07508196930803</v>
      </c>
      <c r="X80" s="902">
        <f t="shared" si="856"/>
        <v>97.384460799999999</v>
      </c>
      <c r="Y80" s="902"/>
      <c r="Z80" s="902">
        <f t="shared" ref="Z80:AV80" si="857">+Z45-Z79</f>
        <v>0.43351100000000031</v>
      </c>
      <c r="AA80" s="902">
        <f t="shared" si="857"/>
        <v>0.7063300000000009</v>
      </c>
      <c r="AB80" s="902">
        <f t="shared" si="857"/>
        <v>1.1837199999999992</v>
      </c>
      <c r="AC80" s="902">
        <f t="shared" si="857"/>
        <v>1.6837190000000015</v>
      </c>
      <c r="AD80" s="902">
        <f t="shared" si="857"/>
        <v>3.5800140000000025</v>
      </c>
      <c r="AE80" s="902">
        <f t="shared" si="857"/>
        <v>1.2134280000000048</v>
      </c>
      <c r="AF80" s="902">
        <f t="shared" si="857"/>
        <v>1.3588409999999957</v>
      </c>
      <c r="AG80" s="902">
        <f t="shared" si="857"/>
        <v>3.4748270000000074</v>
      </c>
      <c r="AH80" s="902">
        <f t="shared" si="857"/>
        <v>6.0370029999999986</v>
      </c>
      <c r="AI80" s="902">
        <f t="shared" si="857"/>
        <v>7.6133780000000097</v>
      </c>
      <c r="AJ80" s="902">
        <f t="shared" si="857"/>
        <v>10.032754999999991</v>
      </c>
      <c r="AK80" s="902">
        <f t="shared" si="857"/>
        <v>16.347707999999987</v>
      </c>
      <c r="AL80" s="902">
        <f t="shared" si="857"/>
        <v>22.425366999999998</v>
      </c>
      <c r="AM80" s="902">
        <f t="shared" si="857"/>
        <v>27.448999999999966</v>
      </c>
      <c r="AN80" s="902">
        <f t="shared" si="857"/>
        <v>35.63000000000001</v>
      </c>
      <c r="AO80" s="902">
        <f t="shared" si="857"/>
        <v>40.775999999999925</v>
      </c>
      <c r="AP80" s="902">
        <f t="shared" si="857"/>
        <v>46.074999999999989</v>
      </c>
      <c r="AQ80" s="902">
        <f t="shared" si="857"/>
        <v>50.293999999999997</v>
      </c>
      <c r="AR80" s="902">
        <f t="shared" si="857"/>
        <v>68.13900000000001</v>
      </c>
      <c r="AS80" s="902">
        <f t="shared" si="857"/>
        <v>84.066000000000045</v>
      </c>
      <c r="AT80" s="902">
        <f t="shared" si="857"/>
        <v>93.089999999999918</v>
      </c>
      <c r="AU80" s="902">
        <f t="shared" si="857"/>
        <v>118.74899999999992</v>
      </c>
      <c r="AV80" s="902">
        <f t="shared" si="857"/>
        <v>136.19999999999987</v>
      </c>
      <c r="AW80" s="902">
        <f t="shared" si="850"/>
        <v>140.95200000000003</v>
      </c>
      <c r="AX80" s="906">
        <f t="shared" si="851"/>
        <v>159.399</v>
      </c>
      <c r="AY80" s="902">
        <f t="shared" si="852"/>
        <v>171.45954276930803</v>
      </c>
      <c r="BA80" s="903"/>
      <c r="BB80" s="910">
        <f>(AE80/Z80)^(1/5)-1</f>
        <v>0.22857812408820144</v>
      </c>
      <c r="BC80" s="911">
        <f>(AJ80/AE80)^(1/5)-1</f>
        <v>0.52574248298455584</v>
      </c>
      <c r="BD80" s="912">
        <f>(AO80/AJ80)^(1/5)-1</f>
        <v>0.32372229238654793</v>
      </c>
      <c r="BE80" s="913">
        <f>(AO80/AE80)^(1/10)-1</f>
        <v>0.42114719053582195</v>
      </c>
      <c r="BF80" s="912">
        <f>(AO80/Z80)^(1/15)-1</f>
        <v>0.35381804942234152</v>
      </c>
    </row>
    <row r="81" spans="1:58" ht="17" x14ac:dyDescent="0.6">
      <c r="A81" s="759" t="s">
        <v>160</v>
      </c>
      <c r="B81" s="975"/>
      <c r="C81" s="975">
        <f>MAX(+C80*0.25,0)</f>
        <v>4.3429999999999955</v>
      </c>
      <c r="D81" s="975">
        <f t="shared" ref="D81:S81" si="858">MAX(+D80*0.25,0)</f>
        <v>5.8510000000000062</v>
      </c>
      <c r="E81" s="975">
        <f t="shared" si="858"/>
        <v>4.7767500000000043</v>
      </c>
      <c r="F81" s="975">
        <f t="shared" si="858"/>
        <v>6.741999999999992</v>
      </c>
      <c r="G81" s="976">
        <f t="shared" si="858"/>
        <v>5.2469999999999999</v>
      </c>
      <c r="H81" s="977">
        <f t="shared" si="858"/>
        <v>7.3265000000000002</v>
      </c>
      <c r="I81" s="975">
        <f t="shared" si="858"/>
        <v>6.0284499999999994</v>
      </c>
      <c r="J81" s="977">
        <f t="shared" si="858"/>
        <v>11.006300000000003</v>
      </c>
      <c r="K81" s="975">
        <f t="shared" si="858"/>
        <v>8.4910000000000068</v>
      </c>
      <c r="L81" s="977">
        <f t="shared" si="858"/>
        <v>12.713750000000001</v>
      </c>
      <c r="M81" s="975">
        <f t="shared" si="858"/>
        <v>10.130750000000006</v>
      </c>
      <c r="N81" s="977">
        <f t="shared" si="858"/>
        <v>13.273499999999972</v>
      </c>
      <c r="O81" s="975">
        <f t="shared" si="858"/>
        <v>14.237500000000013</v>
      </c>
      <c r="P81" s="977">
        <f t="shared" si="858"/>
        <v>15.504249999999972</v>
      </c>
      <c r="Q81" s="975">
        <f t="shared" si="858"/>
        <v>16.051250000000017</v>
      </c>
      <c r="R81" s="977">
        <f t="shared" si="858"/>
        <v>17.984749999999966</v>
      </c>
      <c r="S81" s="975">
        <f t="shared" si="858"/>
        <v>15.780749999999994</v>
      </c>
      <c r="T81" s="975">
        <f t="shared" ref="T81:U81" si="859">MAX(+T80*0.25,0)</f>
        <v>19.457250000000013</v>
      </c>
      <c r="U81" s="976">
        <f t="shared" si="859"/>
        <v>17.054000000000006</v>
      </c>
      <c r="V81" s="978">
        <f t="shared" ref="V81" si="860">MAX(+V80*0.25,0)</f>
        <v>22.795749999999991</v>
      </c>
      <c r="W81" s="975">
        <f t="shared" ref="W81:X81" si="861">MAX(+W80*0.25,0)</f>
        <v>18.518770492327008</v>
      </c>
      <c r="X81" s="975">
        <f t="shared" si="861"/>
        <v>24.3461152</v>
      </c>
      <c r="Y81" s="759"/>
      <c r="Z81" s="977">
        <f>MAX(+Z80*0.21,0)</f>
        <v>9.1037310000000066E-2</v>
      </c>
      <c r="AA81" s="979">
        <f t="shared" ref="AA81:AE81" si="862">MAX(+AA80*0.21,0)</f>
        <v>0.14832930000000019</v>
      </c>
      <c r="AB81" s="979">
        <f t="shared" si="862"/>
        <v>0.24858119999999984</v>
      </c>
      <c r="AC81" s="979">
        <f t="shared" si="862"/>
        <v>0.35358099000000032</v>
      </c>
      <c r="AD81" s="979">
        <f t="shared" si="862"/>
        <v>0.75180294000000047</v>
      </c>
      <c r="AE81" s="976">
        <f t="shared" si="862"/>
        <v>0.254819880000001</v>
      </c>
      <c r="AF81" s="975">
        <f t="shared" ref="AF81:AV81" si="863">MAX(+AF80*0.25,0)</f>
        <v>0.33971024999999894</v>
      </c>
      <c r="AG81" s="975">
        <f t="shared" si="863"/>
        <v>0.86870675000000186</v>
      </c>
      <c r="AH81" s="975">
        <f t="shared" si="863"/>
        <v>1.5092507499999996</v>
      </c>
      <c r="AI81" s="975">
        <f t="shared" si="863"/>
        <v>1.9033445000000024</v>
      </c>
      <c r="AJ81" s="975">
        <f t="shared" si="863"/>
        <v>2.5081887499999977</v>
      </c>
      <c r="AK81" s="975">
        <f t="shared" si="863"/>
        <v>4.0869269999999966</v>
      </c>
      <c r="AL81" s="975">
        <f t="shared" si="863"/>
        <v>5.6063417499999995</v>
      </c>
      <c r="AM81" s="975">
        <f t="shared" si="863"/>
        <v>6.8622499999999915</v>
      </c>
      <c r="AN81" s="975">
        <f t="shared" si="863"/>
        <v>8.9075000000000024</v>
      </c>
      <c r="AO81" s="975">
        <f t="shared" si="863"/>
        <v>10.193999999999981</v>
      </c>
      <c r="AP81" s="975">
        <f t="shared" si="863"/>
        <v>11.518749999999997</v>
      </c>
      <c r="AQ81" s="975">
        <f t="shared" si="863"/>
        <v>12.573499999999999</v>
      </c>
      <c r="AR81" s="975">
        <f t="shared" si="863"/>
        <v>17.034750000000003</v>
      </c>
      <c r="AS81" s="975">
        <f t="shared" si="863"/>
        <v>21.016500000000011</v>
      </c>
      <c r="AT81" s="975">
        <f t="shared" si="863"/>
        <v>23.27249999999998</v>
      </c>
      <c r="AU81" s="975">
        <f t="shared" si="863"/>
        <v>29.687249999999981</v>
      </c>
      <c r="AV81" s="975">
        <f t="shared" si="863"/>
        <v>34.049999999999969</v>
      </c>
      <c r="AW81" s="975">
        <f t="shared" si="850"/>
        <v>35.238000000000007</v>
      </c>
      <c r="AX81" s="978">
        <f t="shared" si="851"/>
        <v>39.84975</v>
      </c>
      <c r="AY81" s="975">
        <f t="shared" si="852"/>
        <v>42.864885692327007</v>
      </c>
      <c r="BA81" s="759"/>
      <c r="BB81" s="895"/>
      <c r="BC81" s="896"/>
      <c r="BD81" s="897"/>
      <c r="BE81" s="898"/>
      <c r="BF81" s="897"/>
    </row>
    <row r="82" spans="1:58" collapsed="1" x14ac:dyDescent="0.3">
      <c r="A82" s="937" t="s">
        <v>161</v>
      </c>
      <c r="B82" s="901"/>
      <c r="C82" s="902">
        <f t="shared" ref="C82:E82" si="864">+C80-C81</f>
        <v>13.028999999999986</v>
      </c>
      <c r="D82" s="902">
        <f t="shared" si="864"/>
        <v>17.553000000000019</v>
      </c>
      <c r="E82" s="902">
        <f t="shared" si="864"/>
        <v>14.330250000000014</v>
      </c>
      <c r="F82" s="903">
        <f t="shared" ref="F82:H82" si="865">+F80-F81</f>
        <v>20.225999999999978</v>
      </c>
      <c r="G82" s="904">
        <f t="shared" si="865"/>
        <v>15.741</v>
      </c>
      <c r="H82" s="905">
        <f t="shared" si="865"/>
        <v>21.979500000000002</v>
      </c>
      <c r="I82" s="902">
        <f t="shared" ref="I82:S82" si="866">+I80-I81</f>
        <v>18.085349999999998</v>
      </c>
      <c r="J82" s="905">
        <f t="shared" si="866"/>
        <v>33.018900000000009</v>
      </c>
      <c r="K82" s="902">
        <f t="shared" si="866"/>
        <v>25.47300000000002</v>
      </c>
      <c r="L82" s="905">
        <f t="shared" si="866"/>
        <v>38.141249999999999</v>
      </c>
      <c r="M82" s="902">
        <f t="shared" si="866"/>
        <v>30.392250000000018</v>
      </c>
      <c r="N82" s="905">
        <f t="shared" si="866"/>
        <v>39.820499999999917</v>
      </c>
      <c r="O82" s="902">
        <f t="shared" si="866"/>
        <v>42.712500000000041</v>
      </c>
      <c r="P82" s="905">
        <f t="shared" si="866"/>
        <v>46.512749999999919</v>
      </c>
      <c r="Q82" s="902">
        <f t="shared" si="866"/>
        <v>48.153750000000052</v>
      </c>
      <c r="R82" s="905">
        <f t="shared" si="866"/>
        <v>53.954249999999902</v>
      </c>
      <c r="S82" s="902">
        <f t="shared" si="866"/>
        <v>47.342249999999979</v>
      </c>
      <c r="T82" s="902">
        <f t="shared" ref="T82:U82" si="867">+T80-T81</f>
        <v>58.371750000000034</v>
      </c>
      <c r="U82" s="904">
        <f t="shared" si="867"/>
        <v>51.16200000000002</v>
      </c>
      <c r="V82" s="906">
        <f t="shared" ref="V82" si="868">+V80-V81</f>
        <v>68.387249999999966</v>
      </c>
      <c r="W82" s="902">
        <f t="shared" ref="W82:X82" si="869">+W80-W81</f>
        <v>55.556311476981023</v>
      </c>
      <c r="X82" s="902">
        <f t="shared" si="869"/>
        <v>73.0383456</v>
      </c>
      <c r="Y82" s="902"/>
      <c r="Z82" s="902">
        <f t="shared" ref="Z82:AV82" si="870">+Z80-Z81</f>
        <v>0.34247369000000027</v>
      </c>
      <c r="AA82" s="902">
        <f t="shared" si="870"/>
        <v>0.55800070000000068</v>
      </c>
      <c r="AB82" s="902">
        <f t="shared" si="870"/>
        <v>0.93513879999999938</v>
      </c>
      <c r="AC82" s="902">
        <f t="shared" si="870"/>
        <v>1.3301380100000011</v>
      </c>
      <c r="AD82" s="902">
        <f t="shared" si="870"/>
        <v>2.8282110600000019</v>
      </c>
      <c r="AE82" s="902">
        <f t="shared" si="870"/>
        <v>0.95860812000000384</v>
      </c>
      <c r="AF82" s="902">
        <f t="shared" si="870"/>
        <v>1.0191307499999969</v>
      </c>
      <c r="AG82" s="902">
        <f t="shared" si="870"/>
        <v>2.6061202500000054</v>
      </c>
      <c r="AH82" s="902">
        <f t="shared" si="870"/>
        <v>4.5277522499999989</v>
      </c>
      <c r="AI82" s="902">
        <f t="shared" si="870"/>
        <v>5.7100335000000069</v>
      </c>
      <c r="AJ82" s="902">
        <f t="shared" si="870"/>
        <v>7.5245662499999932</v>
      </c>
      <c r="AK82" s="902">
        <f t="shared" si="870"/>
        <v>12.260780999999991</v>
      </c>
      <c r="AL82" s="902">
        <f t="shared" si="870"/>
        <v>16.819025249999999</v>
      </c>
      <c r="AM82" s="902">
        <f t="shared" si="870"/>
        <v>20.586749999999974</v>
      </c>
      <c r="AN82" s="902">
        <f t="shared" si="870"/>
        <v>26.722500000000007</v>
      </c>
      <c r="AO82" s="902">
        <f t="shared" si="870"/>
        <v>30.581999999999944</v>
      </c>
      <c r="AP82" s="902">
        <f t="shared" si="870"/>
        <v>34.556249999999991</v>
      </c>
      <c r="AQ82" s="902">
        <f t="shared" si="870"/>
        <v>37.720500000000001</v>
      </c>
      <c r="AR82" s="902">
        <f t="shared" si="870"/>
        <v>51.104250000000008</v>
      </c>
      <c r="AS82" s="902">
        <f t="shared" si="870"/>
        <v>63.049500000000037</v>
      </c>
      <c r="AT82" s="902">
        <f t="shared" si="870"/>
        <v>69.817499999999939</v>
      </c>
      <c r="AU82" s="902">
        <f t="shared" si="870"/>
        <v>89.061749999999947</v>
      </c>
      <c r="AV82" s="902">
        <f t="shared" si="870"/>
        <v>102.14999999999991</v>
      </c>
      <c r="AW82" s="902">
        <f t="shared" si="850"/>
        <v>105.71400000000001</v>
      </c>
      <c r="AX82" s="906">
        <f t="shared" si="851"/>
        <v>119.54924999999999</v>
      </c>
      <c r="AY82" s="902">
        <f t="shared" si="852"/>
        <v>128.59465707698104</v>
      </c>
      <c r="BA82" s="903"/>
      <c r="BB82" s="910">
        <f>(AE82/Z82)^(1/5)-1</f>
        <v>0.22857812408820144</v>
      </c>
      <c r="BC82" s="911">
        <f>(AJ82/AE82)^(1/5)-1</f>
        <v>0.50996914656056447</v>
      </c>
      <c r="BD82" s="912">
        <f>(AO82/AJ82)^(1/5)-1</f>
        <v>0.32372229238654793</v>
      </c>
      <c r="BE82" s="913">
        <f>(AO82/AE82)^(1/10)-1</f>
        <v>0.41378209782063302</v>
      </c>
      <c r="BF82" s="912">
        <f>(AO82/Z82)^(1/15)-1</f>
        <v>0.3491365602415184</v>
      </c>
    </row>
    <row r="83" spans="1:58" s="759" customFormat="1" ht="17" x14ac:dyDescent="0.6">
      <c r="A83" s="759" t="s">
        <v>162</v>
      </c>
      <c r="C83" s="975">
        <f>CapIQ!U69</f>
        <v>193.72</v>
      </c>
      <c r="D83" s="975">
        <f>CapIQ!V69</f>
        <v>195.1755</v>
      </c>
      <c r="E83" s="975">
        <v>198.2</v>
      </c>
      <c r="F83" s="975">
        <v>198.2</v>
      </c>
      <c r="G83" s="976">
        <f>+'Disclosed financials'!G285</f>
        <v>197.40199999999999</v>
      </c>
      <c r="H83" s="977">
        <f>+'Disclosed financials'!H285</f>
        <v>198.096</v>
      </c>
      <c r="I83" s="975">
        <f>+'Disclosed financials'!I285</f>
        <v>198.56700000000001</v>
      </c>
      <c r="J83" s="977">
        <f>+'Disclosed financials'!J285</f>
        <v>199.45227624309393</v>
      </c>
      <c r="K83" s="975">
        <f>+'Disclosed financials'!K285</f>
        <v>198.77799999999999</v>
      </c>
      <c r="L83" s="977">
        <f>+'Disclosed financials'!L285</f>
        <v>198.92722651933698</v>
      </c>
      <c r="M83" s="975">
        <f>+'Disclosed financials'!M285</f>
        <v>199.048</v>
      </c>
      <c r="N83" s="977">
        <f>+'Disclosed financials'!N285</f>
        <v>199.22094505494502</v>
      </c>
      <c r="O83" s="975">
        <f>+'Disclosed financials'!O285</f>
        <v>199.40100000000001</v>
      </c>
      <c r="P83" s="977">
        <f>+'Disclosed financials'!P285</f>
        <v>199.48569613259673</v>
      </c>
      <c r="Q83" s="975">
        <f>+'Disclosed financials'!Q285</f>
        <v>199.71700000000001</v>
      </c>
      <c r="R83" s="977">
        <f>+'Disclosed financials'!R285</f>
        <v>199.54559116022105</v>
      </c>
      <c r="S83" s="975">
        <f>+'Disclosed financials'!S285</f>
        <v>199.65600000000001</v>
      </c>
      <c r="T83" s="975">
        <f>+'Disclosed financials'!T285</f>
        <v>200.15899999999999</v>
      </c>
      <c r="U83" s="976">
        <f>+'Disclosed financials'!U285</f>
        <v>200.542</v>
      </c>
      <c r="V83" s="978">
        <f>+'Disclosed financials'!V285</f>
        <v>200.51599999999999</v>
      </c>
      <c r="W83" s="980">
        <f t="shared" ref="W83" si="871">+V83</f>
        <v>200.51599999999999</v>
      </c>
      <c r="X83" s="980">
        <f t="shared" ref="X83" si="872">+W83</f>
        <v>200.51599999999999</v>
      </c>
      <c r="Z83" s="977">
        <f t="shared" ref="Z83:AM83" si="873">AA83</f>
        <v>195.1755</v>
      </c>
      <c r="AA83" s="979">
        <f t="shared" si="873"/>
        <v>195.1755</v>
      </c>
      <c r="AB83" s="979">
        <f t="shared" si="873"/>
        <v>195.1755</v>
      </c>
      <c r="AC83" s="979">
        <f t="shared" si="873"/>
        <v>195.1755</v>
      </c>
      <c r="AD83" s="979">
        <f t="shared" si="873"/>
        <v>195.1755</v>
      </c>
      <c r="AE83" s="976">
        <f t="shared" si="873"/>
        <v>195.1755</v>
      </c>
      <c r="AF83" s="975">
        <f t="shared" si="873"/>
        <v>195.1755</v>
      </c>
      <c r="AG83" s="975">
        <f t="shared" si="873"/>
        <v>195.1755</v>
      </c>
      <c r="AH83" s="975">
        <f t="shared" si="873"/>
        <v>195.1755</v>
      </c>
      <c r="AI83" s="975">
        <f t="shared" si="873"/>
        <v>195.1755</v>
      </c>
      <c r="AJ83" s="975">
        <f t="shared" si="873"/>
        <v>195.1755</v>
      </c>
      <c r="AK83" s="975">
        <f t="shared" si="873"/>
        <v>195.1755</v>
      </c>
      <c r="AL83" s="975">
        <f t="shared" si="873"/>
        <v>195.1755</v>
      </c>
      <c r="AM83" s="975">
        <f t="shared" si="873"/>
        <v>195.1755</v>
      </c>
      <c r="AN83" s="975">
        <f>AO83</f>
        <v>195.1755</v>
      </c>
      <c r="AO83" s="975">
        <f>CapIQ!V69</f>
        <v>195.1755</v>
      </c>
      <c r="AP83" s="975">
        <f>E83</f>
        <v>198.2</v>
      </c>
      <c r="AQ83" s="975">
        <f>AVERAGE(G83:H83)</f>
        <v>197.749</v>
      </c>
      <c r="AR83" s="975">
        <f>AVERAGE(I83:J83)</f>
        <v>199.00963812154697</v>
      </c>
      <c r="AS83" s="975">
        <f>+'Disclosed financials'!AX285</f>
        <v>198.852</v>
      </c>
      <c r="AT83" s="975">
        <f>+'Disclosed financials'!AY285</f>
        <v>199.13399999999999</v>
      </c>
      <c r="AU83" s="975">
        <f>+'Disclosed financials'!AZ285</f>
        <v>199.44300000000001</v>
      </c>
      <c r="AV83" s="975">
        <f>+'Disclosed financials'!BA285</f>
        <v>199.63200000000001</v>
      </c>
      <c r="AW83" s="975">
        <f>+AW82/AW84</f>
        <v>199.9334268431752</v>
      </c>
      <c r="AX83" s="978">
        <f>+AX82/AX84</f>
        <v>200.52712607013402</v>
      </c>
      <c r="AY83" s="975">
        <f>+AY82/AY84</f>
        <v>200.51600000000002</v>
      </c>
      <c r="BB83" s="895"/>
      <c r="BC83" s="896"/>
      <c r="BD83" s="897"/>
      <c r="BE83" s="898"/>
      <c r="BF83" s="897"/>
    </row>
    <row r="84" spans="1:58" collapsed="1" x14ac:dyDescent="0.3">
      <c r="A84" s="937" t="s">
        <v>163</v>
      </c>
      <c r="B84" s="901"/>
      <c r="C84" s="981">
        <f t="shared" ref="C84:E84" si="874">+C82/C83</f>
        <v>6.7256865579186378E-2</v>
      </c>
      <c r="D84" s="981">
        <f t="shared" si="874"/>
        <v>8.9934443616130191E-2</v>
      </c>
      <c r="E84" s="981">
        <f t="shared" si="874"/>
        <v>7.2301967709384532E-2</v>
      </c>
      <c r="F84" s="982">
        <f t="shared" ref="F84:H84" si="875">+F82/F83</f>
        <v>0.10204843592330969</v>
      </c>
      <c r="G84" s="983">
        <f t="shared" si="875"/>
        <v>7.9740833426206428E-2</v>
      </c>
      <c r="H84" s="984">
        <f t="shared" si="875"/>
        <v>0.1109537799854616</v>
      </c>
      <c r="I84" s="981">
        <f t="shared" ref="I84:J84" si="876">+I82/I83</f>
        <v>9.107933342398282E-2</v>
      </c>
      <c r="J84" s="984">
        <f t="shared" si="876"/>
        <v>0.16554787251340428</v>
      </c>
      <c r="K84" s="981">
        <f t="shared" ref="K84:S84" si="877">+K82/K83</f>
        <v>0.12814798418336043</v>
      </c>
      <c r="L84" s="984">
        <f t="shared" si="877"/>
        <v>0.19173468945083005</v>
      </c>
      <c r="M84" s="981">
        <f t="shared" si="877"/>
        <v>0.15268804509465062</v>
      </c>
      <c r="N84" s="984">
        <f t="shared" si="877"/>
        <v>0.19988109176481142</v>
      </c>
      <c r="O84" s="981">
        <f t="shared" si="877"/>
        <v>0.21420404110310398</v>
      </c>
      <c r="P84" s="984">
        <f t="shared" si="877"/>
        <v>0.23316333402212069</v>
      </c>
      <c r="Q84" s="981">
        <f t="shared" si="877"/>
        <v>0.24110992053756089</v>
      </c>
      <c r="R84" s="984">
        <f t="shared" si="877"/>
        <v>0.27038557798392271</v>
      </c>
      <c r="S84" s="981">
        <f t="shared" si="877"/>
        <v>0.23711909484313007</v>
      </c>
      <c r="T84" s="981">
        <f t="shared" ref="T84:U84" si="878">+T82/T83</f>
        <v>0.29162690660924584</v>
      </c>
      <c r="U84" s="983">
        <f t="shared" si="878"/>
        <v>0.25511862851671979</v>
      </c>
      <c r="V84" s="985">
        <f t="shared" ref="V84" si="879">+V82/V83</f>
        <v>0.34105632468231944</v>
      </c>
      <c r="W84" s="981">
        <f t="shared" ref="W84:X84" si="880">+W82/W83</f>
        <v>0.27706672523380194</v>
      </c>
      <c r="X84" s="981">
        <f t="shared" si="880"/>
        <v>0.36425195794849291</v>
      </c>
      <c r="Y84" s="981"/>
      <c r="Z84" s="981">
        <f t="shared" ref="Z84:AO84" si="881">+Z82/Z83</f>
        <v>1.7546961068371813E-3</v>
      </c>
      <c r="AA84" s="981">
        <f t="shared" si="881"/>
        <v>2.8589689792007742E-3</v>
      </c>
      <c r="AB84" s="981">
        <f t="shared" si="881"/>
        <v>4.7912714454426885E-3</v>
      </c>
      <c r="AC84" s="981">
        <f t="shared" si="881"/>
        <v>6.8150869858153362E-3</v>
      </c>
      <c r="AD84" s="981">
        <f t="shared" si="881"/>
        <v>1.449060491711307E-2</v>
      </c>
      <c r="AE84" s="981">
        <f t="shared" si="881"/>
        <v>4.9115187100840212E-3</v>
      </c>
      <c r="AF84" s="981">
        <f t="shared" si="881"/>
        <v>5.2216120875826976E-3</v>
      </c>
      <c r="AG84" s="981">
        <f t="shared" si="881"/>
        <v>1.3352701799150024E-2</v>
      </c>
      <c r="AH84" s="981">
        <f t="shared" si="881"/>
        <v>2.3198363780290041E-2</v>
      </c>
      <c r="AI84" s="981">
        <f t="shared" si="881"/>
        <v>2.9255892773427029E-2</v>
      </c>
      <c r="AJ84" s="981">
        <f t="shared" si="881"/>
        <v>3.8552821691247074E-2</v>
      </c>
      <c r="AK84" s="981">
        <f t="shared" si="881"/>
        <v>6.2819262663602715E-2</v>
      </c>
      <c r="AL84" s="981">
        <f t="shared" si="881"/>
        <v>8.6173855068899519E-2</v>
      </c>
      <c r="AM84" s="981">
        <f t="shared" si="881"/>
        <v>0.10547814659114475</v>
      </c>
      <c r="AN84" s="981">
        <f t="shared" si="881"/>
        <v>0.13691523782441961</v>
      </c>
      <c r="AO84" s="981">
        <f t="shared" si="881"/>
        <v>0.1566897484571575</v>
      </c>
      <c r="AP84" s="981">
        <f t="shared" ref="AP84:AQ84" si="882">+AP82/AP83</f>
        <v>0.17435040363269422</v>
      </c>
      <c r="AQ84" s="981">
        <f t="shared" si="882"/>
        <v>0.19074938432052754</v>
      </c>
      <c r="AR84" s="981">
        <f t="shared" ref="AR84:AS84" si="883">+AR82/AR83</f>
        <v>0.25679283919298229</v>
      </c>
      <c r="AS84" s="981">
        <f t="shared" si="883"/>
        <v>0.31706746726208457</v>
      </c>
      <c r="AT84" s="981">
        <f t="shared" ref="AT84:AV84" si="884">+AT82/AT83</f>
        <v>0.35060562234475251</v>
      </c>
      <c r="AU84" s="981">
        <f t="shared" si="884"/>
        <v>0.44655239842962624</v>
      </c>
      <c r="AV84" s="981">
        <f t="shared" si="884"/>
        <v>0.51169151238278388</v>
      </c>
      <c r="AW84" s="981">
        <f>SUM(S84:T84)</f>
        <v>0.52874600145237594</v>
      </c>
      <c r="AX84" s="985">
        <f>SUM(U84:V84)</f>
        <v>0.59617495319903924</v>
      </c>
      <c r="AY84" s="981">
        <f>+SUM(W84:X84)</f>
        <v>0.64131868318229479</v>
      </c>
      <c r="BA84" s="903"/>
      <c r="BB84" s="910">
        <f>(AE84/Z84)^(1/5)-1</f>
        <v>0.22857812408820144</v>
      </c>
      <c r="BC84" s="911">
        <f>(AJ84/AE84)^(1/5)-1</f>
        <v>0.50996914656056447</v>
      </c>
      <c r="BD84" s="912">
        <f>(AO84/AJ84)^(1/5)-1</f>
        <v>0.32372229238654793</v>
      </c>
      <c r="BE84" s="913">
        <f>(AO84/AE84)^(1/10)-1</f>
        <v>0.41378209782063302</v>
      </c>
      <c r="BF84" s="912">
        <f>(AO84/Z84)^(1/15)-1</f>
        <v>0.3491365602415184</v>
      </c>
    </row>
    <row r="85" spans="1:58" ht="14.5" x14ac:dyDescent="0.35">
      <c r="A85" s="956" t="s">
        <v>37</v>
      </c>
      <c r="B85" s="759"/>
      <c r="C85" s="916"/>
      <c r="D85" s="916"/>
      <c r="E85" s="916">
        <f>E84/C84-1</f>
        <v>7.5012447974670993E-2</v>
      </c>
      <c r="F85" s="916">
        <f t="shared" ref="F85" si="885">F84/D84-1</f>
        <v>0.1346980291431612</v>
      </c>
      <c r="G85" s="917">
        <f t="shared" ref="G85" si="886">G84/E84-1</f>
        <v>0.10288607561445873</v>
      </c>
      <c r="H85" s="918">
        <f t="shared" ref="H85" si="887">H84/F84-1</f>
        <v>8.7265855488900979E-2</v>
      </c>
      <c r="I85" s="916">
        <f t="shared" ref="I85" si="888">I84/G84-1</f>
        <v>0.14219189229153506</v>
      </c>
      <c r="J85" s="918">
        <f t="shared" ref="J85" si="889">J84/H84-1</f>
        <v>0.49204355665121269</v>
      </c>
      <c r="K85" s="916">
        <f t="shared" ref="K85" si="890">K84/I84-1</f>
        <v>0.40699299573065129</v>
      </c>
      <c r="L85" s="918">
        <f t="shared" ref="L85" si="891">L84/J84-1</f>
        <v>0.15818274520746534</v>
      </c>
      <c r="M85" s="916">
        <f t="shared" ref="M85" si="892">M84/K84-1</f>
        <v>0.19149783016623245</v>
      </c>
      <c r="N85" s="918">
        <f t="shared" ref="N85" si="893">N84/L84-1</f>
        <v>4.2487889579681415E-2</v>
      </c>
      <c r="O85" s="916">
        <f t="shared" ref="O85" si="894">O84/M84-1</f>
        <v>0.40288678770050312</v>
      </c>
      <c r="P85" s="918">
        <f t="shared" ref="P85" si="895">P84/N84-1</f>
        <v>0.16651020846169162</v>
      </c>
      <c r="Q85" s="916">
        <f t="shared" ref="Q85" si="896">Q84/O84-1</f>
        <v>0.12560864536400662</v>
      </c>
      <c r="R85" s="918">
        <f t="shared" ref="R85" si="897">R84/P84-1</f>
        <v>0.15964021151915198</v>
      </c>
      <c r="S85" s="916">
        <f t="shared" ref="S85" si="898">S84/Q84-1</f>
        <v>-1.6551893366864245E-2</v>
      </c>
      <c r="T85" s="916">
        <f t="shared" ref="T85" si="899">T84/R84-1</f>
        <v>7.8559399446172185E-2</v>
      </c>
      <c r="U85" s="917">
        <f t="shared" ref="U85" si="900">U84/S84-1</f>
        <v>7.5909254315843278E-2</v>
      </c>
      <c r="V85" s="919">
        <f t="shared" ref="V85" si="901">V84/T84-1</f>
        <v>0.16949539618202869</v>
      </c>
      <c r="W85" s="916">
        <f t="shared" ref="W85" si="902">W84/U84-1</f>
        <v>8.6030945073239717E-2</v>
      </c>
      <c r="X85" s="916">
        <f t="shared" ref="X85" si="903">X84/V84-1</f>
        <v>6.8011151201430753E-2</v>
      </c>
      <c r="Y85" s="759"/>
      <c r="Z85" s="918"/>
      <c r="AA85" s="920">
        <f t="shared" ref="AA85:AH85" si="904">+AA84/Z84-1</f>
        <v>0.6293242847355669</v>
      </c>
      <c r="AB85" s="920">
        <f t="shared" si="904"/>
        <v>0.67587388331232967</v>
      </c>
      <c r="AC85" s="920">
        <f t="shared" si="904"/>
        <v>0.42239634372993828</v>
      </c>
      <c r="AD85" s="920">
        <f t="shared" si="904"/>
        <v>1.1262538463959837</v>
      </c>
      <c r="AE85" s="917">
        <f t="shared" si="904"/>
        <v>-0.66105495676832438</v>
      </c>
      <c r="AF85" s="916">
        <f t="shared" si="904"/>
        <v>6.3135945478943745E-2</v>
      </c>
      <c r="AG85" s="916">
        <f t="shared" si="904"/>
        <v>1.5571991130676937</v>
      </c>
      <c r="AH85" s="916">
        <f t="shared" si="904"/>
        <v>0.73735354306847101</v>
      </c>
      <c r="AI85" s="916">
        <f t="shared" ref="AI85" si="905">+AI84/AH84-1</f>
        <v>0.26111880348577121</v>
      </c>
      <c r="AJ85" s="916">
        <f t="shared" ref="AJ85" si="906">+AJ84/AI84-1</f>
        <v>0.31777970304377101</v>
      </c>
      <c r="AK85" s="916">
        <f t="shared" ref="AK85" si="907">+AK84/AJ84-1</f>
        <v>0.6294335902750543</v>
      </c>
      <c r="AL85" s="916">
        <f t="shared" ref="AL85" si="908">+AL84/AK84-1</f>
        <v>0.3717743796255728</v>
      </c>
      <c r="AM85" s="916">
        <f t="shared" ref="AM85" si="909">+AM84/AL84-1</f>
        <v>0.22401564264254703</v>
      </c>
      <c r="AN85" s="916">
        <f t="shared" ref="AN85" si="910">+AN84/AM84-1</f>
        <v>0.2980436445772181</v>
      </c>
      <c r="AO85" s="916">
        <f t="shared" ref="AO85" si="911">+AO84/AN84-1</f>
        <v>0.14442885209093204</v>
      </c>
      <c r="AP85" s="916">
        <f t="shared" ref="AP85" si="912">+AP84/AO84-1</f>
        <v>0.112710980452978</v>
      </c>
      <c r="AQ85" s="916">
        <f t="shared" ref="AQ85" si="913">+AQ84/AP84-1</f>
        <v>9.4057600935534502E-2</v>
      </c>
      <c r="AR85" s="916">
        <f t="shared" ref="AR85" si="914">+AR84/AQ84-1</f>
        <v>0.3462315493583874</v>
      </c>
      <c r="AS85" s="916">
        <f t="shared" ref="AS85" si="915">+AS84/AR84-1</f>
        <v>0.23472082889276091</v>
      </c>
      <c r="AT85" s="916">
        <f t="shared" ref="AT85" si="916">+AT84/AS84-1</f>
        <v>0.10577608410056683</v>
      </c>
      <c r="AU85" s="916">
        <f t="shared" ref="AU85" si="917">+AU84/AT84-1</f>
        <v>0.27366011829248049</v>
      </c>
      <c r="AV85" s="916">
        <f t="shared" ref="AV85" si="918">+AV84/AU84-1</f>
        <v>0.14587115461081357</v>
      </c>
      <c r="AW85" s="916">
        <f t="shared" ref="AW85" si="919">+AW84/AV84-1</f>
        <v>3.3329630562318302E-2</v>
      </c>
      <c r="AX85" s="919">
        <f t="shared" ref="AX85:AY85" si="920">+AX84/AW84-1</f>
        <v>0.12752616863569144</v>
      </c>
      <c r="AY85" s="916">
        <f t="shared" si="920"/>
        <v>7.5722285448284854E-2</v>
      </c>
      <c r="BA85" s="759"/>
      <c r="BB85" s="895"/>
      <c r="BC85" s="896"/>
      <c r="BD85" s="897"/>
      <c r="BE85" s="898"/>
      <c r="BF85" s="897"/>
    </row>
    <row r="86" spans="1:58" x14ac:dyDescent="0.3">
      <c r="A86" s="759"/>
      <c r="B86" s="759"/>
      <c r="C86" s="943"/>
      <c r="D86" s="943"/>
      <c r="E86" s="943"/>
      <c r="F86" s="943"/>
      <c r="G86" s="949"/>
      <c r="H86" s="946"/>
      <c r="I86" s="943"/>
      <c r="J86" s="946"/>
      <c r="K86" s="943"/>
      <c r="L86" s="946"/>
      <c r="M86" s="943"/>
      <c r="N86" s="946"/>
      <c r="O86" s="943"/>
      <c r="P86" s="946"/>
      <c r="Q86" s="943"/>
      <c r="R86" s="946"/>
      <c r="S86" s="943"/>
      <c r="T86" s="943"/>
      <c r="U86" s="949"/>
      <c r="V86" s="1440"/>
      <c r="W86" s="1141"/>
      <c r="X86" s="1141"/>
      <c r="Y86" s="759"/>
      <c r="Z86" s="946"/>
      <c r="AA86" s="948"/>
      <c r="AB86" s="948"/>
      <c r="AC86" s="948"/>
      <c r="AD86" s="948"/>
      <c r="AE86" s="949"/>
      <c r="AF86" s="943"/>
      <c r="AG86" s="943"/>
      <c r="AH86" s="943"/>
      <c r="AI86" s="943"/>
      <c r="AJ86" s="943"/>
      <c r="AK86" s="943"/>
      <c r="AL86" s="943"/>
      <c r="AM86" s="943"/>
      <c r="AN86" s="943"/>
      <c r="AO86" s="943"/>
      <c r="AP86" s="943"/>
      <c r="AQ86" s="943"/>
      <c r="AR86" s="943"/>
      <c r="AS86" s="943"/>
      <c r="AT86" s="943"/>
      <c r="AU86" s="943"/>
      <c r="AV86" s="943"/>
      <c r="AW86" s="943"/>
      <c r="AX86" s="947"/>
      <c r="AY86" s="943"/>
      <c r="BA86" s="759"/>
      <c r="BB86" s="895"/>
      <c r="BC86" s="896"/>
      <c r="BD86" s="897"/>
      <c r="BE86" s="898"/>
      <c r="BF86" s="897"/>
    </row>
    <row r="87" spans="1:58" x14ac:dyDescent="0.3">
      <c r="A87" s="890" t="s">
        <v>60</v>
      </c>
      <c r="B87" s="759"/>
      <c r="C87" s="943"/>
      <c r="D87" s="943"/>
      <c r="E87" s="943"/>
      <c r="F87" s="943"/>
      <c r="G87" s="949"/>
      <c r="H87" s="946"/>
      <c r="I87" s="943"/>
      <c r="J87" s="946"/>
      <c r="K87" s="943"/>
      <c r="L87" s="946"/>
      <c r="M87" s="943"/>
      <c r="N87" s="946"/>
      <c r="O87" s="943"/>
      <c r="P87" s="946"/>
      <c r="Q87" s="943"/>
      <c r="R87" s="946"/>
      <c r="S87" s="943"/>
      <c r="T87" s="943"/>
      <c r="U87" s="949"/>
      <c r="V87" s="947"/>
      <c r="W87" s="943"/>
      <c r="X87" s="943"/>
      <c r="Y87" s="759"/>
      <c r="Z87" s="946"/>
      <c r="AA87" s="948"/>
      <c r="AB87" s="948"/>
      <c r="AC87" s="948"/>
      <c r="AD87" s="948"/>
      <c r="AE87" s="949"/>
      <c r="AF87" s="943"/>
      <c r="AG87" s="943"/>
      <c r="AH87" s="943"/>
      <c r="AI87" s="943"/>
      <c r="AJ87" s="943"/>
      <c r="AK87" s="943"/>
      <c r="AL87" s="943"/>
      <c r="AM87" s="943"/>
      <c r="AN87" s="943"/>
      <c r="AO87" s="943"/>
      <c r="AP87" s="943"/>
      <c r="AQ87" s="943"/>
      <c r="AR87" s="943"/>
      <c r="AS87" s="943"/>
      <c r="AT87" s="943"/>
      <c r="AU87" s="943"/>
      <c r="AV87" s="943"/>
      <c r="AW87" s="943"/>
      <c r="AX87" s="947"/>
      <c r="AY87" s="943"/>
      <c r="BA87" s="759"/>
      <c r="BB87" s="895"/>
      <c r="BC87" s="896"/>
      <c r="BD87" s="897"/>
      <c r="BE87" s="898"/>
      <c r="BF87" s="897"/>
    </row>
    <row r="88" spans="1:58" x14ac:dyDescent="0.3">
      <c r="A88" s="759" t="s">
        <v>49</v>
      </c>
      <c r="B88" s="943"/>
      <c r="C88" s="943">
        <f t="shared" ref="C88:S88" si="921">+C54</f>
        <v>18.343999999999983</v>
      </c>
      <c r="D88" s="943">
        <f t="shared" si="921"/>
        <v>24.384000000000025</v>
      </c>
      <c r="E88" s="943">
        <f t="shared" si="921"/>
        <v>20.082000000000015</v>
      </c>
      <c r="F88" s="943">
        <f t="shared" si="921"/>
        <v>27.903999999999968</v>
      </c>
      <c r="G88" s="949">
        <f t="shared" si="921"/>
        <v>21.888999999999999</v>
      </c>
      <c r="H88" s="946">
        <f t="shared" si="921"/>
        <v>30.271000000000004</v>
      </c>
      <c r="I88" s="943">
        <f t="shared" si="921"/>
        <v>25.009</v>
      </c>
      <c r="J88" s="946">
        <f t="shared" si="921"/>
        <v>44.772000000000013</v>
      </c>
      <c r="K88" s="943">
        <f t="shared" si="921"/>
        <v>34.621000000000031</v>
      </c>
      <c r="L88" s="946">
        <f t="shared" si="921"/>
        <v>51.385000000000005</v>
      </c>
      <c r="M88" s="943">
        <f t="shared" si="921"/>
        <v>41.129000000000026</v>
      </c>
      <c r="N88" s="946">
        <f t="shared" si="921"/>
        <v>54.21799999999989</v>
      </c>
      <c r="O88" s="943">
        <f t="shared" si="921"/>
        <v>58.413000000000046</v>
      </c>
      <c r="P88" s="946">
        <f t="shared" si="921"/>
        <v>63.631999999999891</v>
      </c>
      <c r="Q88" s="943">
        <f t="shared" si="921"/>
        <v>65.393000000000072</v>
      </c>
      <c r="R88" s="946">
        <f t="shared" si="921"/>
        <v>73.682999999999865</v>
      </c>
      <c r="S88" s="943">
        <f t="shared" si="921"/>
        <v>64.988999999999976</v>
      </c>
      <c r="T88" s="943">
        <f t="shared" ref="T88:U88" si="922">+T54</f>
        <v>79.902000000000044</v>
      </c>
      <c r="U88" s="949">
        <f t="shared" si="922"/>
        <v>68.728000000000023</v>
      </c>
      <c r="V88" s="947">
        <f t="shared" ref="V88" si="923">+V54</f>
        <v>89.530999999999963</v>
      </c>
      <c r="W88" s="943">
        <f t="shared" ref="W88:X88" si="924">+W54</f>
        <v>76.411721969308033</v>
      </c>
      <c r="X88" s="943">
        <f t="shared" si="924"/>
        <v>99.946220800000006</v>
      </c>
      <c r="Y88" s="759"/>
      <c r="Z88" s="946">
        <f t="shared" ref="Z88:AX88" si="925">+Z54</f>
        <v>0.61737200000000025</v>
      </c>
      <c r="AA88" s="948">
        <f t="shared" si="925"/>
        <v>0.95842800000000095</v>
      </c>
      <c r="AB88" s="948">
        <f t="shared" si="925"/>
        <v>1.4531979999999993</v>
      </c>
      <c r="AC88" s="948">
        <f t="shared" si="925"/>
        <v>1.8009720000000016</v>
      </c>
      <c r="AD88" s="948">
        <f t="shared" si="925"/>
        <v>2.1799620000000024</v>
      </c>
      <c r="AE88" s="949">
        <f t="shared" si="925"/>
        <v>1.3630510000000049</v>
      </c>
      <c r="AF88" s="943">
        <f t="shared" si="925"/>
        <v>1.4858449999999956</v>
      </c>
      <c r="AG88" s="943">
        <f t="shared" si="925"/>
        <v>3.4250610000000075</v>
      </c>
      <c r="AH88" s="943">
        <f t="shared" si="925"/>
        <v>5.8375779999999988</v>
      </c>
      <c r="AI88" s="943">
        <f t="shared" si="925"/>
        <v>7.6738030000000093</v>
      </c>
      <c r="AJ88" s="943">
        <f t="shared" si="925"/>
        <v>10.305215999999991</v>
      </c>
      <c r="AK88" s="943">
        <f t="shared" si="925"/>
        <v>16.527078999999986</v>
      </c>
      <c r="AL88" s="943">
        <f t="shared" si="925"/>
        <v>22.764682000000001</v>
      </c>
      <c r="AM88" s="943">
        <f t="shared" si="925"/>
        <v>28.533999999999967</v>
      </c>
      <c r="AN88" s="943">
        <f t="shared" si="925"/>
        <v>37.306000000000012</v>
      </c>
      <c r="AO88" s="943">
        <f t="shared" si="925"/>
        <v>42.727999999999923</v>
      </c>
      <c r="AP88" s="943">
        <f t="shared" si="925"/>
        <v>47.985999999999983</v>
      </c>
      <c r="AQ88" s="943">
        <f t="shared" si="925"/>
        <v>52.16</v>
      </c>
      <c r="AR88" s="943">
        <f t="shared" si="925"/>
        <v>69.781000000000006</v>
      </c>
      <c r="AS88" s="943">
        <f t="shared" si="925"/>
        <v>85.253000000000043</v>
      </c>
      <c r="AT88" s="943">
        <f t="shared" si="925"/>
        <v>94.819999999999922</v>
      </c>
      <c r="AU88" s="943">
        <f t="shared" si="925"/>
        <v>121.82699999999993</v>
      </c>
      <c r="AV88" s="943">
        <f t="shared" si="925"/>
        <v>139.13199999999989</v>
      </c>
      <c r="AW88" s="943">
        <f t="shared" si="925"/>
        <v>144.89100000000002</v>
      </c>
      <c r="AX88" s="947">
        <f t="shared" si="925"/>
        <v>158.25899999999999</v>
      </c>
      <c r="AY88" s="943">
        <f t="shared" ref="AY88" si="926">+AY54</f>
        <v>176.35794276930804</v>
      </c>
      <c r="BA88" s="759"/>
      <c r="BB88" s="895"/>
      <c r="BC88" s="896"/>
      <c r="BD88" s="897"/>
      <c r="BE88" s="898"/>
      <c r="BF88" s="897"/>
    </row>
    <row r="89" spans="1:58" x14ac:dyDescent="0.3">
      <c r="A89" s="759" t="s">
        <v>51</v>
      </c>
      <c r="B89" s="759"/>
      <c r="C89" s="943">
        <f t="shared" ref="C89:S89" si="927">-C66</f>
        <v>-1.359</v>
      </c>
      <c r="D89" s="943">
        <f t="shared" si="927"/>
        <v>-1.1459999999999999</v>
      </c>
      <c r="E89" s="943">
        <f t="shared" si="927"/>
        <v>-1.0210000000000001</v>
      </c>
      <c r="F89" s="943">
        <f t="shared" si="927"/>
        <v>-0.70499999999999985</v>
      </c>
      <c r="G89" s="949">
        <f t="shared" si="927"/>
        <v>-1.1000000000000001</v>
      </c>
      <c r="H89" s="946">
        <f t="shared" si="927"/>
        <v>-0.36099999999999993</v>
      </c>
      <c r="I89" s="943">
        <f t="shared" si="927"/>
        <v>-0.59000000000000008</v>
      </c>
      <c r="J89" s="946">
        <f t="shared" si="927"/>
        <v>-0.49399999999999988</v>
      </c>
      <c r="K89" s="943">
        <f t="shared" si="927"/>
        <v>-1.32</v>
      </c>
      <c r="L89" s="946">
        <f t="shared" si="927"/>
        <v>-1.0090000000000001</v>
      </c>
      <c r="M89" s="943">
        <f t="shared" si="927"/>
        <v>-2.6080000000000001</v>
      </c>
      <c r="N89" s="946">
        <f t="shared" si="927"/>
        <v>-8.5470000000000006</v>
      </c>
      <c r="O89" s="943">
        <f t="shared" si="927"/>
        <v>-4.9130000000000003</v>
      </c>
      <c r="P89" s="946">
        <f t="shared" si="927"/>
        <v>-3.9670000000000001</v>
      </c>
      <c r="Q89" s="943">
        <f t="shared" si="927"/>
        <v>-4.1459999999999999</v>
      </c>
      <c r="R89" s="946">
        <f t="shared" si="927"/>
        <v>-3.7</v>
      </c>
      <c r="S89" s="943">
        <f t="shared" si="927"/>
        <v>-2.4950000000000001</v>
      </c>
      <c r="T89" s="943">
        <f t="shared" ref="T89:U89" si="928">-T66</f>
        <v>-3.7939999999999996</v>
      </c>
      <c r="U89" s="949">
        <f t="shared" si="928"/>
        <v>-3.9470000000000001</v>
      </c>
      <c r="V89" s="947">
        <f t="shared" ref="V89" si="929">-V66</f>
        <v>-5.5570000000000004</v>
      </c>
      <c r="W89" s="943">
        <f t="shared" ref="W89:X89" si="930">-W66</f>
        <v>-4.4206400000000006</v>
      </c>
      <c r="X89" s="943">
        <f t="shared" si="930"/>
        <v>-6.2238400000000009</v>
      </c>
      <c r="Y89" s="759"/>
      <c r="Z89" s="946">
        <f t="shared" ref="Z89:AX89" si="931">-Z66</f>
        <v>-2.1787999999999998E-2</v>
      </c>
      <c r="AA89" s="948">
        <f t="shared" si="931"/>
        <v>-2.1878000000000002E-2</v>
      </c>
      <c r="AB89" s="948">
        <f t="shared" si="931"/>
        <v>-1.8106000000000001E-2</v>
      </c>
      <c r="AC89" s="948">
        <f t="shared" si="931"/>
        <v>-0.15890199999999999</v>
      </c>
      <c r="AD89" s="948">
        <f t="shared" si="931"/>
        <v>-0.50926799999999994</v>
      </c>
      <c r="AE89" s="949">
        <f t="shared" si="931"/>
        <v>-0.25996999999999998</v>
      </c>
      <c r="AF89" s="943">
        <f t="shared" si="931"/>
        <v>-0.104352</v>
      </c>
      <c r="AG89" s="943">
        <f t="shared" si="931"/>
        <v>-0.14676900000000001</v>
      </c>
      <c r="AH89" s="943">
        <f t="shared" si="931"/>
        <v>-0.229742</v>
      </c>
      <c r="AI89" s="943">
        <f t="shared" si="931"/>
        <v>-0.16253699999999999</v>
      </c>
      <c r="AJ89" s="943">
        <f t="shared" si="931"/>
        <v>-0.23166900000000001</v>
      </c>
      <c r="AK89" s="943">
        <f t="shared" si="931"/>
        <v>-0.57602100000000001</v>
      </c>
      <c r="AL89" s="943">
        <f t="shared" si="931"/>
        <v>-4.500019</v>
      </c>
      <c r="AM89" s="943">
        <f t="shared" si="931"/>
        <v>-3.097</v>
      </c>
      <c r="AN89" s="943">
        <f t="shared" si="931"/>
        <v>-2.1520000000000001</v>
      </c>
      <c r="AO89" s="943">
        <f t="shared" si="931"/>
        <v>-2.5049999999999999</v>
      </c>
      <c r="AP89" s="943">
        <f t="shared" si="931"/>
        <v>-1.726</v>
      </c>
      <c r="AQ89" s="943">
        <f t="shared" si="931"/>
        <v>-1.4609999999999999</v>
      </c>
      <c r="AR89" s="943">
        <f t="shared" si="931"/>
        <v>-1.0840000000000001</v>
      </c>
      <c r="AS89" s="943">
        <f t="shared" si="931"/>
        <v>-2.3290000000000002</v>
      </c>
      <c r="AT89" s="943">
        <f t="shared" si="931"/>
        <v>-11.154999999999999</v>
      </c>
      <c r="AU89" s="943">
        <f t="shared" si="931"/>
        <v>-8.8800000000000008</v>
      </c>
      <c r="AV89" s="943">
        <f t="shared" si="931"/>
        <v>-7.8460000000000001</v>
      </c>
      <c r="AW89" s="943">
        <f t="shared" si="931"/>
        <v>-6.2889999999999997</v>
      </c>
      <c r="AX89" s="947">
        <f t="shared" si="931"/>
        <v>-9.5040000000000013</v>
      </c>
      <c r="AY89" s="943">
        <f t="shared" ref="AY89" si="932">-AY66</f>
        <v>-10.644480000000001</v>
      </c>
      <c r="BA89" s="759"/>
      <c r="BB89" s="895"/>
      <c r="BC89" s="896"/>
      <c r="BD89" s="897"/>
      <c r="BE89" s="898"/>
      <c r="BF89" s="897"/>
    </row>
    <row r="90" spans="1:58" x14ac:dyDescent="0.3">
      <c r="A90" s="759" t="s">
        <v>164</v>
      </c>
      <c r="B90" s="759"/>
      <c r="C90" s="943">
        <f t="shared" ref="C90:D90" si="933">-C79</f>
        <v>8.1000000000000003E-2</v>
      </c>
      <c r="D90" s="943">
        <f t="shared" si="933"/>
        <v>0.114</v>
      </c>
      <c r="E90" s="943">
        <f t="shared" ref="E90:F90" si="934">-E79</f>
        <v>0.106</v>
      </c>
      <c r="F90" s="943">
        <f t="shared" si="934"/>
        <v>0.106</v>
      </c>
      <c r="G90" s="949">
        <f t="shared" ref="G90:H90" si="935">-G79</f>
        <v>8.7999999999999995E-2</v>
      </c>
      <c r="H90" s="946">
        <f t="shared" si="935"/>
        <v>5.3999999999999992E-2</v>
      </c>
      <c r="I90" s="943">
        <f t="shared" ref="I90:J90" si="936">-I79</f>
        <v>3.8E-3</v>
      </c>
      <c r="J90" s="946">
        <f t="shared" si="936"/>
        <v>0.11320000000000001</v>
      </c>
      <c r="K90" s="943">
        <f t="shared" ref="K90:S90" si="937">-K79</f>
        <v>0.11</v>
      </c>
      <c r="L90" s="946">
        <f t="shared" si="937"/>
        <v>0.22300000000000003</v>
      </c>
      <c r="M90" s="943">
        <f t="shared" si="937"/>
        <v>4.4999999999999998E-2</v>
      </c>
      <c r="N90" s="946">
        <f t="shared" si="937"/>
        <v>-0.161</v>
      </c>
      <c r="O90" s="943">
        <f t="shared" si="937"/>
        <v>-0.11400000000000002</v>
      </c>
      <c r="P90" s="946">
        <f t="shared" si="937"/>
        <v>-0.33499999999999996</v>
      </c>
      <c r="Q90" s="943">
        <f t="shared" si="937"/>
        <v>7.2000000000000008E-2</v>
      </c>
      <c r="R90" s="946">
        <f t="shared" si="937"/>
        <v>-7.3000000000000009E-2</v>
      </c>
      <c r="S90" s="943">
        <f t="shared" si="937"/>
        <v>5.1999999999999991E-2</v>
      </c>
      <c r="T90" s="943">
        <f t="shared" ref="T90:U90" si="938">-T79</f>
        <v>0</v>
      </c>
      <c r="U90" s="949">
        <f t="shared" si="938"/>
        <v>1.4849999999999999</v>
      </c>
      <c r="V90" s="947">
        <f t="shared" ref="V90" si="939">-V79</f>
        <v>3.85</v>
      </c>
      <c r="W90" s="943">
        <f t="shared" ref="W90:X90" si="940">-W79</f>
        <v>0</v>
      </c>
      <c r="X90" s="943">
        <f t="shared" si="940"/>
        <v>0</v>
      </c>
      <c r="Y90" s="759"/>
      <c r="Z90" s="946">
        <f t="shared" ref="Z90:AO90" si="941">-Z79</f>
        <v>-0.1</v>
      </c>
      <c r="AA90" s="948">
        <f t="shared" si="941"/>
        <v>-0.1</v>
      </c>
      <c r="AB90" s="948">
        <f t="shared" si="941"/>
        <v>0</v>
      </c>
      <c r="AC90" s="948">
        <f t="shared" si="941"/>
        <v>2.6848E-2</v>
      </c>
      <c r="AD90" s="948">
        <f t="shared" si="941"/>
        <v>1.5863970000000001</v>
      </c>
      <c r="AE90" s="949">
        <f t="shared" si="941"/>
        <v>6.6298999999999997E-2</v>
      </c>
      <c r="AF90" s="943">
        <f t="shared" si="941"/>
        <v>4.6339999999999999E-2</v>
      </c>
      <c r="AG90" s="943">
        <f t="shared" si="941"/>
        <v>0.14118900000000001</v>
      </c>
      <c r="AH90" s="943">
        <f t="shared" si="941"/>
        <v>0.299564</v>
      </c>
      <c r="AI90" s="943">
        <f t="shared" si="941"/>
        <v>0.21337100000000001</v>
      </c>
      <c r="AJ90" s="943">
        <f t="shared" si="941"/>
        <v>0</v>
      </c>
      <c r="AK90" s="943">
        <f t="shared" si="941"/>
        <v>5.8015999999999998E-2</v>
      </c>
      <c r="AL90" s="943">
        <f t="shared" si="941"/>
        <v>0.13525999999999999</v>
      </c>
      <c r="AM90" s="943">
        <f t="shared" si="941"/>
        <v>8.1000000000000003E-2</v>
      </c>
      <c r="AN90" s="943">
        <f t="shared" si="941"/>
        <v>0.10199999999999999</v>
      </c>
      <c r="AO90" s="943">
        <f t="shared" si="941"/>
        <v>0.19500000000000001</v>
      </c>
      <c r="AP90" s="943">
        <f t="shared" ref="AP90:AR90" si="942">-AP79</f>
        <v>0.21199999999999999</v>
      </c>
      <c r="AQ90" s="943">
        <f t="shared" si="942"/>
        <v>0.14199999999999999</v>
      </c>
      <c r="AR90" s="943">
        <f t="shared" si="942"/>
        <v>0.11700000000000001</v>
      </c>
      <c r="AS90" s="943">
        <f t="shared" ref="AS90:AV90" si="943">-AS79</f>
        <v>0.33300000000000002</v>
      </c>
      <c r="AT90" s="943">
        <f t="shared" si="943"/>
        <v>-0.11599999999999999</v>
      </c>
      <c r="AU90" s="943">
        <f t="shared" si="943"/>
        <v>-0.44899999999999995</v>
      </c>
      <c r="AV90" s="943">
        <f t="shared" si="943"/>
        <v>-1.0000000000000009E-3</v>
      </c>
      <c r="AW90" s="943">
        <f t="shared" ref="AW90:AX90" si="944">-AW79</f>
        <v>5.1999999999999991E-2</v>
      </c>
      <c r="AX90" s="947">
        <f t="shared" si="944"/>
        <v>5.335</v>
      </c>
      <c r="AY90" s="943">
        <f t="shared" ref="AY90" si="945">-AY79</f>
        <v>0</v>
      </c>
      <c r="AZ90" s="943"/>
      <c r="BA90" s="759"/>
      <c r="BB90" s="895"/>
      <c r="BC90" s="896"/>
      <c r="BD90" s="897"/>
      <c r="BE90" s="898"/>
      <c r="BF90" s="897"/>
    </row>
    <row r="91" spans="1:58" s="991" customFormat="1" ht="17" x14ac:dyDescent="0.6">
      <c r="A91" s="759" t="str">
        <f>A81</f>
        <v>Taxes @ 25%</v>
      </c>
      <c r="B91" s="986"/>
      <c r="C91" s="975">
        <f t="shared" ref="C91:D91" si="946">-C81</f>
        <v>-4.3429999999999955</v>
      </c>
      <c r="D91" s="975">
        <f t="shared" si="946"/>
        <v>-5.8510000000000062</v>
      </c>
      <c r="E91" s="975">
        <f t="shared" ref="E91:F91" si="947">-E81</f>
        <v>-4.7767500000000043</v>
      </c>
      <c r="F91" s="975">
        <f t="shared" si="947"/>
        <v>-6.741999999999992</v>
      </c>
      <c r="G91" s="976">
        <f t="shared" ref="G91:H91" si="948">-G81</f>
        <v>-5.2469999999999999</v>
      </c>
      <c r="H91" s="977">
        <f t="shared" si="948"/>
        <v>-7.3265000000000002</v>
      </c>
      <c r="I91" s="975">
        <f t="shared" ref="I91:J91" si="949">-I81</f>
        <v>-6.0284499999999994</v>
      </c>
      <c r="J91" s="977">
        <f t="shared" si="949"/>
        <v>-11.006300000000003</v>
      </c>
      <c r="K91" s="975">
        <f t="shared" ref="K91:S91" si="950">-K81</f>
        <v>-8.4910000000000068</v>
      </c>
      <c r="L91" s="977">
        <f t="shared" si="950"/>
        <v>-12.713750000000001</v>
      </c>
      <c r="M91" s="975">
        <f t="shared" si="950"/>
        <v>-10.130750000000006</v>
      </c>
      <c r="N91" s="977">
        <f t="shared" si="950"/>
        <v>-13.273499999999972</v>
      </c>
      <c r="O91" s="975">
        <f t="shared" si="950"/>
        <v>-14.237500000000013</v>
      </c>
      <c r="P91" s="977">
        <f t="shared" si="950"/>
        <v>-15.504249999999972</v>
      </c>
      <c r="Q91" s="975">
        <f t="shared" si="950"/>
        <v>-16.051250000000017</v>
      </c>
      <c r="R91" s="977">
        <f t="shared" si="950"/>
        <v>-17.984749999999966</v>
      </c>
      <c r="S91" s="975">
        <f t="shared" si="950"/>
        <v>-15.780749999999994</v>
      </c>
      <c r="T91" s="975">
        <f t="shared" ref="T91:U91" si="951">-T81</f>
        <v>-19.457250000000013</v>
      </c>
      <c r="U91" s="976">
        <f t="shared" si="951"/>
        <v>-17.054000000000006</v>
      </c>
      <c r="V91" s="978">
        <f t="shared" ref="V91" si="952">-V81</f>
        <v>-22.795749999999991</v>
      </c>
      <c r="W91" s="975">
        <f t="shared" ref="W91:X91" si="953">-W81</f>
        <v>-18.518770492327008</v>
      </c>
      <c r="X91" s="975">
        <f t="shared" si="953"/>
        <v>-24.3461152</v>
      </c>
      <c r="Y91" s="986"/>
      <c r="Z91" s="977">
        <f t="shared" ref="Z91:AN91" si="954">-Z81</f>
        <v>-9.1037310000000066E-2</v>
      </c>
      <c r="AA91" s="979">
        <f t="shared" si="954"/>
        <v>-0.14832930000000019</v>
      </c>
      <c r="AB91" s="979">
        <f t="shared" si="954"/>
        <v>-0.24858119999999984</v>
      </c>
      <c r="AC91" s="979">
        <f t="shared" si="954"/>
        <v>-0.35358099000000032</v>
      </c>
      <c r="AD91" s="979">
        <f t="shared" si="954"/>
        <v>-0.75180294000000047</v>
      </c>
      <c r="AE91" s="976">
        <f t="shared" si="954"/>
        <v>-0.254819880000001</v>
      </c>
      <c r="AF91" s="975">
        <f t="shared" si="954"/>
        <v>-0.33971024999999894</v>
      </c>
      <c r="AG91" s="975">
        <f t="shared" si="954"/>
        <v>-0.86870675000000186</v>
      </c>
      <c r="AH91" s="975">
        <f t="shared" si="954"/>
        <v>-1.5092507499999996</v>
      </c>
      <c r="AI91" s="975">
        <f t="shared" si="954"/>
        <v>-1.9033445000000024</v>
      </c>
      <c r="AJ91" s="975">
        <f t="shared" si="954"/>
        <v>-2.5081887499999977</v>
      </c>
      <c r="AK91" s="975">
        <f t="shared" si="954"/>
        <v>-4.0869269999999966</v>
      </c>
      <c r="AL91" s="975">
        <f t="shared" si="954"/>
        <v>-5.6063417499999995</v>
      </c>
      <c r="AM91" s="975">
        <f t="shared" si="954"/>
        <v>-6.8622499999999915</v>
      </c>
      <c r="AN91" s="975">
        <f t="shared" si="954"/>
        <v>-8.9075000000000024</v>
      </c>
      <c r="AO91" s="975">
        <f>-AO81</f>
        <v>-10.193999999999981</v>
      </c>
      <c r="AP91" s="975">
        <f t="shared" ref="AP91:AR91" si="955">-AP81</f>
        <v>-11.518749999999997</v>
      </c>
      <c r="AQ91" s="975">
        <f t="shared" si="955"/>
        <v>-12.573499999999999</v>
      </c>
      <c r="AR91" s="975">
        <f t="shared" si="955"/>
        <v>-17.034750000000003</v>
      </c>
      <c r="AS91" s="975">
        <f t="shared" ref="AS91:AV91" si="956">-AS81</f>
        <v>-21.016500000000011</v>
      </c>
      <c r="AT91" s="975">
        <f t="shared" si="956"/>
        <v>-23.27249999999998</v>
      </c>
      <c r="AU91" s="975">
        <f t="shared" si="956"/>
        <v>-29.687249999999981</v>
      </c>
      <c r="AV91" s="975">
        <f t="shared" si="956"/>
        <v>-34.049999999999969</v>
      </c>
      <c r="AW91" s="975">
        <f t="shared" ref="AW91:AX91" si="957">-AW81</f>
        <v>-35.238000000000007</v>
      </c>
      <c r="AX91" s="978">
        <f t="shared" si="957"/>
        <v>-39.84975</v>
      </c>
      <c r="AY91" s="975">
        <f t="shared" ref="AY91" si="958">-AY81</f>
        <v>-42.864885692327007</v>
      </c>
      <c r="AZ91" s="975"/>
      <c r="BA91" s="986"/>
      <c r="BB91" s="987"/>
      <c r="BC91" s="988"/>
      <c r="BD91" s="989"/>
      <c r="BE91" s="990"/>
      <c r="BF91" s="989"/>
    </row>
    <row r="92" spans="1:58" ht="17" hidden="1" outlineLevel="1" x14ac:dyDescent="0.6">
      <c r="A92" s="759" t="s">
        <v>165</v>
      </c>
      <c r="B92" s="975"/>
      <c r="C92" s="975">
        <f>CapIQ!U54</f>
        <v>0</v>
      </c>
      <c r="D92" s="975">
        <f>CapIQ!V54</f>
        <v>0</v>
      </c>
      <c r="E92" s="975">
        <f>CapIQ!W54</f>
        <v>0</v>
      </c>
      <c r="F92" s="975">
        <f>CapIQ!X54</f>
        <v>0</v>
      </c>
      <c r="G92" s="976">
        <v>0</v>
      </c>
      <c r="H92" s="977">
        <v>0</v>
      </c>
      <c r="I92" s="975">
        <v>0</v>
      </c>
      <c r="J92" s="977">
        <v>0</v>
      </c>
      <c r="K92" s="975">
        <v>0</v>
      </c>
      <c r="L92" s="977">
        <v>0</v>
      </c>
      <c r="M92" s="975">
        <v>0</v>
      </c>
      <c r="N92" s="977">
        <v>0</v>
      </c>
      <c r="O92" s="975">
        <v>0</v>
      </c>
      <c r="P92" s="977">
        <v>0</v>
      </c>
      <c r="Q92" s="975">
        <v>0</v>
      </c>
      <c r="R92" s="977">
        <v>0</v>
      </c>
      <c r="S92" s="975">
        <v>0</v>
      </c>
      <c r="T92" s="975">
        <v>0</v>
      </c>
      <c r="U92" s="976">
        <v>0</v>
      </c>
      <c r="V92" s="978">
        <v>0</v>
      </c>
      <c r="W92" s="975">
        <v>0</v>
      </c>
      <c r="X92" s="975">
        <v>0</v>
      </c>
      <c r="Y92" s="759"/>
      <c r="Z92" s="977">
        <f>CapIQ!B54</f>
        <v>-0.2</v>
      </c>
      <c r="AA92" s="979">
        <f>CapIQ!C54</f>
        <v>-0.2</v>
      </c>
      <c r="AB92" s="979">
        <f>CapIQ!D54</f>
        <v>0</v>
      </c>
      <c r="AC92" s="979">
        <f>CapIQ!E54</f>
        <v>0</v>
      </c>
      <c r="AD92" s="979">
        <f>CapIQ!F54</f>
        <v>0</v>
      </c>
      <c r="AE92" s="976">
        <f>CapIQ!G54</f>
        <v>0</v>
      </c>
      <c r="AF92" s="975">
        <f>CapIQ!H54</f>
        <v>0</v>
      </c>
      <c r="AG92" s="975">
        <f>CapIQ!I54</f>
        <v>0</v>
      </c>
      <c r="AH92" s="975">
        <f>CapIQ!J54</f>
        <v>0</v>
      </c>
      <c r="AI92" s="975">
        <f>CapIQ!K54</f>
        <v>0</v>
      </c>
      <c r="AJ92" s="975">
        <f>CapIQ!L54</f>
        <v>0</v>
      </c>
      <c r="AK92" s="975">
        <f>CapIQ!M54</f>
        <v>0</v>
      </c>
      <c r="AL92" s="975">
        <f>CapIQ!N54</f>
        <v>0</v>
      </c>
      <c r="AM92" s="975">
        <f>CapIQ!O54</f>
        <v>0</v>
      </c>
      <c r="AN92" s="975">
        <f>CapIQ!P54</f>
        <v>0</v>
      </c>
      <c r="AO92" s="975">
        <f>CapIQ!Q54</f>
        <v>0</v>
      </c>
      <c r="AP92" s="975">
        <f>CapIQ!R54</f>
        <v>0</v>
      </c>
      <c r="AQ92" s="975">
        <f>CapIQ!S54</f>
        <v>0</v>
      </c>
      <c r="AR92" s="975">
        <v>0</v>
      </c>
      <c r="AS92" s="975">
        <v>0</v>
      </c>
      <c r="AT92" s="975">
        <v>0</v>
      </c>
      <c r="AU92" s="975">
        <v>0</v>
      </c>
      <c r="AV92" s="975">
        <v>0</v>
      </c>
      <c r="AW92" s="975">
        <v>0</v>
      </c>
      <c r="AX92" s="978">
        <v>0</v>
      </c>
      <c r="AY92" s="975">
        <v>0</v>
      </c>
      <c r="AZ92" s="975"/>
      <c r="BA92" s="759"/>
      <c r="BB92" s="895"/>
      <c r="BC92" s="896"/>
      <c r="BD92" s="897"/>
      <c r="BE92" s="898"/>
      <c r="BF92" s="897"/>
    </row>
    <row r="93" spans="1:58" s="1038" customFormat="1" collapsed="1" x14ac:dyDescent="0.3">
      <c r="A93" s="1028" t="s">
        <v>60</v>
      </c>
      <c r="B93" s="1024"/>
      <c r="C93" s="1029">
        <f t="shared" ref="C93:D93" si="959">SUM(C88:C92)</f>
        <v>12.722999999999988</v>
      </c>
      <c r="D93" s="1029">
        <f t="shared" si="959"/>
        <v>17.501000000000019</v>
      </c>
      <c r="E93" s="1029">
        <f t="shared" ref="E93:F93" si="960">SUM(E88:E92)</f>
        <v>14.390250000000012</v>
      </c>
      <c r="F93" s="1030">
        <f t="shared" si="960"/>
        <v>20.562999999999981</v>
      </c>
      <c r="G93" s="1031">
        <f t="shared" ref="G93:H93" si="961">SUM(G88:G92)</f>
        <v>15.629999999999999</v>
      </c>
      <c r="H93" s="1032">
        <f t="shared" si="961"/>
        <v>22.637500000000003</v>
      </c>
      <c r="I93" s="1029">
        <f t="shared" ref="I93:J93" si="962">SUM(I88:I92)</f>
        <v>18.394349999999999</v>
      </c>
      <c r="J93" s="1032">
        <f t="shared" si="962"/>
        <v>33.384900000000009</v>
      </c>
      <c r="K93" s="1029">
        <f t="shared" ref="K93:S93" si="963">SUM(K88:K92)</f>
        <v>24.920000000000023</v>
      </c>
      <c r="L93" s="1032">
        <f t="shared" si="963"/>
        <v>37.885249999999999</v>
      </c>
      <c r="M93" s="1029">
        <f t="shared" si="963"/>
        <v>28.435250000000025</v>
      </c>
      <c r="N93" s="1032">
        <f t="shared" si="963"/>
        <v>32.236499999999921</v>
      </c>
      <c r="O93" s="1029">
        <f t="shared" si="963"/>
        <v>39.148500000000034</v>
      </c>
      <c r="P93" s="1032">
        <f t="shared" si="963"/>
        <v>43.825749999999921</v>
      </c>
      <c r="Q93" s="1029">
        <f t="shared" si="963"/>
        <v>45.267750000000056</v>
      </c>
      <c r="R93" s="1032">
        <f t="shared" si="963"/>
        <v>51.925249999999906</v>
      </c>
      <c r="S93" s="1029">
        <f t="shared" si="963"/>
        <v>46.76524999999998</v>
      </c>
      <c r="T93" s="1029">
        <f t="shared" ref="T93:U93" si="964">SUM(T88:T92)</f>
        <v>56.650750000000031</v>
      </c>
      <c r="U93" s="1031">
        <f t="shared" si="964"/>
        <v>49.212000000000018</v>
      </c>
      <c r="V93" s="1033">
        <f t="shared" ref="V93" si="965">SUM(V88:V92)</f>
        <v>65.028249999999957</v>
      </c>
      <c r="W93" s="1029">
        <f t="shared" ref="W93:X93" si="966">SUM(W88:W92)</f>
        <v>53.472311476981019</v>
      </c>
      <c r="X93" s="1029">
        <f t="shared" si="966"/>
        <v>69.376265600000011</v>
      </c>
      <c r="Y93" s="1029"/>
      <c r="Z93" s="1029">
        <f t="shared" ref="Z93:AN93" si="967">SUM(Z88:Z92)</f>
        <v>0.2045466900000002</v>
      </c>
      <c r="AA93" s="1029">
        <f t="shared" si="967"/>
        <v>0.48822070000000078</v>
      </c>
      <c r="AB93" s="1029">
        <f t="shared" si="967"/>
        <v>1.1865107999999995</v>
      </c>
      <c r="AC93" s="1029">
        <f t="shared" si="967"/>
        <v>1.3153370100000012</v>
      </c>
      <c r="AD93" s="1029">
        <f t="shared" si="967"/>
        <v>2.505288060000002</v>
      </c>
      <c r="AE93" s="1029">
        <f t="shared" si="967"/>
        <v>0.91456012000000375</v>
      </c>
      <c r="AF93" s="1029">
        <f t="shared" si="967"/>
        <v>1.0881227499999968</v>
      </c>
      <c r="AG93" s="1029">
        <f t="shared" si="967"/>
        <v>2.5507742500000052</v>
      </c>
      <c r="AH93" s="1029">
        <f t="shared" si="967"/>
        <v>4.3981492499999995</v>
      </c>
      <c r="AI93" s="1029">
        <f t="shared" si="967"/>
        <v>5.8212925000000073</v>
      </c>
      <c r="AJ93" s="1029">
        <f t="shared" si="967"/>
        <v>7.565358249999993</v>
      </c>
      <c r="AK93" s="1029">
        <f t="shared" si="967"/>
        <v>11.922146999999988</v>
      </c>
      <c r="AL93" s="1029">
        <f t="shared" si="967"/>
        <v>12.793581249999999</v>
      </c>
      <c r="AM93" s="1029">
        <f t="shared" si="967"/>
        <v>18.655749999999973</v>
      </c>
      <c r="AN93" s="1029">
        <f t="shared" si="967"/>
        <v>26.348500000000005</v>
      </c>
      <c r="AO93" s="1029">
        <f>SUM(AO88:AO92)</f>
        <v>30.22399999999994</v>
      </c>
      <c r="AP93" s="1029">
        <f t="shared" ref="AP93:AR93" si="968">SUM(AP88:AP92)</f>
        <v>34.95324999999999</v>
      </c>
      <c r="AQ93" s="1029">
        <f t="shared" si="968"/>
        <v>38.267499999999998</v>
      </c>
      <c r="AR93" s="1029">
        <f t="shared" si="968"/>
        <v>51.779250000000005</v>
      </c>
      <c r="AS93" s="1029">
        <f t="shared" ref="AS93:AV93" si="969">SUM(AS88:AS92)</f>
        <v>62.24050000000004</v>
      </c>
      <c r="AT93" s="1029">
        <f t="shared" si="969"/>
        <v>60.276499999999942</v>
      </c>
      <c r="AU93" s="1029">
        <f t="shared" si="969"/>
        <v>82.810749999999956</v>
      </c>
      <c r="AV93" s="1029">
        <f t="shared" si="969"/>
        <v>97.234999999999914</v>
      </c>
      <c r="AW93" s="1029">
        <f t="shared" ref="AW93:AX93" si="970">SUM(AW88:AW92)</f>
        <v>103.41600000000003</v>
      </c>
      <c r="AX93" s="1033">
        <f t="shared" si="970"/>
        <v>114.24025</v>
      </c>
      <c r="AY93" s="1029">
        <f t="shared" ref="AY93" si="971">SUM(AY88:AY92)</f>
        <v>122.84857707698102</v>
      </c>
      <c r="AZ93" s="1029"/>
      <c r="BA93" s="1030"/>
      <c r="BB93" s="1034" t="s">
        <v>52</v>
      </c>
      <c r="BC93" s="1035">
        <f>(AJ93/AE93)^(1/5)-1</f>
        <v>0.52589077604087398</v>
      </c>
      <c r="BD93" s="1036">
        <f>(AO93/AJ93)^(1/5)-1</f>
        <v>0.31918130629750374</v>
      </c>
      <c r="BE93" s="1037">
        <f>(AO93/AE93)^(1/10)-1</f>
        <v>0.41877644017826565</v>
      </c>
      <c r="BF93" s="1036" t="s">
        <v>52</v>
      </c>
    </row>
    <row r="94" spans="1:58" collapsed="1" x14ac:dyDescent="0.3">
      <c r="A94" s="937" t="s">
        <v>166</v>
      </c>
      <c r="B94" s="901"/>
      <c r="C94" s="981">
        <f t="shared" ref="C94:D94" si="972">+C93/C83</f>
        <v>6.567726615734043E-2</v>
      </c>
      <c r="D94" s="981">
        <f t="shared" si="972"/>
        <v>8.9668016733657749E-2</v>
      </c>
      <c r="E94" s="981">
        <f t="shared" ref="E94:F94" si="973">+E93/E83</f>
        <v>7.2604692230070697E-2</v>
      </c>
      <c r="F94" s="982">
        <f t="shared" si="973"/>
        <v>0.10374873864783038</v>
      </c>
      <c r="G94" s="983">
        <f t="shared" ref="G94:H94" si="974">+G93/G83</f>
        <v>7.9178529092916991E-2</v>
      </c>
      <c r="H94" s="984">
        <f t="shared" si="974"/>
        <v>0.11427540182537761</v>
      </c>
      <c r="I94" s="981">
        <f t="shared" ref="I94:J94" si="975">+I93/I83</f>
        <v>9.2635483237395941E-2</v>
      </c>
      <c r="J94" s="984">
        <f t="shared" si="975"/>
        <v>0.16738289794853101</v>
      </c>
      <c r="K94" s="981">
        <f t="shared" ref="K94:S94" si="976">+K93/K83</f>
        <v>0.12536598617553263</v>
      </c>
      <c r="L94" s="984">
        <f t="shared" si="976"/>
        <v>0.19044778667497941</v>
      </c>
      <c r="M94" s="981">
        <f t="shared" si="976"/>
        <v>0.14285624572967337</v>
      </c>
      <c r="N94" s="984">
        <f t="shared" si="976"/>
        <v>0.16181280533083062</v>
      </c>
      <c r="O94" s="981">
        <f t="shared" si="976"/>
        <v>0.19633050987708203</v>
      </c>
      <c r="P94" s="984">
        <f t="shared" si="976"/>
        <v>0.21969369658899882</v>
      </c>
      <c r="Q94" s="981">
        <f t="shared" si="976"/>
        <v>0.2266594731545139</v>
      </c>
      <c r="R94" s="984">
        <f t="shared" si="976"/>
        <v>0.26021747560590097</v>
      </c>
      <c r="S94" s="981">
        <f t="shared" si="976"/>
        <v>0.2342291240934406</v>
      </c>
      <c r="T94" s="981">
        <f t="shared" ref="T94:U94" si="977">+T93/T83</f>
        <v>0.28302874214999091</v>
      </c>
      <c r="U94" s="983">
        <f t="shared" si="977"/>
        <v>0.24539497960526979</v>
      </c>
      <c r="V94" s="985">
        <f t="shared" ref="V94" si="978">+V93/V83</f>
        <v>0.32430454427576832</v>
      </c>
      <c r="W94" s="981">
        <f t="shared" ref="W94:X94" si="979">+W93/W83</f>
        <v>0.26667353965260138</v>
      </c>
      <c r="X94" s="981">
        <f t="shared" si="979"/>
        <v>0.34598867721279108</v>
      </c>
      <c r="Y94" s="981"/>
      <c r="Z94" s="981">
        <f t="shared" ref="Z94:AO94" si="980">+Z93/Z83</f>
        <v>1.0480141718607111E-3</v>
      </c>
      <c r="AA94" s="981">
        <f t="shared" si="980"/>
        <v>2.501444597298333E-3</v>
      </c>
      <c r="AB94" s="981">
        <f t="shared" si="980"/>
        <v>6.0791994896900459E-3</v>
      </c>
      <c r="AC94" s="981">
        <f t="shared" si="980"/>
        <v>6.7392526725946712E-3</v>
      </c>
      <c r="AD94" s="981">
        <f t="shared" si="980"/>
        <v>1.2836078606177527E-2</v>
      </c>
      <c r="AE94" s="981">
        <f t="shared" si="980"/>
        <v>4.6858346462542878E-3</v>
      </c>
      <c r="AF94" s="981">
        <f t="shared" si="980"/>
        <v>5.575099077496903E-3</v>
      </c>
      <c r="AG94" s="981">
        <f t="shared" si="980"/>
        <v>1.3069131371509259E-2</v>
      </c>
      <c r="AH94" s="981">
        <f t="shared" si="980"/>
        <v>2.2534330640884739E-2</v>
      </c>
      <c r="AI94" s="981">
        <f t="shared" si="980"/>
        <v>2.9825938706446287E-2</v>
      </c>
      <c r="AJ94" s="981">
        <f t="shared" si="980"/>
        <v>3.8761823333358918E-2</v>
      </c>
      <c r="AK94" s="981">
        <f t="shared" si="980"/>
        <v>6.1084239569003225E-2</v>
      </c>
      <c r="AL94" s="981">
        <f t="shared" si="980"/>
        <v>6.5549114771065009E-2</v>
      </c>
      <c r="AM94" s="981">
        <f t="shared" si="980"/>
        <v>9.5584486782408509E-2</v>
      </c>
      <c r="AN94" s="981">
        <f t="shared" si="980"/>
        <v>0.13499901370817549</v>
      </c>
      <c r="AO94" s="981">
        <f t="shared" si="980"/>
        <v>0.15485550184321259</v>
      </c>
      <c r="AP94" s="981">
        <f t="shared" ref="AP94:AR94" si="981">+AP93/AP83</f>
        <v>0.17635343087790106</v>
      </c>
      <c r="AQ94" s="981">
        <f t="shared" si="981"/>
        <v>0.1935155171454723</v>
      </c>
      <c r="AR94" s="981">
        <f t="shared" si="981"/>
        <v>0.26018463471791931</v>
      </c>
      <c r="AS94" s="981">
        <f t="shared" ref="AS94:AV94" si="982">+AS93/AS83</f>
        <v>0.31299911491963894</v>
      </c>
      <c r="AT94" s="981">
        <f t="shared" si="982"/>
        <v>0.3026931613888133</v>
      </c>
      <c r="AU94" s="981">
        <f t="shared" si="982"/>
        <v>0.41521011015678638</v>
      </c>
      <c r="AV94" s="981">
        <f t="shared" si="982"/>
        <v>0.4870712110282916</v>
      </c>
      <c r="AW94" s="981">
        <f t="shared" ref="AW94:AX94" si="983">+AW93/AW83</f>
        <v>0.51725217555100478</v>
      </c>
      <c r="AX94" s="985">
        <f t="shared" si="983"/>
        <v>0.56969973209532099</v>
      </c>
      <c r="AY94" s="981">
        <f t="shared" ref="AY94" si="984">+AY93/AY83</f>
        <v>0.61266221686539235</v>
      </c>
      <c r="AZ94" s="981"/>
      <c r="BA94" s="903"/>
      <c r="BB94" s="910" t="s">
        <v>52</v>
      </c>
      <c r="BC94" s="911">
        <f>(AJ94/AE94)^(1/5)-1</f>
        <v>0.5258907760408742</v>
      </c>
      <c r="BD94" s="912">
        <f>(AO94/AJ94)^(1/5)-1</f>
        <v>0.31918130629750374</v>
      </c>
      <c r="BE94" s="913">
        <f>(AO94/AE94)^(1/10)-1</f>
        <v>0.41877644017826565</v>
      </c>
      <c r="BF94" s="912" t="s">
        <v>52</v>
      </c>
    </row>
    <row r="95" spans="1:58" ht="14.5" x14ac:dyDescent="0.35">
      <c r="A95" s="956" t="s">
        <v>37</v>
      </c>
      <c r="B95" s="759"/>
      <c r="C95" s="916"/>
      <c r="D95" s="916"/>
      <c r="E95" s="916">
        <f>E94/C94-1</f>
        <v>0.10547677268013111</v>
      </c>
      <c r="F95" s="916">
        <f t="shared" ref="F95" si="985">F94/D94-1</f>
        <v>0.15703170904288877</v>
      </c>
      <c r="G95" s="917">
        <f t="shared" ref="G95" si="986">G94/E94-1</f>
        <v>9.0542865218890212E-2</v>
      </c>
      <c r="H95" s="918">
        <f t="shared" ref="H95" si="987">H94/F94-1</f>
        <v>0.10146304730777911</v>
      </c>
      <c r="I95" s="916">
        <f t="shared" ref="I95" si="988">I94/G94-1</f>
        <v>0.16995711209394959</v>
      </c>
      <c r="J95" s="918">
        <f t="shared" ref="J95" si="989">J94/H94-1</f>
        <v>0.46473252576530943</v>
      </c>
      <c r="K95" s="916">
        <f t="shared" ref="K95" si="990">K94/I94-1</f>
        <v>0.35332576453731646</v>
      </c>
      <c r="L95" s="918">
        <f t="shared" ref="L95" si="991">L94/J94-1</f>
        <v>0.13779716452000179</v>
      </c>
      <c r="M95" s="916">
        <f t="shared" ref="M95" si="992">M94/K94-1</f>
        <v>0.13951359605349056</v>
      </c>
      <c r="N95" s="918">
        <f t="shared" ref="N95" si="993">N94/L94-1</f>
        <v>-0.15035607314784716</v>
      </c>
      <c r="O95" s="916">
        <f t="shared" ref="O95" si="994">O94/M94-1</f>
        <v>0.37432219973495529</v>
      </c>
      <c r="P95" s="918">
        <f t="shared" ref="P95" si="995">P94/N94-1</f>
        <v>0.35770278588168081</v>
      </c>
      <c r="Q95" s="916">
        <f t="shared" ref="Q95" si="996">Q94/O94-1</f>
        <v>0.15447911430790939</v>
      </c>
      <c r="R95" s="918">
        <f t="shared" ref="R95" si="997">R94/P94-1</f>
        <v>0.18445581118657994</v>
      </c>
      <c r="S95" s="916">
        <f t="shared" ref="S95" si="998">S94/Q94-1</f>
        <v>3.3396578724801174E-2</v>
      </c>
      <c r="T95" s="916">
        <f t="shared" ref="T95" si="999">T94/R94-1</f>
        <v>8.7662315880112418E-2</v>
      </c>
      <c r="U95" s="917">
        <f t="shared" ref="U95" si="1000">U94/S94-1</f>
        <v>4.767065391652503E-2</v>
      </c>
      <c r="V95" s="919">
        <f t="shared" ref="V95" si="1001">V94/T94-1</f>
        <v>0.1458360794463176</v>
      </c>
      <c r="W95" s="916">
        <f t="shared" ref="W95" si="1002">W94/U94-1</f>
        <v>8.6711472588229865E-2</v>
      </c>
      <c r="X95" s="916">
        <f t="shared" ref="X95" si="1003">X94/V94-1</f>
        <v>6.6863487791845255E-2</v>
      </c>
      <c r="Y95" s="759"/>
      <c r="Z95" s="918"/>
      <c r="AA95" s="920">
        <f t="shared" ref="AA95:AG95" si="1004">+AA94/Z94-1</f>
        <v>1.3868423390278291</v>
      </c>
      <c r="AB95" s="920">
        <f t="shared" si="1004"/>
        <v>1.4302754881142845</v>
      </c>
      <c r="AC95" s="920">
        <f t="shared" si="1004"/>
        <v>0.10857567415315716</v>
      </c>
      <c r="AD95" s="920">
        <f t="shared" si="1004"/>
        <v>0.90467389038190271</v>
      </c>
      <c r="AE95" s="917">
        <f t="shared" si="1004"/>
        <v>-0.63494811850099064</v>
      </c>
      <c r="AF95" s="916">
        <f t="shared" si="1004"/>
        <v>0.18977716850368709</v>
      </c>
      <c r="AG95" s="916">
        <f t="shared" si="1004"/>
        <v>1.3441971505512709</v>
      </c>
      <c r="AH95" s="916">
        <f t="shared" ref="AH95" si="1005">+AH94/AG94-1</f>
        <v>0.72424088489994376</v>
      </c>
      <c r="AI95" s="916">
        <f t="shared" ref="AI95" si="1006">+AI94/AH94-1</f>
        <v>0.32357775261947008</v>
      </c>
      <c r="AJ95" s="916">
        <f t="shared" ref="AJ95" si="1007">+AJ94/AI94-1</f>
        <v>0.29960111951082746</v>
      </c>
      <c r="AK95" s="916">
        <f t="shared" ref="AK95" si="1008">+AK94/AJ94-1</f>
        <v>0.57588664092675312</v>
      </c>
      <c r="AL95" s="916">
        <f t="shared" ref="AL95" si="1009">+AL94/AK94-1</f>
        <v>7.3093734710703684E-2</v>
      </c>
      <c r="AM95" s="916">
        <f t="shared" ref="AM95" si="1010">+AM94/AL94-1</f>
        <v>0.45821171065763733</v>
      </c>
      <c r="AN95" s="916">
        <f t="shared" ref="AN95" si="1011">+AN94/AM94-1</f>
        <v>0.41235275987296394</v>
      </c>
      <c r="AO95" s="916">
        <f t="shared" ref="AO95" si="1012">+AO94/AN94-1</f>
        <v>0.14708617188834028</v>
      </c>
      <c r="AP95" s="916">
        <f t="shared" ref="AP95" si="1013">+AP94/AO94-1</f>
        <v>0.13882573611401039</v>
      </c>
      <c r="AQ95" s="916">
        <f t="shared" ref="AQ95" si="1014">+AQ94/AP94-1</f>
        <v>9.7316429752100975E-2</v>
      </c>
      <c r="AR95" s="916">
        <f t="shared" ref="AR95" si="1015">+AR94/AQ94-1</f>
        <v>0.34451561588381319</v>
      </c>
      <c r="AS95" s="916">
        <f t="shared" ref="AS95" si="1016">+AS94/AR94-1</f>
        <v>0.202988467243574</v>
      </c>
      <c r="AT95" s="916">
        <f t="shared" ref="AT95" si="1017">+AT94/AS94-1</f>
        <v>-3.2926462215305818E-2</v>
      </c>
      <c r="AU95" s="916">
        <f t="shared" ref="AU95" si="1018">+AU94/AT94-1</f>
        <v>0.37171949393149184</v>
      </c>
      <c r="AV95" s="916">
        <f t="shared" ref="AV95" si="1019">+AV94/AU94-1</f>
        <v>0.17307165484089482</v>
      </c>
      <c r="AW95" s="916">
        <f t="shared" ref="AW95" si="1020">+AW94/AV94-1</f>
        <v>6.1964172464629819E-2</v>
      </c>
      <c r="AX95" s="919">
        <f t="shared" ref="AX95" si="1021">+AX94/AW94-1</f>
        <v>0.1013964928971951</v>
      </c>
      <c r="AY95" s="916">
        <f t="shared" ref="AY95" si="1022">+AY94/AX94-1</f>
        <v>7.5412506535781576E-2</v>
      </c>
      <c r="AZ95" s="916"/>
      <c r="BA95" s="759"/>
      <c r="BB95" s="895"/>
      <c r="BC95" s="896"/>
      <c r="BD95" s="897"/>
      <c r="BE95" s="898"/>
      <c r="BF95" s="897"/>
    </row>
    <row r="96" spans="1:58" ht="8.15" customHeight="1" x14ac:dyDescent="0.35">
      <c r="A96" s="956"/>
      <c r="B96" s="759"/>
      <c r="C96" s="943"/>
      <c r="D96" s="943"/>
      <c r="E96" s="943"/>
      <c r="F96" s="943"/>
      <c r="G96" s="949"/>
      <c r="H96" s="946"/>
      <c r="I96" s="943"/>
      <c r="J96" s="946"/>
      <c r="K96" s="943"/>
      <c r="L96" s="946"/>
      <c r="M96" s="943"/>
      <c r="N96" s="946"/>
      <c r="O96" s="943"/>
      <c r="P96" s="946"/>
      <c r="Q96" s="943"/>
      <c r="R96" s="946"/>
      <c r="S96" s="943"/>
      <c r="T96" s="943"/>
      <c r="U96" s="949"/>
      <c r="V96" s="947"/>
      <c r="W96" s="943"/>
      <c r="X96" s="943"/>
      <c r="Y96" s="759"/>
      <c r="Z96" s="946"/>
      <c r="AA96" s="948"/>
      <c r="AB96" s="948"/>
      <c r="AC96" s="948"/>
      <c r="AD96" s="948"/>
      <c r="AE96" s="949"/>
      <c r="AF96" s="943"/>
      <c r="AG96" s="943"/>
      <c r="AH96" s="943"/>
      <c r="AI96" s="943"/>
      <c r="AJ96" s="943"/>
      <c r="AK96" s="943"/>
      <c r="AL96" s="943"/>
      <c r="AM96" s="943"/>
      <c r="AN96" s="943"/>
      <c r="AO96" s="943"/>
      <c r="AP96" s="943"/>
      <c r="AQ96" s="943"/>
      <c r="AR96" s="943"/>
      <c r="AS96" s="943"/>
      <c r="AT96" s="943"/>
      <c r="AU96" s="943"/>
      <c r="AV96" s="943"/>
      <c r="AW96" s="943"/>
      <c r="AX96" s="947"/>
      <c r="AY96" s="943"/>
      <c r="AZ96" s="943"/>
      <c r="BA96" s="759"/>
      <c r="BB96" s="895"/>
      <c r="BC96" s="896"/>
      <c r="BD96" s="897"/>
      <c r="BE96" s="898"/>
      <c r="BF96" s="897"/>
    </row>
    <row r="97" spans="1:58" ht="17" x14ac:dyDescent="0.6">
      <c r="A97" s="759" t="s">
        <v>167</v>
      </c>
      <c r="B97" s="759"/>
      <c r="C97" s="975">
        <f t="shared" ref="C97:D97" si="1023">+C98-C93</f>
        <v>-4.5269999999999886</v>
      </c>
      <c r="D97" s="975">
        <f t="shared" si="1023"/>
        <v>19.208999999999982</v>
      </c>
      <c r="E97" s="975">
        <f t="shared" ref="E97:G97" si="1024">+E98-E93</f>
        <v>3.0857499999999867</v>
      </c>
      <c r="F97" s="975">
        <f t="shared" ref="F97:F98" si="1025">AP97-E97</f>
        <v>-9.8399999999999785</v>
      </c>
      <c r="G97" s="976">
        <f t="shared" si="1024"/>
        <v>3.3900000000000006</v>
      </c>
      <c r="H97" s="977">
        <f t="shared" ref="H97:I97" si="1026">+H98-H93</f>
        <v>-2.1474999999999973</v>
      </c>
      <c r="I97" s="975">
        <f t="shared" si="1026"/>
        <v>1.6076499999999996</v>
      </c>
      <c r="J97" s="977">
        <f t="shared" ref="J97:S97" si="1027">+J98-J93</f>
        <v>2.5801000000000016</v>
      </c>
      <c r="K97" s="975">
        <f t="shared" si="1027"/>
        <v>2.2229999999999848</v>
      </c>
      <c r="L97" s="977">
        <f t="shared" si="1027"/>
        <v>-2.6982499999999803</v>
      </c>
      <c r="M97" s="975">
        <f t="shared" si="1027"/>
        <v>-6.081250000000022</v>
      </c>
      <c r="N97" s="977">
        <f t="shared" si="1027"/>
        <v>-1.5754999999999235</v>
      </c>
      <c r="O97" s="975">
        <f t="shared" si="1027"/>
        <v>1.4499999999948443E-2</v>
      </c>
      <c r="P97" s="977">
        <f t="shared" si="1027"/>
        <v>-0.61674999999993219</v>
      </c>
      <c r="Q97" s="975">
        <f t="shared" si="1027"/>
        <v>-3.2457500000000508</v>
      </c>
      <c r="R97" s="977">
        <f t="shared" si="1027"/>
        <v>-18.149249999999888</v>
      </c>
      <c r="S97" s="975">
        <f t="shared" si="1027"/>
        <v>11.857750000000024</v>
      </c>
      <c r="T97" s="975">
        <f t="shared" ref="T97:U97" si="1028">+T98-T93</f>
        <v>-16.760750000000009</v>
      </c>
      <c r="U97" s="976">
        <f t="shared" si="1028"/>
        <v>-1.961000000000034</v>
      </c>
      <c r="V97" s="978">
        <f t="shared" ref="V97" si="1029">+V98-V93</f>
        <v>-6.1752499999999344</v>
      </c>
      <c r="W97" s="980">
        <v>-5</v>
      </c>
      <c r="X97" s="980">
        <f t="shared" ref="X97" si="1030">-20-W97</f>
        <v>-15</v>
      </c>
      <c r="Y97" s="759"/>
      <c r="Z97" s="977">
        <f t="shared" ref="Z97:AP97" si="1031">+Z98-Z93</f>
        <v>-1.1100076900000004</v>
      </c>
      <c r="AA97" s="979">
        <f t="shared" si="1031"/>
        <v>-0.15494070000000065</v>
      </c>
      <c r="AB97" s="979">
        <f t="shared" si="1031"/>
        <v>-2.1682447999999988</v>
      </c>
      <c r="AC97" s="979">
        <f t="shared" si="1031"/>
        <v>3.4066899899999976</v>
      </c>
      <c r="AD97" s="979">
        <f t="shared" si="1031"/>
        <v>-3.6792110600000019</v>
      </c>
      <c r="AE97" s="976">
        <f t="shared" si="1031"/>
        <v>-4.6818051200000035</v>
      </c>
      <c r="AF97" s="975">
        <f t="shared" si="1031"/>
        <v>-1.1407787499999966</v>
      </c>
      <c r="AG97" s="975">
        <f t="shared" si="1031"/>
        <v>-0.19556825000000533</v>
      </c>
      <c r="AH97" s="975">
        <f t="shared" si="1031"/>
        <v>-6.3486249999997746E-2</v>
      </c>
      <c r="AI97" s="975">
        <f t="shared" si="1031"/>
        <v>-0.8864585000000087</v>
      </c>
      <c r="AJ97" s="975">
        <f t="shared" si="1031"/>
        <v>-1.1126892499999954</v>
      </c>
      <c r="AK97" s="975">
        <f t="shared" si="1031"/>
        <v>-14.512902999999989</v>
      </c>
      <c r="AL97" s="975">
        <f t="shared" si="1031"/>
        <v>-7.0866582500000028</v>
      </c>
      <c r="AM97" s="975">
        <f t="shared" si="1031"/>
        <v>-4.0957499999999722</v>
      </c>
      <c r="AN97" s="975">
        <f t="shared" si="1031"/>
        <v>7.1724999999999959</v>
      </c>
      <c r="AO97" s="975">
        <f t="shared" si="1031"/>
        <v>14.682000000000059</v>
      </c>
      <c r="AP97" s="975">
        <f t="shared" si="1031"/>
        <v>-6.7542499999999919</v>
      </c>
      <c r="AQ97" s="975">
        <f t="shared" ref="AQ97:AR97" si="1032">+AQ98-AQ93</f>
        <v>1.2424999999999997</v>
      </c>
      <c r="AR97" s="975">
        <f t="shared" si="1032"/>
        <v>4.1877499999999941</v>
      </c>
      <c r="AS97" s="975">
        <f t="shared" ref="AS97:AV97" si="1033">+AS98-AS93</f>
        <v>8.9499999999979707E-2</v>
      </c>
      <c r="AT97" s="975">
        <f t="shared" si="1033"/>
        <v>-7.2614999999999412</v>
      </c>
      <c r="AU97" s="975">
        <f t="shared" si="1033"/>
        <v>-0.43874999999997044</v>
      </c>
      <c r="AV97" s="975">
        <f t="shared" si="1033"/>
        <v>-21.436999999999912</v>
      </c>
      <c r="AW97" s="975">
        <f t="shared" ref="AW97:AX97" si="1034">+AW98-AW93</f>
        <v>-4.9030000000000058</v>
      </c>
      <c r="AX97" s="978">
        <f t="shared" si="1034"/>
        <v>-8.136250000000004</v>
      </c>
      <c r="AY97" s="975">
        <f t="shared" ref="AY97" si="1035">+AY98-AY93</f>
        <v>-19.999999999999986</v>
      </c>
      <c r="AZ97" s="975"/>
      <c r="BA97" s="759"/>
      <c r="BB97" s="895"/>
      <c r="BC97" s="896"/>
      <c r="BD97" s="897"/>
      <c r="BE97" s="898"/>
      <c r="BF97" s="897"/>
    </row>
    <row r="98" spans="1:58" collapsed="1" x14ac:dyDescent="0.3">
      <c r="A98" s="937" t="s">
        <v>62</v>
      </c>
      <c r="B98" s="901"/>
      <c r="C98" s="902">
        <f t="shared" ref="C98:D98" si="1036">C101+C89</f>
        <v>8.1959999999999997</v>
      </c>
      <c r="D98" s="902">
        <f t="shared" si="1036"/>
        <v>36.71</v>
      </c>
      <c r="E98" s="902">
        <f t="shared" ref="E98:G98" si="1037">E101+E89</f>
        <v>17.475999999999999</v>
      </c>
      <c r="F98" s="903">
        <f t="shared" si="1025"/>
        <v>10.722999999999999</v>
      </c>
      <c r="G98" s="904">
        <f t="shared" si="1037"/>
        <v>19.02</v>
      </c>
      <c r="H98" s="905">
        <f t="shared" ref="H98:I98" si="1038">H101+H89</f>
        <v>20.490000000000006</v>
      </c>
      <c r="I98" s="902">
        <f t="shared" si="1038"/>
        <v>20.001999999999999</v>
      </c>
      <c r="J98" s="905">
        <f t="shared" ref="J98:S98" si="1039">J101+J89</f>
        <v>35.965000000000011</v>
      </c>
      <c r="K98" s="902">
        <f t="shared" si="1039"/>
        <v>27.143000000000008</v>
      </c>
      <c r="L98" s="905">
        <f t="shared" si="1039"/>
        <v>35.187000000000019</v>
      </c>
      <c r="M98" s="902">
        <f t="shared" si="1039"/>
        <v>22.354000000000003</v>
      </c>
      <c r="N98" s="905">
        <f t="shared" si="1039"/>
        <v>30.660999999999998</v>
      </c>
      <c r="O98" s="902">
        <f t="shared" si="1039"/>
        <v>39.162999999999982</v>
      </c>
      <c r="P98" s="905">
        <f t="shared" si="1039"/>
        <v>43.208999999999989</v>
      </c>
      <c r="Q98" s="902">
        <f t="shared" si="1039"/>
        <v>42.022000000000006</v>
      </c>
      <c r="R98" s="905">
        <f t="shared" si="1039"/>
        <v>33.776000000000018</v>
      </c>
      <c r="S98" s="902">
        <f t="shared" si="1039"/>
        <v>58.623000000000005</v>
      </c>
      <c r="T98" s="902">
        <f t="shared" ref="T98:U98" si="1040">T101+T89</f>
        <v>39.890000000000022</v>
      </c>
      <c r="U98" s="904">
        <f t="shared" si="1040"/>
        <v>47.250999999999983</v>
      </c>
      <c r="V98" s="906">
        <f t="shared" ref="V98" si="1041">V101+V89</f>
        <v>58.853000000000023</v>
      </c>
      <c r="W98" s="902">
        <f t="shared" ref="W98:X98" si="1042">+W97+W93</f>
        <v>48.472311476981019</v>
      </c>
      <c r="X98" s="902">
        <f t="shared" si="1042"/>
        <v>54.376265600000011</v>
      </c>
      <c r="Y98" s="902"/>
      <c r="Z98" s="902">
        <f t="shared" ref="Z98:AP98" si="1043">Z101+Z89</f>
        <v>-0.90546100000000018</v>
      </c>
      <c r="AA98" s="902">
        <f t="shared" si="1043"/>
        <v>0.33328000000000013</v>
      </c>
      <c r="AB98" s="902">
        <f t="shared" si="1043"/>
        <v>-0.98173399999999922</v>
      </c>
      <c r="AC98" s="902">
        <f t="shared" si="1043"/>
        <v>4.7220269999999989</v>
      </c>
      <c r="AD98" s="902">
        <f t="shared" si="1043"/>
        <v>-1.1739229999999998</v>
      </c>
      <c r="AE98" s="902">
        <f t="shared" si="1043"/>
        <v>-3.767245</v>
      </c>
      <c r="AF98" s="902">
        <f t="shared" si="1043"/>
        <v>-5.2655999999999814E-2</v>
      </c>
      <c r="AG98" s="902">
        <f t="shared" si="1043"/>
        <v>2.3552059999999999</v>
      </c>
      <c r="AH98" s="902">
        <f t="shared" si="1043"/>
        <v>4.3346630000000017</v>
      </c>
      <c r="AI98" s="902">
        <f t="shared" si="1043"/>
        <v>4.9348339999999986</v>
      </c>
      <c r="AJ98" s="902">
        <f t="shared" si="1043"/>
        <v>6.4526689999999975</v>
      </c>
      <c r="AK98" s="902">
        <f t="shared" si="1043"/>
        <v>-2.5907560000000003</v>
      </c>
      <c r="AL98" s="902">
        <f t="shared" si="1043"/>
        <v>5.7069229999999962</v>
      </c>
      <c r="AM98" s="902">
        <f t="shared" si="1043"/>
        <v>14.56</v>
      </c>
      <c r="AN98" s="902">
        <f t="shared" si="1043"/>
        <v>33.521000000000001</v>
      </c>
      <c r="AO98" s="902">
        <f>AO101+AO89</f>
        <v>44.905999999999999</v>
      </c>
      <c r="AP98" s="902">
        <f t="shared" si="1043"/>
        <v>28.198999999999998</v>
      </c>
      <c r="AQ98" s="902">
        <f t="shared" ref="AQ98:AR98" si="1044">AQ101+AQ89</f>
        <v>39.51</v>
      </c>
      <c r="AR98" s="902">
        <f t="shared" si="1044"/>
        <v>55.966999999999999</v>
      </c>
      <c r="AS98" s="902">
        <f t="shared" ref="AS98:AV98" si="1045">AS101+AS89</f>
        <v>62.33000000000002</v>
      </c>
      <c r="AT98" s="902">
        <f t="shared" si="1045"/>
        <v>53.015000000000001</v>
      </c>
      <c r="AU98" s="902">
        <f t="shared" si="1045"/>
        <v>82.371999999999986</v>
      </c>
      <c r="AV98" s="902">
        <f t="shared" si="1045"/>
        <v>75.798000000000002</v>
      </c>
      <c r="AW98" s="902">
        <f t="shared" ref="AW98:AX98" si="1046">AW101+AW89</f>
        <v>98.513000000000019</v>
      </c>
      <c r="AX98" s="906">
        <f t="shared" si="1046"/>
        <v>106.104</v>
      </c>
      <c r="AY98" s="902">
        <f t="shared" ref="AY98" si="1047">AY101+AY89</f>
        <v>102.84857707698103</v>
      </c>
      <c r="AZ98" s="902"/>
      <c r="BA98" s="903"/>
      <c r="BB98" s="910" t="s">
        <v>52</v>
      </c>
      <c r="BC98" s="911" t="s">
        <v>52</v>
      </c>
      <c r="BD98" s="912">
        <f>(AO98/AJ98)^(1/5)-1</f>
        <v>0.47405265328402746</v>
      </c>
      <c r="BE98" s="913" t="s">
        <v>52</v>
      </c>
      <c r="BF98" s="912" t="s">
        <v>52</v>
      </c>
    </row>
    <row r="99" spans="1:58" ht="14.5" x14ac:dyDescent="0.35">
      <c r="A99" s="759"/>
      <c r="B99" s="759"/>
      <c r="C99" s="943"/>
      <c r="D99" s="943"/>
      <c r="E99" s="943"/>
      <c r="F99" s="943"/>
      <c r="G99" s="949"/>
      <c r="H99" s="953"/>
      <c r="I99" s="943"/>
      <c r="J99" s="953"/>
      <c r="K99" s="901"/>
      <c r="L99" s="953"/>
      <c r="M99" s="901"/>
      <c r="N99" s="953"/>
      <c r="O99" s="901"/>
      <c r="P99" s="953"/>
      <c r="Q99" s="901"/>
      <c r="R99" s="953"/>
      <c r="S99" s="901"/>
      <c r="T99" s="901"/>
      <c r="U99" s="952"/>
      <c r="V99" s="1438"/>
      <c r="W99" s="901"/>
      <c r="X99" s="901"/>
      <c r="Y99" s="759"/>
      <c r="Z99" s="946"/>
      <c r="AA99" s="948"/>
      <c r="AB99" s="948"/>
      <c r="AC99" s="948"/>
      <c r="AD99" s="948"/>
      <c r="AE99" s="949"/>
      <c r="AF99" s="943"/>
      <c r="AG99" s="943"/>
      <c r="AH99" s="943"/>
      <c r="AI99" s="943"/>
      <c r="AJ99" s="943"/>
      <c r="AK99" s="943"/>
      <c r="AL99" s="943"/>
      <c r="AM99" s="943"/>
      <c r="AN99" s="943"/>
      <c r="AO99" s="943"/>
      <c r="AP99" s="943"/>
      <c r="AQ99" s="943"/>
      <c r="AR99" s="901"/>
      <c r="AS99" s="901"/>
      <c r="AT99" s="901"/>
      <c r="AU99" s="901"/>
      <c r="AV99" s="901"/>
      <c r="AW99" s="916"/>
      <c r="AX99" s="947"/>
      <c r="AY99" s="943"/>
      <c r="AZ99" s="943"/>
      <c r="BA99" s="759"/>
      <c r="BB99" s="895"/>
      <c r="BC99" s="896"/>
      <c r="BD99" s="897"/>
      <c r="BE99" s="898"/>
      <c r="BF99" s="897"/>
    </row>
    <row r="100" spans="1:58" x14ac:dyDescent="0.3">
      <c r="A100" s="890" t="s">
        <v>168</v>
      </c>
      <c r="B100" s="759"/>
      <c r="C100" s="943"/>
      <c r="D100" s="943"/>
      <c r="E100" s="943"/>
      <c r="F100" s="943"/>
      <c r="G100" s="949"/>
      <c r="H100" s="946"/>
      <c r="I100" s="943"/>
      <c r="J100" s="946"/>
      <c r="K100" s="943"/>
      <c r="L100" s="946"/>
      <c r="M100" s="943"/>
      <c r="N100" s="946"/>
      <c r="O100" s="943"/>
      <c r="P100" s="946"/>
      <c r="Q100" s="943"/>
      <c r="R100" s="946"/>
      <c r="S100" s="943"/>
      <c r="T100" s="943"/>
      <c r="U100" s="949"/>
      <c r="V100" s="947"/>
      <c r="W100" s="943"/>
      <c r="X100" s="943"/>
      <c r="Y100" s="759"/>
      <c r="Z100" s="946"/>
      <c r="AA100" s="948"/>
      <c r="AB100" s="948"/>
      <c r="AC100" s="948"/>
      <c r="AD100" s="948"/>
      <c r="AE100" s="949"/>
      <c r="AF100" s="943"/>
      <c r="AG100" s="943"/>
      <c r="AH100" s="943"/>
      <c r="AI100" s="943"/>
      <c r="AJ100" s="943"/>
      <c r="AK100" s="943"/>
      <c r="AL100" s="943"/>
      <c r="AM100" s="943"/>
      <c r="AN100" s="943"/>
      <c r="AO100" s="943"/>
      <c r="AP100" s="943"/>
      <c r="AQ100" s="943"/>
      <c r="AR100" s="943"/>
      <c r="AS100" s="943"/>
      <c r="AT100" s="943"/>
      <c r="AU100" s="943"/>
      <c r="AV100" s="943"/>
      <c r="AW100" s="943"/>
      <c r="AX100" s="947"/>
      <c r="AY100" s="943"/>
      <c r="AZ100" s="943"/>
      <c r="BA100" s="759"/>
      <c r="BB100" s="895"/>
      <c r="BC100" s="896"/>
      <c r="BD100" s="897"/>
      <c r="BE100" s="898"/>
      <c r="BF100" s="897"/>
    </row>
    <row r="101" spans="1:58" x14ac:dyDescent="0.3">
      <c r="A101" s="759" t="s">
        <v>169</v>
      </c>
      <c r="B101" s="759"/>
      <c r="C101" s="943">
        <f>CapIQ!U197</f>
        <v>9.5549999999999997</v>
      </c>
      <c r="D101" s="943">
        <f>CapIQ!V197</f>
        <v>37.856000000000002</v>
      </c>
      <c r="E101" s="943">
        <f>CapIQ!W197</f>
        <v>18.497</v>
      </c>
      <c r="F101" s="992">
        <f>'Disclosed financials'!F397</f>
        <v>11.428000000000001</v>
      </c>
      <c r="G101" s="949">
        <f>'Disclosed financials'!G397</f>
        <v>20.12</v>
      </c>
      <c r="H101" s="993">
        <f>'Disclosed financials'!H397</f>
        <v>20.851000000000006</v>
      </c>
      <c r="I101" s="943">
        <f>'Disclosed financials'!I397</f>
        <v>20.591999999999999</v>
      </c>
      <c r="J101" s="993">
        <f>'Disclosed financials'!J397</f>
        <v>36.45900000000001</v>
      </c>
      <c r="K101" s="992">
        <f>'Disclosed financials'!K397</f>
        <v>28.463000000000008</v>
      </c>
      <c r="L101" s="993">
        <f>'Disclosed financials'!L397</f>
        <v>36.196000000000019</v>
      </c>
      <c r="M101" s="992">
        <f>'Disclosed financials'!M397</f>
        <v>24.962000000000003</v>
      </c>
      <c r="N101" s="993">
        <f>'Disclosed financials'!N397</f>
        <v>39.207999999999998</v>
      </c>
      <c r="O101" s="992">
        <f>'Disclosed financials'!O397</f>
        <v>44.075999999999986</v>
      </c>
      <c r="P101" s="993">
        <f>'Disclosed financials'!P397</f>
        <v>47.175999999999988</v>
      </c>
      <c r="Q101" s="992">
        <f>'Disclosed financials'!Q397</f>
        <v>46.168000000000006</v>
      </c>
      <c r="R101" s="993">
        <f>'Disclosed financials'!R397</f>
        <v>37.47600000000002</v>
      </c>
      <c r="S101" s="992">
        <f>'Disclosed financials'!S397</f>
        <v>61.118000000000002</v>
      </c>
      <c r="T101" s="992">
        <f>'Disclosed financials'!T397</f>
        <v>43.684000000000019</v>
      </c>
      <c r="U101" s="995">
        <f>'Disclosed financials'!U397</f>
        <v>51.197999999999986</v>
      </c>
      <c r="V101" s="1441">
        <f>'Disclosed financials'!V397</f>
        <v>64.410000000000025</v>
      </c>
      <c r="W101" s="907">
        <f t="shared" ref="W101:X101" si="1048">+W98-W89</f>
        <v>52.892951476981018</v>
      </c>
      <c r="X101" s="907">
        <f t="shared" si="1048"/>
        <v>60.600105600000013</v>
      </c>
      <c r="Y101" s="908"/>
      <c r="Z101" s="947">
        <f>'Disclosed financials'!AE397</f>
        <v>-0.88367300000000015</v>
      </c>
      <c r="AA101" s="994">
        <f>'Disclosed financials'!AF397</f>
        <v>0.35515800000000014</v>
      </c>
      <c r="AB101" s="994">
        <f>'Disclosed financials'!AG397</f>
        <v>-0.96362799999999926</v>
      </c>
      <c r="AC101" s="994">
        <f>'Disclosed financials'!AH397</f>
        <v>4.8809289999999992</v>
      </c>
      <c r="AD101" s="994">
        <f>'Disclosed financials'!AI397</f>
        <v>-0.66465499999999977</v>
      </c>
      <c r="AE101" s="949">
        <f>'Disclosed financials'!AJ397</f>
        <v>-3.5072749999999999</v>
      </c>
      <c r="AF101" s="943">
        <f>'Disclosed financials'!AK397</f>
        <v>5.1696000000000186E-2</v>
      </c>
      <c r="AG101" s="943">
        <f>'Disclosed financials'!AL397</f>
        <v>2.5019749999999998</v>
      </c>
      <c r="AH101" s="943">
        <f>'Disclosed financials'!AM397</f>
        <v>4.5644050000000016</v>
      </c>
      <c r="AI101" s="943">
        <f>'Disclosed financials'!AN397</f>
        <v>5.097370999999999</v>
      </c>
      <c r="AJ101" s="943">
        <f>'Disclosed financials'!AO397</f>
        <v>6.6843379999999977</v>
      </c>
      <c r="AK101" s="943">
        <f>'Disclosed financials'!AP397</f>
        <v>-2.0147350000000004</v>
      </c>
      <c r="AL101" s="943">
        <f>'Disclosed financials'!AQ397</f>
        <v>10.206941999999996</v>
      </c>
      <c r="AM101" s="943">
        <f>'Disclosed financials'!AR397</f>
        <v>17.657</v>
      </c>
      <c r="AN101" s="943">
        <f>'Disclosed financials'!AS397</f>
        <v>35.673000000000002</v>
      </c>
      <c r="AO101" s="943">
        <f>'Disclosed financials'!AT397</f>
        <v>47.411000000000001</v>
      </c>
      <c r="AP101" s="943">
        <f>'Disclosed financials'!AU397</f>
        <v>29.924999999999997</v>
      </c>
      <c r="AQ101" s="943">
        <f>'Disclosed financials'!AV397</f>
        <v>40.970999999999997</v>
      </c>
      <c r="AR101" s="992">
        <f>'Disclosed financials'!AW397</f>
        <v>57.051000000000002</v>
      </c>
      <c r="AS101" s="992">
        <f>'Disclosed financials'!AX397</f>
        <v>64.65900000000002</v>
      </c>
      <c r="AT101" s="992">
        <f>'Disclosed financials'!AY397</f>
        <v>64.17</v>
      </c>
      <c r="AU101" s="992">
        <f>'Disclosed financials'!AZ397</f>
        <v>91.251999999999981</v>
      </c>
      <c r="AV101" s="992">
        <f>'Disclosed financials'!BA397</f>
        <v>83.644000000000005</v>
      </c>
      <c r="AW101" s="943">
        <f>SUM(S101:T101)</f>
        <v>104.80200000000002</v>
      </c>
      <c r="AX101" s="947">
        <f>SUM(U101:V101)</f>
        <v>115.608</v>
      </c>
      <c r="AY101" s="943">
        <f>+SUM(W101:X101)</f>
        <v>113.49305707698103</v>
      </c>
      <c r="AZ101" s="943"/>
      <c r="BA101" s="759"/>
      <c r="BB101" s="895"/>
      <c r="BC101" s="896"/>
      <c r="BD101" s="897"/>
      <c r="BE101" s="898"/>
      <c r="BF101" s="897"/>
    </row>
    <row r="102" spans="1:58" x14ac:dyDescent="0.3">
      <c r="A102" s="759" t="s">
        <v>170</v>
      </c>
      <c r="B102" s="992"/>
      <c r="C102" s="992">
        <f>CapIQ!U230</f>
        <v>3.964</v>
      </c>
      <c r="D102" s="992">
        <f>CapIQ!V230</f>
        <v>3.355</v>
      </c>
      <c r="E102" s="992">
        <f>CapIQ!W230</f>
        <v>4.2560000000000002</v>
      </c>
      <c r="F102" s="992">
        <f>AP102-E102</f>
        <v>3.6440000000000001</v>
      </c>
      <c r="G102" s="995">
        <f>+'Disclosed financials'!G396*-1</f>
        <v>4.4329999999999998</v>
      </c>
      <c r="H102" s="993">
        <f>+'Disclosed financials'!H396*-1</f>
        <v>4.8209999999999997</v>
      </c>
      <c r="I102" s="992">
        <f>+'Disclosed financials'!I396*-1</f>
        <v>4.9000000000000004</v>
      </c>
      <c r="J102" s="993">
        <f>+'Disclosed financials'!J396*-1</f>
        <v>5.6</v>
      </c>
      <c r="K102" s="992">
        <f>+'Disclosed financials'!K396*-1</f>
        <v>7.8689999999999998</v>
      </c>
      <c r="L102" s="993">
        <f>+'Disclosed financials'!L396*-1</f>
        <v>7.6769999999999996</v>
      </c>
      <c r="M102" s="992">
        <f>+'Disclosed financials'!M396*-1</f>
        <v>17.47</v>
      </c>
      <c r="N102" s="993">
        <f>+'Disclosed financials'!N396*-1</f>
        <v>9.647000000000002</v>
      </c>
      <c r="O102" s="992">
        <f>+'Disclosed financials'!O396*-1</f>
        <v>9.8629999999999995</v>
      </c>
      <c r="P102" s="993">
        <f>+'Disclosed financials'!P396*-1</f>
        <v>12.682000000000002</v>
      </c>
      <c r="Q102" s="992">
        <f>+'Disclosed financials'!Q396*-1</f>
        <v>11.154999999999999</v>
      </c>
      <c r="R102" s="993">
        <f>+'Disclosed financials'!R396*-1</f>
        <v>14.189000000000002</v>
      </c>
      <c r="S102" s="992">
        <f>+'Disclosed financials'!S396*-1</f>
        <v>14.6</v>
      </c>
      <c r="T102" s="992">
        <f>+'Disclosed financials'!T396*-1</f>
        <v>15.193</v>
      </c>
      <c r="U102" s="995">
        <f>+'Disclosed financials'!U396*-1</f>
        <v>19.082000000000001</v>
      </c>
      <c r="V102" s="1441">
        <f>+'Disclosed financials'!V396*-1</f>
        <v>20.143999999999998</v>
      </c>
      <c r="W102" s="992"/>
      <c r="X102" s="992"/>
      <c r="Y102" s="992"/>
      <c r="Z102" s="1163">
        <f>CapIQ!B230</f>
        <v>3.8838999999999999E-2</v>
      </c>
      <c r="AA102" s="996">
        <f>CapIQ!C230</f>
        <v>0.307448</v>
      </c>
      <c r="AB102" s="996">
        <f>CapIQ!D230</f>
        <v>0.23452600000000001</v>
      </c>
      <c r="AC102" s="996">
        <f>CapIQ!E230</f>
        <v>0.45753300000000002</v>
      </c>
      <c r="AD102" s="996">
        <f>CapIQ!F230</f>
        <v>0.55442199999999997</v>
      </c>
      <c r="AE102" s="997">
        <f>CapIQ!G230</f>
        <v>0.64238399999999996</v>
      </c>
      <c r="AF102" s="998">
        <f>CapIQ!H230</f>
        <v>0.36492000000000002</v>
      </c>
      <c r="AG102" s="998">
        <f>CapIQ!I230</f>
        <v>1.2982739999999999</v>
      </c>
      <c r="AH102" s="998">
        <f>CapIQ!J230</f>
        <v>1.9607619999999999</v>
      </c>
      <c r="AI102" s="998">
        <f>CapIQ!K230</f>
        <v>2.4755760000000002</v>
      </c>
      <c r="AJ102" s="998">
        <f>CapIQ!L230</f>
        <v>2.2563430000000002</v>
      </c>
      <c r="AK102" s="998">
        <f>CapIQ!M230</f>
        <v>3.4732370000000001</v>
      </c>
      <c r="AL102" s="998">
        <f>CapIQ!N230</f>
        <v>4.3898060000000001</v>
      </c>
      <c r="AM102" s="998">
        <f>CapIQ!O230</f>
        <v>5.2</v>
      </c>
      <c r="AN102" s="998">
        <f>CapIQ!P230</f>
        <v>10.345000000000001</v>
      </c>
      <c r="AO102" s="998">
        <f>CapIQ!Q230</f>
        <v>7.319</v>
      </c>
      <c r="AP102" s="998">
        <v>7.9</v>
      </c>
      <c r="AQ102" s="998">
        <f>SUM(G102:H102)</f>
        <v>9.2539999999999996</v>
      </c>
      <c r="AR102" s="992">
        <f>+'Disclosed financials'!AW396*-1</f>
        <v>10.5</v>
      </c>
      <c r="AS102" s="992">
        <f>+'Disclosed financials'!AX396*-1</f>
        <v>15.545999999999999</v>
      </c>
      <c r="AT102" s="992">
        <f>+'Disclosed financials'!AY396*-1</f>
        <v>27.117000000000001</v>
      </c>
      <c r="AU102" s="992">
        <f>+'Disclosed financials'!AZ396*-1</f>
        <v>22.545000000000002</v>
      </c>
      <c r="AV102" s="992">
        <f>+'Disclosed financials'!BA396*-1</f>
        <v>25.344000000000001</v>
      </c>
      <c r="AW102" s="943">
        <f t="shared" ref="AW102:AW106" si="1049">SUM(S102:T102)</f>
        <v>29.792999999999999</v>
      </c>
      <c r="AX102" s="947">
        <f t="shared" ref="AX102:AX106" si="1050">SUM(U102:V102)</f>
        <v>39.225999999999999</v>
      </c>
      <c r="AY102" s="943"/>
      <c r="AZ102" s="943"/>
      <c r="BA102" s="992"/>
      <c r="BB102" s="999"/>
      <c r="BC102" s="1000"/>
      <c r="BD102" s="1001"/>
      <c r="BE102" s="1002"/>
      <c r="BF102" s="1001"/>
    </row>
    <row r="103" spans="1:58" x14ac:dyDescent="0.3">
      <c r="A103" s="759" t="s">
        <v>171</v>
      </c>
      <c r="B103" s="759"/>
      <c r="C103" s="943">
        <f>CapIQ!U201</f>
        <v>0</v>
      </c>
      <c r="D103" s="943">
        <f>CapIQ!V201</f>
        <v>0</v>
      </c>
      <c r="E103" s="943">
        <f>CapIQ!W201</f>
        <v>0</v>
      </c>
      <c r="F103" s="943">
        <v>0</v>
      </c>
      <c r="G103" s="949">
        <v>0</v>
      </c>
      <c r="H103" s="946">
        <v>0</v>
      </c>
      <c r="I103" s="943">
        <v>0</v>
      </c>
      <c r="J103" s="946">
        <v>0</v>
      </c>
      <c r="K103" s="943">
        <v>0</v>
      </c>
      <c r="L103" s="946">
        <v>0</v>
      </c>
      <c r="M103" s="943">
        <v>0</v>
      </c>
      <c r="N103" s="946">
        <v>0</v>
      </c>
      <c r="O103" s="943">
        <v>0</v>
      </c>
      <c r="P103" s="946">
        <v>0</v>
      </c>
      <c r="Q103" s="943">
        <v>0</v>
      </c>
      <c r="R103" s="946">
        <v>0</v>
      </c>
      <c r="S103" s="943">
        <v>0</v>
      </c>
      <c r="T103" s="943">
        <v>0</v>
      </c>
      <c r="U103" s="949">
        <v>0</v>
      </c>
      <c r="V103" s="947">
        <v>0</v>
      </c>
      <c r="W103" s="943"/>
      <c r="X103" s="943"/>
      <c r="Y103" s="759"/>
      <c r="Z103" s="946">
        <f>CapIQ!B201</f>
        <v>0</v>
      </c>
      <c r="AA103" s="948">
        <f>CapIQ!C201</f>
        <v>0</v>
      </c>
      <c r="AB103" s="948">
        <f>CapIQ!D201</f>
        <v>-0.1</v>
      </c>
      <c r="AC103" s="948">
        <f>CapIQ!E201</f>
        <v>0</v>
      </c>
      <c r="AD103" s="948">
        <f>CapIQ!F201</f>
        <v>0</v>
      </c>
      <c r="AE103" s="949">
        <f>CapIQ!G201</f>
        <v>0</v>
      </c>
      <c r="AF103" s="943">
        <f>CapIQ!H201</f>
        <v>0</v>
      </c>
      <c r="AG103" s="943">
        <f>CapIQ!I201</f>
        <v>0</v>
      </c>
      <c r="AH103" s="943">
        <f>CapIQ!J201</f>
        <v>0</v>
      </c>
      <c r="AI103" s="943">
        <f>CapIQ!K201</f>
        <v>0</v>
      </c>
      <c r="AJ103" s="943">
        <f>CapIQ!L201</f>
        <v>0</v>
      </c>
      <c r="AK103" s="943">
        <f>CapIQ!M201</f>
        <v>0</v>
      </c>
      <c r="AL103" s="943">
        <f>CapIQ!N201</f>
        <v>0</v>
      </c>
      <c r="AM103" s="943">
        <f>CapIQ!O201</f>
        <v>0</v>
      </c>
      <c r="AN103" s="943">
        <f>CapIQ!P201</f>
        <v>0</v>
      </c>
      <c r="AO103" s="943">
        <f>CapIQ!Q201</f>
        <v>0</v>
      </c>
      <c r="AP103" s="943">
        <v>0</v>
      </c>
      <c r="AQ103" s="943">
        <v>0</v>
      </c>
      <c r="AR103" s="943">
        <v>0</v>
      </c>
      <c r="AS103" s="943">
        <v>0</v>
      </c>
      <c r="AT103" s="943">
        <v>0</v>
      </c>
      <c r="AU103" s="943">
        <v>0</v>
      </c>
      <c r="AV103" s="943">
        <v>0</v>
      </c>
      <c r="AW103" s="943">
        <f t="shared" si="1049"/>
        <v>0</v>
      </c>
      <c r="AX103" s="947">
        <f t="shared" si="1050"/>
        <v>0</v>
      </c>
      <c r="AY103" s="943"/>
      <c r="AZ103" s="943"/>
      <c r="BA103" s="759"/>
      <c r="BB103" s="895"/>
      <c r="BC103" s="896"/>
      <c r="BD103" s="897"/>
      <c r="BE103" s="898"/>
      <c r="BF103" s="897"/>
    </row>
    <row r="104" spans="1:58" x14ac:dyDescent="0.3">
      <c r="A104" s="759" t="s">
        <v>172</v>
      </c>
      <c r="B104" s="759"/>
      <c r="C104" s="943">
        <f>CapIQ!U202</f>
        <v>0</v>
      </c>
      <c r="D104" s="943">
        <f>CapIQ!V202</f>
        <v>0</v>
      </c>
      <c r="E104" s="943">
        <f>CapIQ!W202</f>
        <v>0</v>
      </c>
      <c r="F104" s="943">
        <v>0</v>
      </c>
      <c r="G104" s="949">
        <v>0</v>
      </c>
      <c r="H104" s="946">
        <v>0</v>
      </c>
      <c r="I104" s="943">
        <v>0</v>
      </c>
      <c r="J104" s="946">
        <v>0</v>
      </c>
      <c r="K104" s="943">
        <v>0</v>
      </c>
      <c r="L104" s="946">
        <v>0</v>
      </c>
      <c r="M104" s="943">
        <v>0</v>
      </c>
      <c r="N104" s="946">
        <v>0</v>
      </c>
      <c r="O104" s="943">
        <v>0</v>
      </c>
      <c r="P104" s="946">
        <v>0</v>
      </c>
      <c r="Q104" s="943">
        <v>0</v>
      </c>
      <c r="R104" s="946">
        <v>0</v>
      </c>
      <c r="S104" s="943">
        <v>0</v>
      </c>
      <c r="T104" s="943">
        <v>0</v>
      </c>
      <c r="U104" s="949">
        <v>0</v>
      </c>
      <c r="V104" s="947">
        <v>0</v>
      </c>
      <c r="W104" s="943"/>
      <c r="X104" s="943"/>
      <c r="Y104" s="759"/>
      <c r="Z104" s="946">
        <f>CapIQ!B202</f>
        <v>0</v>
      </c>
      <c r="AA104" s="948">
        <f>CapIQ!C202</f>
        <v>0</v>
      </c>
      <c r="AB104" s="948">
        <f>CapIQ!D202</f>
        <v>1.001E-2</v>
      </c>
      <c r="AC104" s="948">
        <f>CapIQ!E202</f>
        <v>0</v>
      </c>
      <c r="AD104" s="948">
        <f>CapIQ!F202</f>
        <v>0</v>
      </c>
      <c r="AE104" s="949">
        <f>CapIQ!G202</f>
        <v>0</v>
      </c>
      <c r="AF104" s="943">
        <f>CapIQ!H202</f>
        <v>0</v>
      </c>
      <c r="AG104" s="943">
        <f>CapIQ!I202</f>
        <v>0</v>
      </c>
      <c r="AH104" s="943">
        <f>CapIQ!J202</f>
        <v>0</v>
      </c>
      <c r="AI104" s="943">
        <f>CapIQ!K202</f>
        <v>0</v>
      </c>
      <c r="AJ104" s="943">
        <f>CapIQ!L202</f>
        <v>0</v>
      </c>
      <c r="AK104" s="943">
        <f>CapIQ!M202</f>
        <v>0</v>
      </c>
      <c r="AL104" s="943">
        <f>CapIQ!N202</f>
        <v>0</v>
      </c>
      <c r="AM104" s="943">
        <f>CapIQ!O202</f>
        <v>0</v>
      </c>
      <c r="AN104" s="943">
        <f>CapIQ!P202</f>
        <v>0</v>
      </c>
      <c r="AO104" s="943">
        <f>CapIQ!Q202</f>
        <v>0</v>
      </c>
      <c r="AP104" s="943">
        <v>0</v>
      </c>
      <c r="AQ104" s="943">
        <v>0</v>
      </c>
      <c r="AR104" s="943">
        <v>0</v>
      </c>
      <c r="AS104" s="943">
        <v>0</v>
      </c>
      <c r="AT104" s="943">
        <v>0</v>
      </c>
      <c r="AU104" s="943">
        <v>0</v>
      </c>
      <c r="AV104" s="943">
        <v>0</v>
      </c>
      <c r="AW104" s="943">
        <f t="shared" si="1049"/>
        <v>0</v>
      </c>
      <c r="AX104" s="947">
        <f t="shared" si="1050"/>
        <v>0</v>
      </c>
      <c r="AY104" s="943"/>
      <c r="AZ104" s="943"/>
      <c r="BA104" s="759"/>
      <c r="BB104" s="895"/>
      <c r="BC104" s="896"/>
      <c r="BD104" s="897"/>
      <c r="BE104" s="898"/>
      <c r="BF104" s="897"/>
    </row>
    <row r="105" spans="1:58" x14ac:dyDescent="0.3">
      <c r="A105" s="759" t="s">
        <v>173</v>
      </c>
      <c r="B105" s="759"/>
      <c r="C105" s="943">
        <f>SUM(CapIQ!U220:U222)*-1</f>
        <v>7.3</v>
      </c>
      <c r="D105" s="943">
        <f>SUM(CapIQ!V220:V222)*-1</f>
        <v>0</v>
      </c>
      <c r="E105" s="943">
        <f>SUM(CapIQ!W220:W222)*-1</f>
        <v>40.1</v>
      </c>
      <c r="F105" s="943">
        <f>'Disclosed financials'!F412*-1</f>
        <v>3.355000000000004</v>
      </c>
      <c r="G105" s="949">
        <f>'Disclosed financials'!G412*-1</f>
        <v>35.173999999999999</v>
      </c>
      <c r="H105" s="946">
        <f>'Disclosed financials'!H412*-1</f>
        <v>5.730000000000004</v>
      </c>
      <c r="I105" s="943">
        <f>'Disclosed financials'!I412*-1</f>
        <v>38.79</v>
      </c>
      <c r="J105" s="946">
        <f>'Disclosed financials'!J412*-1</f>
        <v>6.5309999999999988</v>
      </c>
      <c r="K105" s="943">
        <f>'Disclosed financials'!K412*-1</f>
        <v>47.31</v>
      </c>
      <c r="L105" s="946">
        <f>'Disclosed financials'!L412*-1</f>
        <v>8.9209999999999994</v>
      </c>
      <c r="M105" s="943">
        <f>'Disclosed financials'!M412*-1</f>
        <v>52.338000000000001</v>
      </c>
      <c r="N105" s="946">
        <f>'Disclosed financials'!N412*-1</f>
        <v>0</v>
      </c>
      <c r="O105" s="943">
        <f>'Disclosed financials'!O412*-1</f>
        <v>48.081000000000003</v>
      </c>
      <c r="P105" s="946">
        <f>'Disclosed financials'!P412*-1</f>
        <v>12.733999999999995</v>
      </c>
      <c r="Q105" s="943">
        <f>'Disclosed financials'!Q412*-1</f>
        <v>69.468999999999994</v>
      </c>
      <c r="R105" s="946">
        <f>'Disclosed financials'!R412*-1</f>
        <v>14.551000000000002</v>
      </c>
      <c r="S105" s="943">
        <f>'Disclosed financials'!S412*-1</f>
        <v>58.22</v>
      </c>
      <c r="T105" s="943">
        <f>'Disclosed financials'!T412*-1</f>
        <v>15.954999999999998</v>
      </c>
      <c r="U105" s="949">
        <f>'Disclosed financials'!U412*-1</f>
        <v>59.069000000000003</v>
      </c>
      <c r="V105" s="947">
        <f>'Disclosed financials'!V412*-1</f>
        <v>16.978999999999999</v>
      </c>
      <c r="W105" s="943"/>
      <c r="X105" s="943"/>
      <c r="Y105" s="759"/>
      <c r="Z105" s="946">
        <f>SUM(CapIQ!B220:B222)*-1</f>
        <v>0</v>
      </c>
      <c r="AA105" s="948">
        <f>SUM(CapIQ!C220:C222)*-1</f>
        <v>0</v>
      </c>
      <c r="AB105" s="948">
        <f>SUM(CapIQ!D220:D222)*-1</f>
        <v>0.2</v>
      </c>
      <c r="AC105" s="948">
        <f>SUM(CapIQ!E220:E222)*-1</f>
        <v>0</v>
      </c>
      <c r="AD105" s="948">
        <f>SUM(CapIQ!F220:F222)*-1</f>
        <v>0</v>
      </c>
      <c r="AE105" s="949">
        <f>SUM(CapIQ!G220:G222)*-1</f>
        <v>0</v>
      </c>
      <c r="AF105" s="943">
        <f>SUM(CapIQ!H220:H222)*-1</f>
        <v>0</v>
      </c>
      <c r="AG105" s="943">
        <f>SUM(CapIQ!I220:I222)*-1</f>
        <v>0</v>
      </c>
      <c r="AH105" s="943">
        <f>SUM(CapIQ!J220:J222)*-1</f>
        <v>0</v>
      </c>
      <c r="AI105" s="943">
        <f>SUM(CapIQ!K220:K222)*-1</f>
        <v>0.1</v>
      </c>
      <c r="AJ105" s="943">
        <f>SUM(CapIQ!L220:L222)*-1</f>
        <v>9</v>
      </c>
      <c r="AK105" s="943">
        <f>SUM(CapIQ!M220:M222)*-1</f>
        <v>0</v>
      </c>
      <c r="AL105" s="943">
        <f>SUM(CapIQ!N220:N222)*-1</f>
        <v>2.1</v>
      </c>
      <c r="AM105" s="943">
        <f>SUM(CapIQ!O220:O222)*-1</f>
        <v>17.3</v>
      </c>
      <c r="AN105" s="943">
        <f>SUM(CapIQ!P220:P222)*-1</f>
        <v>4.8</v>
      </c>
      <c r="AO105" s="943">
        <f>SUM(CapIQ!Q220:Q222)*-1</f>
        <v>7.3</v>
      </c>
      <c r="AP105" s="943">
        <f>SUM(E105:F105)</f>
        <v>43.455000000000005</v>
      </c>
      <c r="AQ105" s="943">
        <f>SUM(G105:H105)</f>
        <v>40.904000000000003</v>
      </c>
      <c r="AR105" s="943">
        <f>'Disclosed financials'!AW412*-1</f>
        <v>45.320999999999998</v>
      </c>
      <c r="AS105" s="943">
        <f>'Disclosed financials'!AX412*-1</f>
        <v>56.231000000000002</v>
      </c>
      <c r="AT105" s="943">
        <f>'Disclosed financials'!AY412*-1</f>
        <v>52.338000000000001</v>
      </c>
      <c r="AU105" s="943">
        <f>'Disclosed financials'!AZ412*-1</f>
        <v>60.814999999999998</v>
      </c>
      <c r="AV105" s="943">
        <f>'Disclosed financials'!BA412*-1</f>
        <v>84.02</v>
      </c>
      <c r="AW105" s="943">
        <f t="shared" si="1049"/>
        <v>74.174999999999997</v>
      </c>
      <c r="AX105" s="947">
        <f t="shared" si="1050"/>
        <v>76.048000000000002</v>
      </c>
      <c r="AY105" s="943"/>
      <c r="AZ105" s="943"/>
      <c r="BA105" s="759"/>
      <c r="BB105" s="895"/>
      <c r="BC105" s="896"/>
      <c r="BD105" s="897"/>
      <c r="BE105" s="898"/>
      <c r="BF105" s="897"/>
    </row>
    <row r="106" spans="1:58" x14ac:dyDescent="0.3">
      <c r="A106" s="759" t="s">
        <v>174</v>
      </c>
      <c r="B106" s="759"/>
      <c r="C106" s="943">
        <f>SUM(CapIQ!U216)*-1</f>
        <v>-1.2889999999999999</v>
      </c>
      <c r="D106" s="943">
        <f>SUM(CapIQ!V216)*-1</f>
        <v>-0.3640000000000001</v>
      </c>
      <c r="E106" s="943">
        <f>SUM(CapIQ!W216)*-1</f>
        <v>-2.7490000000000001</v>
      </c>
      <c r="F106" s="943">
        <v>0</v>
      </c>
      <c r="G106" s="949">
        <v>0</v>
      </c>
      <c r="H106" s="946">
        <v>0</v>
      </c>
      <c r="I106" s="943">
        <v>0</v>
      </c>
      <c r="J106" s="946">
        <f>+'Disclosed financials'!K409+'Disclosed financials'!K415</f>
        <v>0</v>
      </c>
      <c r="K106" s="943">
        <f>+'Disclosed financials'!L409+'Disclosed financials'!L415</f>
        <v>0</v>
      </c>
      <c r="L106" s="946">
        <f>+'Disclosed financials'!M409+'Disclosed financials'!M415</f>
        <v>0</v>
      </c>
      <c r="M106" s="943">
        <f>+'Disclosed financials'!N409+'Disclosed financials'!N415</f>
        <v>-1E-3</v>
      </c>
      <c r="N106" s="946">
        <f>+'Disclosed financials'!O409+'Disclosed financials'!O415</f>
        <v>0</v>
      </c>
      <c r="O106" s="943">
        <f>+'Disclosed financials'!P409+'Disclosed financials'!P415</f>
        <v>0</v>
      </c>
      <c r="P106" s="946">
        <f>+'Disclosed financials'!Q409+'Disclosed financials'!Q415</f>
        <v>0</v>
      </c>
      <c r="Q106" s="943">
        <f>+'Disclosed financials'!R409+'Disclosed financials'!R415</f>
        <v>0</v>
      </c>
      <c r="R106" s="946">
        <f>+'Disclosed financials'!S409+'Disclosed financials'!S415</f>
        <v>0</v>
      </c>
      <c r="S106" s="943">
        <f>+'Disclosed financials'!X409+'Disclosed financials'!X415</f>
        <v>0</v>
      </c>
      <c r="T106" s="943">
        <f>+'Disclosed financials'!Y409+'Disclosed financials'!Y415</f>
        <v>0</v>
      </c>
      <c r="U106" s="949">
        <f>+'Disclosed financials'!Z409+'Disclosed financials'!Z415</f>
        <v>0</v>
      </c>
      <c r="V106" s="947">
        <f>+'Disclosed financials'!AA409+'Disclosed financials'!AA415</f>
        <v>0</v>
      </c>
      <c r="W106" s="943"/>
      <c r="X106" s="943"/>
      <c r="Y106" s="759"/>
      <c r="Z106" s="946">
        <f>SUM(CapIQ!B216)*-1</f>
        <v>0</v>
      </c>
      <c r="AA106" s="948">
        <f>SUM(CapIQ!C216)*-1</f>
        <v>0</v>
      </c>
      <c r="AB106" s="948">
        <f>SUM(CapIQ!D216)*-1</f>
        <v>0</v>
      </c>
      <c r="AC106" s="948">
        <f>SUM(CapIQ!E216)*-1</f>
        <v>0</v>
      </c>
      <c r="AD106" s="948">
        <f>SUM(CapIQ!F216)*-1</f>
        <v>0</v>
      </c>
      <c r="AE106" s="949">
        <f>SUM(CapIQ!G216)*-1</f>
        <v>-5.8631000000000003E-2</v>
      </c>
      <c r="AF106" s="943">
        <f>SUM(CapIQ!H216)*-1</f>
        <v>-6.0700000000000001E-4</v>
      </c>
      <c r="AG106" s="943">
        <f>SUM(CapIQ!I216)*-1</f>
        <v>0</v>
      </c>
      <c r="AH106" s="943">
        <f>SUM(CapIQ!J216)*-1</f>
        <v>-1.36E-4</v>
      </c>
      <c r="AI106" s="943">
        <f>SUM(CapIQ!K216)*-1</f>
        <v>0</v>
      </c>
      <c r="AJ106" s="943">
        <f>SUM(CapIQ!L216)*-1</f>
        <v>-0.17061899999999999</v>
      </c>
      <c r="AK106" s="943">
        <f>SUM(CapIQ!M216)*-1</f>
        <v>0</v>
      </c>
      <c r="AL106" s="943">
        <f>SUM(CapIQ!N216)*-1</f>
        <v>-0.17371</v>
      </c>
      <c r="AM106" s="943">
        <f>SUM(CapIQ!O216)*-1</f>
        <v>0</v>
      </c>
      <c r="AN106" s="943">
        <f>SUM(CapIQ!P216)*-1</f>
        <v>-0.187</v>
      </c>
      <c r="AO106" s="943">
        <f>SUM(CapIQ!Q216)*-1</f>
        <v>-1.653</v>
      </c>
      <c r="AP106" s="943">
        <f>E106</f>
        <v>-2.7490000000000001</v>
      </c>
      <c r="AQ106" s="943">
        <f>SUM(G106:H106)</f>
        <v>0</v>
      </c>
      <c r="AR106" s="943">
        <f>+'Disclosed financials'!AX409+'Disclosed financials'!AX415</f>
        <v>0</v>
      </c>
      <c r="AS106" s="943">
        <f>+'Disclosed financials'!AY409+'Disclosed financials'!AY415</f>
        <v>-1E-3</v>
      </c>
      <c r="AT106" s="943">
        <f>+'Disclosed financials'!AZ409+'Disclosed financials'!AZ415</f>
        <v>0</v>
      </c>
      <c r="AU106" s="943">
        <f>+'Disclosed financials'!BA409+'Disclosed financials'!BA415</f>
        <v>0</v>
      </c>
      <c r="AV106" s="943">
        <f>+'Disclosed financials'!BB409+'Disclosed financials'!BB415</f>
        <v>0</v>
      </c>
      <c r="AW106" s="943">
        <f t="shared" si="1049"/>
        <v>0</v>
      </c>
      <c r="AX106" s="947">
        <f t="shared" si="1050"/>
        <v>0</v>
      </c>
      <c r="AY106" s="943"/>
      <c r="AZ106" s="943"/>
      <c r="BA106" s="759"/>
      <c r="BB106" s="895"/>
      <c r="BC106" s="896"/>
      <c r="BD106" s="897"/>
      <c r="BE106" s="898"/>
      <c r="BF106" s="897"/>
    </row>
    <row r="107" spans="1:58" ht="8.15" customHeight="1" x14ac:dyDescent="0.3">
      <c r="A107" s="759"/>
      <c r="B107" s="759"/>
      <c r="C107" s="759"/>
      <c r="D107" s="759"/>
      <c r="E107" s="759"/>
      <c r="F107" s="759"/>
      <c r="G107" s="1003"/>
      <c r="H107" s="1004"/>
      <c r="I107" s="759"/>
      <c r="J107" s="1004"/>
      <c r="K107" s="759"/>
      <c r="L107" s="1004"/>
      <c r="M107" s="759"/>
      <c r="N107" s="1004"/>
      <c r="O107" s="759"/>
      <c r="P107" s="1004"/>
      <c r="Q107" s="759"/>
      <c r="R107" s="1004"/>
      <c r="S107" s="759"/>
      <c r="T107" s="759"/>
      <c r="U107" s="1003"/>
      <c r="V107" s="1005"/>
      <c r="W107" s="759"/>
      <c r="X107" s="759"/>
      <c r="Y107" s="759"/>
      <c r="Z107" s="1004"/>
      <c r="AA107" s="1006"/>
      <c r="AB107" s="1006"/>
      <c r="AC107" s="1006"/>
      <c r="AD107" s="1006"/>
      <c r="AE107" s="1003"/>
      <c r="AF107" s="759"/>
      <c r="AG107" s="759"/>
      <c r="AH107" s="759"/>
      <c r="AI107" s="759"/>
      <c r="AJ107" s="759"/>
      <c r="AK107" s="759"/>
      <c r="AL107" s="759"/>
      <c r="AM107" s="759"/>
      <c r="AN107" s="759"/>
      <c r="AO107" s="759"/>
      <c r="AP107" s="759"/>
      <c r="AQ107" s="759"/>
      <c r="AR107" s="759"/>
      <c r="AS107" s="759"/>
      <c r="AT107" s="759"/>
      <c r="AU107" s="759"/>
      <c r="AV107" s="759"/>
      <c r="AW107" s="759"/>
      <c r="AX107" s="1005"/>
      <c r="AY107" s="759"/>
      <c r="AZ107" s="759"/>
      <c r="BA107" s="759"/>
      <c r="BB107" s="895"/>
      <c r="BC107" s="896"/>
      <c r="BD107" s="897"/>
      <c r="BE107" s="898"/>
      <c r="BF107" s="897"/>
    </row>
    <row r="108" spans="1:58" x14ac:dyDescent="0.3">
      <c r="A108" s="759" t="s">
        <v>66</v>
      </c>
      <c r="B108" s="759"/>
      <c r="C108" s="943"/>
      <c r="D108" s="943">
        <f>CapIQ!V167</f>
        <v>-74.599999999999994</v>
      </c>
      <c r="E108" s="943">
        <f>CapIQ!W167</f>
        <v>-54.9</v>
      </c>
      <c r="F108" s="943">
        <v>-62.4</v>
      </c>
      <c r="G108" s="949">
        <f>('Disclosed financials'!G312-'Disclosed financials'!G321)*-1</f>
        <v>-46.62</v>
      </c>
      <c r="H108" s="946">
        <f>('Disclosed financials'!H312-'Disclosed financials'!H321)*-1</f>
        <v>-61.643000000000001</v>
      </c>
      <c r="I108" s="943">
        <f>('Disclosed financials'!I312-'Disclosed financials'!I321)*-1</f>
        <v>-43.317999999999998</v>
      </c>
      <c r="J108" s="946">
        <f>('Disclosed financials'!J312-'Disclosed financials'!J321)*-1</f>
        <v>-72.831000000000003</v>
      </c>
      <c r="K108" s="943">
        <f>('Disclosed financials'!K312-'Disclosed financials'!K321)*-1</f>
        <v>-52.774000000000001</v>
      </c>
      <c r="L108" s="946">
        <f>('Disclosed financials'!L312-'Disclosed financials'!L321)*-1</f>
        <v>-79.263000000000005</v>
      </c>
      <c r="M108" s="943">
        <f>('Disclosed financials'!M312-'Disclosed financials'!M321)*-1</f>
        <v>-49.433</v>
      </c>
      <c r="N108" s="946">
        <f>('Disclosed financials'!N312-'Disclosed financials'!N321)*-1</f>
        <v>-80.138999999999996</v>
      </c>
      <c r="O108" s="943">
        <f>('Disclosed financials'!O312-'Disclosed financials'!O321)*-1</f>
        <v>-71.245000000000005</v>
      </c>
      <c r="P108" s="946">
        <f>('Disclosed financials'!P312-'Disclosed financials'!P321)*-1</f>
        <v>-101.724</v>
      </c>
      <c r="Q108" s="943">
        <f>('Disclosed financials'!Q312-'Disclosed financials'!Q321)*-1</f>
        <v>-74.283000000000001</v>
      </c>
      <c r="R108" s="946">
        <f>('Disclosed financials'!R312-'Disclosed financials'!R321)*-1</f>
        <v>-97.316000000000003</v>
      </c>
      <c r="S108" s="943">
        <f>('Disclosed financials'!S312-'Disclosed financials'!S321)*-1</f>
        <v>-97.721999999999994</v>
      </c>
      <c r="T108" s="943">
        <f>('Disclosed financials'!T312-'Disclosed financials'!T321)*-1</f>
        <v>-122.621</v>
      </c>
      <c r="U108" s="949">
        <f>('Disclosed financials'!U312-'Disclosed financials'!U321)*-1</f>
        <v>-112.455</v>
      </c>
      <c r="V108" s="947">
        <f>('Disclosed financials'!V312-'Disclosed financials'!V321)*-1</f>
        <v>-158.45400000000001</v>
      </c>
      <c r="W108" s="943">
        <f t="shared" ref="W108" si="1051">+V108-W98</f>
        <v>-206.92631147698103</v>
      </c>
      <c r="X108" s="943">
        <f t="shared" ref="X108" si="1052">+W108-X98</f>
        <v>-261.30257707698104</v>
      </c>
      <c r="Y108" s="759"/>
      <c r="Z108" s="946">
        <f>CapIQ!B167</f>
        <v>2.0070290000000002</v>
      </c>
      <c r="AA108" s="948">
        <f>CapIQ!C167</f>
        <v>2.00339</v>
      </c>
      <c r="AB108" s="948">
        <f>CapIQ!D167</f>
        <v>3.3874309999999999</v>
      </c>
      <c r="AC108" s="948">
        <f>CapIQ!E167</f>
        <v>-1.4</v>
      </c>
      <c r="AD108" s="948">
        <f>CapIQ!F167</f>
        <v>-1.8</v>
      </c>
      <c r="AE108" s="949">
        <f>CapIQ!G167</f>
        <v>1.7210270000000001</v>
      </c>
      <c r="AF108" s="943">
        <f>CapIQ!H167</f>
        <v>1.573423</v>
      </c>
      <c r="AG108" s="943">
        <f>CapIQ!I167</f>
        <v>-0.9</v>
      </c>
      <c r="AH108" s="943">
        <f>CapIQ!J167</f>
        <v>-5.6</v>
      </c>
      <c r="AI108" s="943">
        <f>CapIQ!K167</f>
        <v>-10.6</v>
      </c>
      <c r="AJ108" s="943">
        <f>CapIQ!L167</f>
        <v>-8.3000000000000007</v>
      </c>
      <c r="AK108" s="943">
        <f>CapIQ!M167</f>
        <v>-5.9</v>
      </c>
      <c r="AL108" s="943">
        <f>CapIQ!N167</f>
        <v>-10.1</v>
      </c>
      <c r="AM108" s="943">
        <f>CapIQ!O167</f>
        <v>-8.6999999999999993</v>
      </c>
      <c r="AN108" s="943">
        <f>CapIQ!P167</f>
        <v>-37.700000000000003</v>
      </c>
      <c r="AO108" s="943">
        <f>CapIQ!Q167</f>
        <v>-74.599999999999994</v>
      </c>
      <c r="AP108" s="943">
        <f>F108</f>
        <v>-62.4</v>
      </c>
      <c r="AQ108" s="943">
        <f>H108</f>
        <v>-61.643000000000001</v>
      </c>
      <c r="AR108" s="943">
        <f>('Disclosed financials'!AW312-'Disclosed financials'!AW321)*-1</f>
        <v>-72.831000000000003</v>
      </c>
      <c r="AS108" s="943">
        <f>('Disclosed financials'!AX312-'Disclosed financials'!AX321)*-1</f>
        <v>-79.263000000000005</v>
      </c>
      <c r="AT108" s="943">
        <f>('Disclosed financials'!AY312-'Disclosed financials'!AY321)*-1</f>
        <v>-80.138999999999996</v>
      </c>
      <c r="AU108" s="943">
        <f>('Disclosed financials'!AZ312-'Disclosed financials'!AZ321)*-1</f>
        <v>-101.724</v>
      </c>
      <c r="AV108" s="943">
        <f>('Disclosed financials'!BA312-'Disclosed financials'!BA321)*-1</f>
        <v>-97.316000000000003</v>
      </c>
      <c r="AW108" s="943">
        <f>+T108</f>
        <v>-122.621</v>
      </c>
      <c r="AX108" s="947">
        <f>+V108</f>
        <v>-158.45400000000001</v>
      </c>
      <c r="AY108" s="943">
        <f>+X108</f>
        <v>-261.30257707698104</v>
      </c>
      <c r="AZ108" s="943"/>
      <c r="BA108" s="759"/>
      <c r="BB108" s="895"/>
      <c r="BC108" s="896"/>
      <c r="BD108" s="897"/>
      <c r="BE108" s="898"/>
      <c r="BF108" s="897"/>
    </row>
    <row r="109" spans="1:58" ht="14.5" x14ac:dyDescent="0.35">
      <c r="A109" s="914" t="s">
        <v>68</v>
      </c>
      <c r="B109" s="759"/>
      <c r="C109" s="1007"/>
      <c r="D109" s="1007">
        <f t="shared" ref="D109" si="1053">D108/SUM(C88:D88)</f>
        <v>-1.7459277288897206</v>
      </c>
      <c r="E109" s="1007">
        <f>E108/SUM(D88:E88)</f>
        <v>-1.234651194170826</v>
      </c>
      <c r="F109" s="1007">
        <f>F108/SUM(E88:F88)</f>
        <v>-1.3003792772892098</v>
      </c>
      <c r="G109" s="1008">
        <f>G108/SUM(F88:G88)</f>
        <v>-0.93627618339927365</v>
      </c>
      <c r="H109" s="1009">
        <f t="shared" ref="H109" si="1054">H108/SUM(G88:H88)</f>
        <v>-1.1818059815950919</v>
      </c>
      <c r="I109" s="1007">
        <f t="shared" ref="I109" si="1055">I108/SUM(H88:I88)</f>
        <v>-0.78361070911722142</v>
      </c>
      <c r="J109" s="1009">
        <f t="shared" ref="J109" si="1056">J108/SUM(I88:J88)</f>
        <v>-1.0437081727117696</v>
      </c>
      <c r="K109" s="1007">
        <f t="shared" ref="K109" si="1057">K108/SUM(J88:K88)</f>
        <v>-0.66471855201340135</v>
      </c>
      <c r="L109" s="1009">
        <f t="shared" ref="L109" si="1058">L108/SUM(K88:L88)</f>
        <v>-0.92159849312838615</v>
      </c>
      <c r="M109" s="1007">
        <f t="shared" ref="M109" si="1059">M108/SUM(L88:M88)</f>
        <v>-0.53432993925243721</v>
      </c>
      <c r="N109" s="1009">
        <f t="shared" ref="N109" si="1060">N108/SUM(M88:N88)</f>
        <v>-0.84049839009093164</v>
      </c>
      <c r="O109" s="1007">
        <f t="shared" ref="O109" si="1061">O108/SUM(N88:O88)</f>
        <v>-0.63255231685770386</v>
      </c>
      <c r="P109" s="1009">
        <f t="shared" ref="P109" si="1062">P108/SUM(O88:P88)</f>
        <v>-0.83349584169773494</v>
      </c>
      <c r="Q109" s="1007">
        <f t="shared" ref="Q109" si="1063">Q108/SUM(P88:Q88)</f>
        <v>-0.57572563456694448</v>
      </c>
      <c r="R109" s="1009">
        <f t="shared" ref="R109" si="1064">R108/SUM(Q88:R88)</f>
        <v>-0.69973252034858668</v>
      </c>
      <c r="S109" s="1007">
        <f t="shared" ref="S109" si="1065">S108/SUM(R88:S88)</f>
        <v>-0.70469885773624164</v>
      </c>
      <c r="T109" s="1007">
        <f t="shared" ref="T109" si="1066">T108/SUM(S88:T88)</f>
        <v>-0.84629825178927598</v>
      </c>
      <c r="U109" s="1008">
        <f t="shared" ref="U109" si="1067">U108/SUM(T88:U88)</f>
        <v>-0.75661037475610549</v>
      </c>
      <c r="V109" s="1010">
        <f t="shared" ref="V109" si="1068">V108/SUM(U88:V88)</f>
        <v>-1.0012321574128487</v>
      </c>
      <c r="W109" s="1007">
        <f t="shared" ref="W109" si="1069">W108/SUM(V88:W88)</f>
        <v>-1.2469743115052263</v>
      </c>
      <c r="X109" s="1007">
        <f t="shared" ref="X109" si="1070">X108/SUM(W88:X88)</f>
        <v>-1.4816603832739657</v>
      </c>
      <c r="Y109" s="759"/>
      <c r="Z109" s="1009">
        <f t="shared" ref="Z109:AQ109" si="1071">+Z108/Z61</f>
        <v>3.2509232683050078</v>
      </c>
      <c r="AA109" s="1011">
        <f t="shared" si="1071"/>
        <v>2.090287428998316</v>
      </c>
      <c r="AB109" s="1011">
        <f t="shared" si="1071"/>
        <v>2.3310182094938208</v>
      </c>
      <c r="AC109" s="1011">
        <f t="shared" si="1071"/>
        <v>-0.77735800445537118</v>
      </c>
      <c r="AD109" s="1011">
        <f t="shared" si="1071"/>
        <v>-0.82570246637326616</v>
      </c>
      <c r="AE109" s="1008">
        <f t="shared" si="1071"/>
        <v>1.2626284709816389</v>
      </c>
      <c r="AF109" s="1007">
        <f t="shared" si="1071"/>
        <v>0.86006657847842694</v>
      </c>
      <c r="AG109" s="1007">
        <f t="shared" si="1071"/>
        <v>-0.23999609606350356</v>
      </c>
      <c r="AH109" s="1007">
        <f t="shared" si="1071"/>
        <v>-0.94829489803797795</v>
      </c>
      <c r="AI109" s="1007">
        <f t="shared" si="1071"/>
        <v>-1.3813229242397786</v>
      </c>
      <c r="AJ109" s="1007">
        <f t="shared" si="1071"/>
        <v>-0.80541737310503803</v>
      </c>
      <c r="AK109" s="1007">
        <f t="shared" si="1071"/>
        <v>-0.35365096064787926</v>
      </c>
      <c r="AL109" s="1007">
        <f t="shared" si="1071"/>
        <v>-0.42651162476436288</v>
      </c>
      <c r="AM109" s="1007">
        <f t="shared" si="1071"/>
        <v>-0.29724392359109231</v>
      </c>
      <c r="AN109" s="1007">
        <f t="shared" si="1071"/>
        <v>-1.010554775540103</v>
      </c>
      <c r="AO109" s="1007">
        <f t="shared" si="1071"/>
        <v>-1.7457036734940714</v>
      </c>
      <c r="AP109" s="1007">
        <f t="shared" si="1071"/>
        <v>-1.2767524655235918</v>
      </c>
      <c r="AQ109" s="1007">
        <f t="shared" si="1071"/>
        <v>-1.1530245782050803</v>
      </c>
      <c r="AR109" s="1007">
        <f t="shared" ref="AR109" si="1072">AR108/SUM(AQ88:AR88)</f>
        <v>-0.59726425074421241</v>
      </c>
      <c r="AS109" s="1007">
        <f t="shared" ref="AS109" si="1073">AS108/SUM(AR88:AS88)</f>
        <v>-0.51126204574480427</v>
      </c>
      <c r="AT109" s="1007">
        <f t="shared" ref="AT109" si="1074">AT108/SUM(AS88:AT88)</f>
        <v>-0.44503617977153714</v>
      </c>
      <c r="AU109" s="1007">
        <f t="shared" ref="AU109" si="1075">AU108/SUM(AT88:AU88)</f>
        <v>-0.46953800421884484</v>
      </c>
      <c r="AV109" s="1007">
        <f t="shared" ref="AV109" si="1076">AV108/SUM(AU88:AV88)</f>
        <v>-0.37291681835077567</v>
      </c>
      <c r="AW109" s="1007">
        <f t="shared" ref="AW109" si="1077">AW108/SUM(AV88:AW88)</f>
        <v>-0.43172912052897139</v>
      </c>
      <c r="AX109" s="1010">
        <f t="shared" ref="AX109:AY109" si="1078">AX108/SUM(AW88:AX88)</f>
        <v>-0.52269173676397829</v>
      </c>
      <c r="AY109" s="1007">
        <f t="shared" si="1078"/>
        <v>-0.78090061702921165</v>
      </c>
      <c r="AZ109" s="1007"/>
      <c r="BA109" s="759"/>
      <c r="BB109" s="1012"/>
      <c r="BC109" s="1013"/>
      <c r="BD109" s="1014"/>
      <c r="BE109" s="1015"/>
      <c r="BF109" s="1014"/>
    </row>
    <row r="110" spans="1:58" ht="14.5" x14ac:dyDescent="0.35">
      <c r="A110" s="914"/>
      <c r="B110" s="759"/>
      <c r="C110" s="1007"/>
      <c r="D110" s="1007"/>
      <c r="E110" s="1007"/>
      <c r="F110" s="1007"/>
      <c r="G110" s="1007"/>
      <c r="H110" s="1007"/>
      <c r="I110" s="1007"/>
      <c r="J110" s="1007"/>
      <c r="K110" s="1007"/>
      <c r="L110" s="1007"/>
      <c r="M110" s="1007"/>
      <c r="N110" s="1007"/>
      <c r="O110" s="1007"/>
      <c r="P110" s="1007"/>
      <c r="Q110" s="1007"/>
      <c r="R110" s="1007"/>
      <c r="S110" s="1007"/>
      <c r="T110" s="1007"/>
      <c r="U110" s="1007"/>
      <c r="V110" s="1007"/>
      <c r="W110" s="1007"/>
      <c r="X110" s="1007"/>
      <c r="Y110" s="759"/>
      <c r="Z110" s="1007"/>
      <c r="AA110" s="1007"/>
      <c r="AB110" s="1007"/>
      <c r="AC110" s="1007"/>
      <c r="AD110" s="1007"/>
      <c r="AE110" s="1007"/>
      <c r="AF110" s="1007"/>
      <c r="AG110" s="1007"/>
      <c r="AH110" s="1007"/>
      <c r="AI110" s="1007"/>
      <c r="AJ110" s="1007"/>
      <c r="AK110" s="1007"/>
      <c r="AL110" s="1007"/>
      <c r="AM110" s="1007"/>
      <c r="BA110" s="759"/>
      <c r="BB110" s="896"/>
      <c r="BC110" s="896"/>
      <c r="BD110" s="896"/>
      <c r="BE110" s="896"/>
      <c r="BF110" s="896"/>
    </row>
    <row r="111" spans="1:58" ht="14.5" x14ac:dyDescent="0.35">
      <c r="A111" s="1016" t="s">
        <v>86</v>
      </c>
      <c r="B111" s="1528"/>
      <c r="C111" s="1528"/>
      <c r="D111" s="1528"/>
      <c r="E111" s="1528"/>
      <c r="F111" s="1017"/>
      <c r="G111" s="1007"/>
      <c r="H111" s="1007"/>
      <c r="M111" s="1007"/>
      <c r="N111" s="1007"/>
      <c r="O111" s="1007"/>
      <c r="P111" s="1007"/>
      <c r="Q111" s="1007"/>
      <c r="R111" s="1007"/>
      <c r="S111" s="1007"/>
      <c r="T111" s="1007"/>
      <c r="U111" s="1007"/>
      <c r="V111" s="1007"/>
      <c r="W111" s="1007"/>
      <c r="X111" s="1007"/>
      <c r="Y111" s="759"/>
      <c r="Z111" s="1007"/>
      <c r="AA111" s="1007"/>
      <c r="AB111" s="1007"/>
      <c r="AC111" s="1007"/>
      <c r="AD111" s="1007"/>
      <c r="AE111" s="1007"/>
      <c r="AF111" s="1007"/>
      <c r="AG111" s="1007"/>
      <c r="AH111" s="1007"/>
      <c r="AI111" s="1007"/>
      <c r="AJ111" s="1007"/>
      <c r="AK111" s="1007"/>
      <c r="AL111" s="1007"/>
      <c r="AM111" s="1007"/>
      <c r="AT111" s="1016" t="s">
        <v>175</v>
      </c>
      <c r="AU111" s="1528"/>
      <c r="AV111" s="1528"/>
      <c r="AW111" s="1528"/>
      <c r="AX111" s="1528"/>
      <c r="AY111" s="1017"/>
      <c r="BC111" s="896"/>
      <c r="BD111" s="896"/>
      <c r="BE111" s="896"/>
      <c r="BF111" s="896"/>
    </row>
    <row r="112" spans="1:58" ht="14.5" x14ac:dyDescent="0.35">
      <c r="A112" s="759"/>
      <c r="E112" s="1018" t="s">
        <v>90</v>
      </c>
      <c r="F112" s="1019" t="s">
        <v>91</v>
      </c>
      <c r="G112" s="1007"/>
      <c r="H112" s="1007"/>
      <c r="M112" s="1007"/>
      <c r="N112" s="1007"/>
      <c r="O112" s="1007"/>
      <c r="P112" s="1007"/>
      <c r="Q112" s="1007"/>
      <c r="R112" s="1007"/>
      <c r="S112" s="1007"/>
      <c r="T112" s="1007"/>
      <c r="U112" s="1007"/>
      <c r="V112" s="1007"/>
      <c r="W112" s="943"/>
      <c r="X112" s="1007"/>
      <c r="Y112" s="759"/>
      <c r="Z112" s="1007"/>
      <c r="AA112" s="1007"/>
      <c r="AB112" s="1007"/>
      <c r="AC112" s="1007"/>
      <c r="AD112" s="1007"/>
      <c r="AE112" s="1007"/>
      <c r="AF112" s="1007"/>
      <c r="AG112" s="1007"/>
      <c r="AH112" s="1007"/>
      <c r="AI112" s="1007"/>
      <c r="AJ112" s="1007"/>
      <c r="AK112" s="1007"/>
      <c r="AL112" s="1007"/>
      <c r="AM112" s="1007"/>
      <c r="AX112" s="882" t="s">
        <v>176</v>
      </c>
      <c r="AY112" s="882" t="s">
        <v>18</v>
      </c>
      <c r="BA112" s="759"/>
      <c r="BB112" s="896"/>
      <c r="BC112" s="896"/>
      <c r="BD112" s="896"/>
      <c r="BE112" s="896"/>
      <c r="BF112" s="896"/>
    </row>
    <row r="113" spans="1:58" ht="14.5" x14ac:dyDescent="0.35">
      <c r="A113" s="759" t="s">
        <v>94</v>
      </c>
      <c r="E113" s="901">
        <f>+F113*F116</f>
        <v>3055.86384</v>
      </c>
      <c r="F113" s="1020">
        <f>Upside!M96</f>
        <v>15.24</v>
      </c>
      <c r="G113" s="1007"/>
      <c r="H113" s="1007"/>
      <c r="M113" s="1007"/>
      <c r="N113" s="1007"/>
      <c r="O113" s="1007"/>
      <c r="P113" s="1007"/>
      <c r="Q113" s="1007"/>
      <c r="R113" s="1007"/>
      <c r="S113" s="1007"/>
      <c r="T113" s="1007"/>
      <c r="U113" s="1007"/>
      <c r="V113" s="1007"/>
      <c r="W113" s="1427"/>
      <c r="X113" s="1007"/>
      <c r="Y113" s="759"/>
      <c r="Z113" s="1007"/>
      <c r="AA113" s="1007"/>
      <c r="AB113" s="1007"/>
      <c r="AC113" s="1007"/>
      <c r="AD113" s="1007"/>
      <c r="AE113" s="1007"/>
      <c r="AF113" s="1007"/>
      <c r="AG113" s="1007"/>
      <c r="AH113" s="1007"/>
      <c r="AI113" s="1007"/>
      <c r="AJ113" s="1007"/>
      <c r="AK113" s="1007"/>
      <c r="AL113" s="1007"/>
      <c r="AM113" s="1007"/>
      <c r="AW113" s="1200" t="s">
        <v>177</v>
      </c>
      <c r="AX113" s="1095">
        <f>+$E$113/SUM(U98:V98)</f>
        <v>28.80064691246324</v>
      </c>
      <c r="AY113" s="1095">
        <f>+$E$113/SUM(W98:X98)</f>
        <v>29.712261723491999</v>
      </c>
      <c r="BA113" s="759"/>
      <c r="BB113" s="896"/>
      <c r="BC113" s="896"/>
      <c r="BD113" s="896"/>
      <c r="BE113" s="896"/>
      <c r="BF113" s="896"/>
    </row>
    <row r="114" spans="1:58" ht="17" x14ac:dyDescent="0.6">
      <c r="A114" s="759" t="s">
        <v>66</v>
      </c>
      <c r="E114" s="1021">
        <f>Upside!L97</f>
        <v>-158.45400000000001</v>
      </c>
      <c r="F114" s="1022">
        <f>+E114/F116</f>
        <v>-0.79023120349498299</v>
      </c>
      <c r="G114" s="1007"/>
      <c r="H114" s="1007"/>
      <c r="M114" s="1007"/>
      <c r="N114" s="1007"/>
      <c r="O114" s="1007"/>
      <c r="P114" s="1007"/>
      <c r="Q114" s="1007"/>
      <c r="R114" s="1007"/>
      <c r="S114" s="1007"/>
      <c r="T114" s="1007"/>
      <c r="U114" s="1007"/>
      <c r="V114" s="1007"/>
      <c r="W114" s="1007"/>
      <c r="X114" s="1007"/>
      <c r="Y114" s="759"/>
      <c r="Z114" s="1007"/>
      <c r="AA114" s="1007"/>
      <c r="AB114" s="1007"/>
      <c r="AC114" s="1007"/>
      <c r="AD114" s="1007"/>
      <c r="AE114" s="1007"/>
      <c r="AF114" s="1007"/>
      <c r="AG114" s="1007"/>
      <c r="AH114" s="1007"/>
      <c r="AI114" s="1007"/>
      <c r="AJ114" s="1007"/>
      <c r="AK114" s="1007"/>
      <c r="AL114" s="1007"/>
      <c r="AM114" s="1007"/>
      <c r="AW114" s="1200" t="s">
        <v>178</v>
      </c>
      <c r="AX114" s="1095">
        <f>+(E113+AX108)/AX69</f>
        <v>19.477730765352426</v>
      </c>
      <c r="AY114" s="1095">
        <f>+(E113+AY108)/AY69</f>
        <v>16.863815505523327</v>
      </c>
      <c r="BA114" s="759"/>
      <c r="BB114" s="896"/>
      <c r="BC114" s="896"/>
      <c r="BD114" s="896"/>
      <c r="BE114" s="896"/>
      <c r="BF114" s="896"/>
    </row>
    <row r="115" spans="1:58" ht="14.5" x14ac:dyDescent="0.35">
      <c r="A115" s="1023" t="s">
        <v>97</v>
      </c>
      <c r="E115" s="1024">
        <f>+E114+E113</f>
        <v>2897.4098399999998</v>
      </c>
      <c r="F115" s="1025">
        <f>+E115/F116</f>
        <v>14.449768796505017</v>
      </c>
      <c r="G115" s="1007"/>
      <c r="H115" s="1007"/>
      <c r="M115" s="1007"/>
      <c r="N115" s="1007"/>
      <c r="O115" s="1007"/>
      <c r="P115" s="1007"/>
      <c r="Q115" s="1007"/>
      <c r="R115" s="1007"/>
      <c r="S115" s="1007"/>
      <c r="T115" s="1007"/>
      <c r="U115" s="1007"/>
      <c r="V115" s="1007"/>
      <c r="W115" s="1007"/>
      <c r="X115" s="1007"/>
      <c r="Y115" s="759"/>
      <c r="Z115" s="1007"/>
      <c r="AA115" s="1007"/>
      <c r="AB115" s="1007"/>
      <c r="AC115" s="1007"/>
      <c r="AD115" s="1007"/>
      <c r="AE115" s="1007"/>
      <c r="AF115" s="1007"/>
      <c r="AG115" s="1007"/>
      <c r="AH115" s="1007"/>
      <c r="AI115" s="1007"/>
      <c r="AJ115" s="1007"/>
      <c r="AK115" s="1007"/>
      <c r="AL115" s="1007"/>
      <c r="AM115" s="1007"/>
      <c r="AW115" s="1200" t="s">
        <v>179</v>
      </c>
      <c r="AX115" s="1095">
        <f>+$E$113/AX82</f>
        <v>25.561547563033649</v>
      </c>
      <c r="AY115" s="1095">
        <f t="shared" ref="AY115" si="1079">+$E$113/AY82</f>
        <v>23.763536599896668</v>
      </c>
      <c r="BA115" s="759"/>
      <c r="BB115" s="896"/>
      <c r="BC115" s="896"/>
      <c r="BD115" s="896"/>
      <c r="BE115" s="896"/>
      <c r="BF115" s="896"/>
    </row>
    <row r="116" spans="1:58" ht="14.5" x14ac:dyDescent="0.35">
      <c r="A116" s="1026" t="s">
        <v>162</v>
      </c>
      <c r="E116" s="759"/>
      <c r="F116" s="1027">
        <f>Upside!M99</f>
        <v>200.51599999999999</v>
      </c>
      <c r="G116" s="759"/>
      <c r="H116" s="759"/>
      <c r="M116" s="759"/>
      <c r="N116" s="759"/>
      <c r="O116" s="759"/>
      <c r="P116" s="759"/>
      <c r="Q116" s="759"/>
      <c r="R116" s="759"/>
      <c r="S116" s="759"/>
      <c r="T116" s="759"/>
      <c r="U116" s="759"/>
      <c r="V116" s="759"/>
      <c r="W116" s="759"/>
      <c r="X116" s="759"/>
      <c r="Y116" s="759"/>
      <c r="Z116" s="759"/>
      <c r="AA116" s="759"/>
      <c r="AB116" s="759"/>
      <c r="AC116" s="759"/>
      <c r="AD116" s="759"/>
      <c r="AE116" s="759"/>
      <c r="AF116" s="759"/>
      <c r="AG116" s="759"/>
      <c r="AH116" s="759"/>
      <c r="AI116" s="759"/>
      <c r="AJ116" s="759"/>
      <c r="AK116" s="759"/>
      <c r="AL116" s="759"/>
      <c r="AM116" s="759"/>
      <c r="AW116" s="1200" t="s">
        <v>180</v>
      </c>
      <c r="AX116" s="1095">
        <f>($E$113+AX108)/AX82</f>
        <v>24.236118921699635</v>
      </c>
      <c r="AY116" s="1095">
        <f t="shared" ref="AY116" si="1080">($E$113+AY108)/AY82</f>
        <v>21.731550333775544</v>
      </c>
      <c r="BA116" s="759"/>
      <c r="BB116" s="759"/>
      <c r="BC116" s="759"/>
      <c r="BD116" s="759"/>
      <c r="BE116" s="759"/>
      <c r="BF116" s="759"/>
    </row>
    <row r="117" spans="1:58" x14ac:dyDescent="0.3">
      <c r="AW117" s="1200" t="s">
        <v>181</v>
      </c>
      <c r="AX117" s="1095">
        <f>($E$113+AX108)/AX93</f>
        <v>25.362425589929991</v>
      </c>
      <c r="AY117" s="1095">
        <f t="shared" ref="AY117" si="1081">($E$113+AY108)/AY93</f>
        <v>22.748014909215055</v>
      </c>
    </row>
    <row r="118" spans="1:58" x14ac:dyDescent="0.3">
      <c r="A118" s="899" t="s">
        <v>182</v>
      </c>
      <c r="B118" s="759"/>
      <c r="F118" s="1307"/>
      <c r="H118" s="1307"/>
      <c r="J118" s="1307"/>
      <c r="L118" s="1307"/>
      <c r="N118" s="1307"/>
      <c r="P118" s="1307"/>
      <c r="R118" s="1307"/>
      <c r="U118" s="1442"/>
      <c r="V118" s="1313"/>
      <c r="AV118" s="1200"/>
      <c r="AW118" s="1365"/>
      <c r="AX118" s="1351"/>
      <c r="AY118" s="1095"/>
    </row>
    <row r="119" spans="1:58" x14ac:dyDescent="0.3">
      <c r="F119" s="1307"/>
      <c r="H119" s="1307"/>
      <c r="J119" s="1307"/>
      <c r="L119" s="1307"/>
      <c r="N119" s="1307"/>
      <c r="P119" s="1307"/>
      <c r="R119" s="1307"/>
      <c r="U119" s="1442"/>
      <c r="V119" s="1313"/>
      <c r="AV119" s="1200"/>
      <c r="AW119" s="1095"/>
      <c r="AX119" s="1351"/>
      <c r="AY119" s="1095"/>
    </row>
    <row r="120" spans="1:58" x14ac:dyDescent="0.3">
      <c r="A120" s="756" t="str">
        <f>+'Disclosed financials'!A169</f>
        <v>Customer base (rolling 12 month basis), 000s</v>
      </c>
      <c r="F120" s="1307"/>
      <c r="H120" s="1307"/>
      <c r="J120" s="1307"/>
      <c r="K120" s="1310">
        <f>+'Disclosed financials'!K169</f>
        <v>9.1</v>
      </c>
      <c r="L120" s="1311">
        <f>+'Disclosed financials'!L169</f>
        <v>9.1999999999999993</v>
      </c>
      <c r="M120" s="1310">
        <f>+'Disclosed financials'!M169</f>
        <v>9.5</v>
      </c>
      <c r="N120" s="1311">
        <f>+'Disclosed financials'!N169</f>
        <v>9.5</v>
      </c>
      <c r="O120" s="1310">
        <f>+'Disclosed financials'!O169</f>
        <v>9.6</v>
      </c>
      <c r="P120" s="1311">
        <f>+'Disclosed financials'!P169</f>
        <v>9.6999999999999993</v>
      </c>
      <c r="Q120" s="1310">
        <f>+'Disclosed financials'!Q169</f>
        <v>9.6999999999999993</v>
      </c>
      <c r="R120" s="1311">
        <f>+'Disclosed financials'!R169</f>
        <v>9.9</v>
      </c>
      <c r="S120" s="1310">
        <f>+'Disclosed financials'!S169</f>
        <v>10.015249999999998</v>
      </c>
      <c r="T120" s="1413">
        <f>+'Disclosed financials'!T169</f>
        <v>10.11</v>
      </c>
      <c r="U120" s="1443">
        <f>+'Disclosed financials'!U169</f>
        <v>10.145448249999998</v>
      </c>
      <c r="V120" s="1445">
        <f>+'Disclosed financials'!V169</f>
        <v>10.291</v>
      </c>
      <c r="W120" s="1292">
        <f t="shared" ref="W120" si="1082">+U120*(1+W121)</f>
        <v>10.297629973749997</v>
      </c>
      <c r="X120" s="1292">
        <f t="shared" ref="X120" si="1083">+V120*(1+X121)</f>
        <v>10.445364999999999</v>
      </c>
      <c r="Y120" s="1292"/>
      <c r="Z120" s="1292"/>
      <c r="AA120" s="1292"/>
      <c r="AB120" s="1292"/>
      <c r="AC120" s="1292"/>
      <c r="AD120" s="1292"/>
      <c r="AE120" s="1292"/>
      <c r="AF120" s="1292"/>
      <c r="AG120" s="1292"/>
      <c r="AH120" s="1292"/>
      <c r="AI120" s="1292"/>
      <c r="AJ120" s="1292"/>
      <c r="AK120" s="1292"/>
      <c r="AL120" s="1292"/>
      <c r="AM120" s="1292"/>
      <c r="AN120" s="1292"/>
      <c r="AO120" s="1292"/>
      <c r="AP120" s="1292">
        <f>+'Disclosed financials'!AU169</f>
        <v>7.7</v>
      </c>
      <c r="AQ120" s="1292">
        <f>+'Disclosed financials'!AV169</f>
        <v>8.3000000000000007</v>
      </c>
      <c r="AR120" s="1292">
        <f>+'Disclosed financials'!AW169</f>
        <v>8.8000000000000007</v>
      </c>
      <c r="AS120" s="1292">
        <f>+'Disclosed financials'!AX169</f>
        <v>9.1999999999999993</v>
      </c>
      <c r="AT120" s="1292">
        <f>+'Disclosed financials'!AY169</f>
        <v>9.5</v>
      </c>
      <c r="AU120" s="1292">
        <f>+'Disclosed financials'!AZ169</f>
        <v>9.6999999999999993</v>
      </c>
      <c r="AV120" s="1310">
        <f>+'Disclosed financials'!BA169</f>
        <v>9.9</v>
      </c>
      <c r="AW120" s="1310">
        <f>+T120</f>
        <v>10.11</v>
      </c>
      <c r="AX120" s="1314">
        <f>+V120</f>
        <v>10.291</v>
      </c>
      <c r="AY120" s="1292">
        <f>+X120</f>
        <v>10.445364999999999</v>
      </c>
      <c r="AZ120" s="1292"/>
    </row>
    <row r="121" spans="1:58" ht="14.5" x14ac:dyDescent="0.35">
      <c r="A121" s="914" t="s">
        <v>37</v>
      </c>
      <c r="B121" s="915"/>
      <c r="C121" s="916"/>
      <c r="D121" s="916"/>
      <c r="E121" s="916"/>
      <c r="F121" s="918"/>
      <c r="G121" s="916"/>
      <c r="H121" s="918"/>
      <c r="I121" s="916"/>
      <c r="J121" s="918"/>
      <c r="K121" s="916"/>
      <c r="L121" s="918"/>
      <c r="M121" s="916">
        <f t="shared" ref="M121" si="1084">M120/K120-1</f>
        <v>4.3956043956044022E-2</v>
      </c>
      <c r="N121" s="918">
        <f t="shared" ref="N121" si="1085">N120/L120-1</f>
        <v>3.2608695652174058E-2</v>
      </c>
      <c r="O121" s="916">
        <f t="shared" ref="O121" si="1086">O120/M120-1</f>
        <v>1.0526315789473717E-2</v>
      </c>
      <c r="P121" s="918">
        <f t="shared" ref="P121" si="1087">P120/N120-1</f>
        <v>2.1052631578947212E-2</v>
      </c>
      <c r="Q121" s="916">
        <f t="shared" ref="Q121" si="1088">Q120/O120-1</f>
        <v>1.0416666666666741E-2</v>
      </c>
      <c r="R121" s="918">
        <f t="shared" ref="R121" si="1089">R120/P120-1</f>
        <v>2.0618556701031077E-2</v>
      </c>
      <c r="S121" s="916">
        <f t="shared" ref="S121" si="1090">S120/Q120-1</f>
        <v>3.2499999999999973E-2</v>
      </c>
      <c r="T121" s="916">
        <f t="shared" ref="T121" si="1091">T120/R120-1</f>
        <v>2.1212121212121016E-2</v>
      </c>
      <c r="U121" s="917">
        <f t="shared" ref="U121:V121" si="1092">U120/S120-1</f>
        <v>1.2999999999999901E-2</v>
      </c>
      <c r="V121" s="919">
        <f t="shared" si="1092"/>
        <v>1.7903066271018897E-2</v>
      </c>
      <c r="W121" s="1070">
        <v>1.4999999999999999E-2</v>
      </c>
      <c r="X121" s="1070">
        <v>1.4999999999999999E-2</v>
      </c>
      <c r="Y121" s="915"/>
      <c r="Z121" s="918" t="str">
        <f>IFERROR(Z120/#REF!-1,"")</f>
        <v/>
      </c>
      <c r="AA121" s="920" t="str">
        <f t="shared" ref="AA121" si="1093">IFERROR(AA120/Z120-1,"")</f>
        <v/>
      </c>
      <c r="AB121" s="920" t="str">
        <f t="shared" ref="AB121" si="1094">IFERROR(AB120/AA120-1,"")</f>
        <v/>
      </c>
      <c r="AC121" s="920" t="str">
        <f t="shared" ref="AC121" si="1095">IFERROR(AC120/AB120-1,"")</f>
        <v/>
      </c>
      <c r="AD121" s="920" t="str">
        <f t="shared" ref="AD121" si="1096">IFERROR(AD120/AC120-1,"")</f>
        <v/>
      </c>
      <c r="AE121" s="917" t="str">
        <f t="shared" ref="AE121" si="1097">IFERROR(AE120/AD120-1,"")</f>
        <v/>
      </c>
      <c r="AF121" s="916" t="str">
        <f t="shared" ref="AF121" si="1098">IFERROR(AF120/AE120-1,"")</f>
        <v/>
      </c>
      <c r="AG121" s="916" t="str">
        <f t="shared" ref="AG121" si="1099">IFERROR(AG120/AF120-1,"")</f>
        <v/>
      </c>
      <c r="AH121" s="916" t="str">
        <f t="shared" ref="AH121" si="1100">IFERROR(AH120/AG120-1,"")</f>
        <v/>
      </c>
      <c r="AI121" s="916" t="str">
        <f t="shared" ref="AI121" si="1101">IFERROR(AI120/AH120-1,"")</f>
        <v/>
      </c>
      <c r="AJ121" s="916" t="str">
        <f t="shared" ref="AJ121" si="1102">IFERROR(AJ120/AI120-1,"")</f>
        <v/>
      </c>
      <c r="AK121" s="916" t="str">
        <f t="shared" ref="AK121" si="1103">IFERROR(AK120/AJ120-1,"")</f>
        <v/>
      </c>
      <c r="AL121" s="916" t="str">
        <f t="shared" ref="AL121" si="1104">IFERROR(AL120/AK120-1,"")</f>
        <v/>
      </c>
      <c r="AM121" s="916" t="str">
        <f t="shared" ref="AM121" si="1105">IFERROR(AM120/AL120-1,"")</f>
        <v/>
      </c>
      <c r="AN121" s="916"/>
      <c r="AO121" s="916"/>
      <c r="AP121" s="916" t="str">
        <f t="shared" ref="AP121" si="1106">IFERROR(AP120/AO120-1,"")</f>
        <v/>
      </c>
      <c r="AQ121" s="916">
        <f t="shared" ref="AQ121" si="1107">IFERROR(AQ120/AP120-1,"")</f>
        <v>7.7922077922077948E-2</v>
      </c>
      <c r="AR121" s="916">
        <f t="shared" ref="AR121" si="1108">IFERROR(AR120/AQ120-1,"")</f>
        <v>6.024096385542177E-2</v>
      </c>
      <c r="AS121" s="916">
        <f t="shared" ref="AS121" si="1109">IFERROR(AS120/AR120-1,"")</f>
        <v>4.5454545454545192E-2</v>
      </c>
      <c r="AT121" s="916">
        <f t="shared" ref="AT121" si="1110">IFERROR(AT120/AS120-1,"")</f>
        <v>3.2608695652174058E-2</v>
      </c>
      <c r="AU121" s="916">
        <f t="shared" ref="AU121" si="1111">IFERROR(AU120/AT120-1,"")</f>
        <v>2.1052631578947212E-2</v>
      </c>
      <c r="AV121" s="916">
        <f t="shared" ref="AV121" si="1112">IFERROR(AV120/AU120-1,"")</f>
        <v>2.0618556701031077E-2</v>
      </c>
      <c r="AW121" s="916">
        <f t="shared" ref="AW121" si="1113">IFERROR(AW120/AV120-1,"")</f>
        <v>2.1212121212121016E-2</v>
      </c>
      <c r="AX121" s="919">
        <f t="shared" ref="AX121" si="1114">IFERROR(AX120/AW120-1,"")</f>
        <v>1.7903066271018897E-2</v>
      </c>
      <c r="AY121" s="916">
        <f t="shared" ref="AY121" si="1115">IFERROR(AY120/AX120-1,"")</f>
        <v>1.4999999999999902E-2</v>
      </c>
      <c r="AZ121" s="916"/>
      <c r="BA121" s="915"/>
      <c r="BB121" s="921"/>
      <c r="BC121" s="922"/>
      <c r="BD121" s="923"/>
      <c r="BE121" s="924"/>
      <c r="BF121" s="923"/>
    </row>
    <row r="122" spans="1:58" s="758" customFormat="1" ht="14.5" x14ac:dyDescent="0.35">
      <c r="A122" s="914" t="s">
        <v>38</v>
      </c>
      <c r="B122" s="925"/>
      <c r="C122" s="926"/>
      <c r="D122" s="926">
        <f>+D120-C120</f>
        <v>0</v>
      </c>
      <c r="E122" s="926"/>
      <c r="F122" s="929"/>
      <c r="G122" s="926"/>
      <c r="H122" s="929"/>
      <c r="I122" s="926"/>
      <c r="J122" s="929"/>
      <c r="K122" s="926"/>
      <c r="L122" s="1284">
        <f t="shared" ref="L122" si="1116">+L120-K120</f>
        <v>9.9999999999999645E-2</v>
      </c>
      <c r="M122" s="1285">
        <f t="shared" ref="M122" si="1117">+M120-L120</f>
        <v>0.30000000000000071</v>
      </c>
      <c r="N122" s="1284">
        <f t="shared" ref="N122" si="1118">+N120-M120</f>
        <v>0</v>
      </c>
      <c r="O122" s="1285">
        <f t="shared" ref="O122" si="1119">+O120-N120</f>
        <v>9.9999999999999645E-2</v>
      </c>
      <c r="P122" s="1284">
        <f t="shared" ref="P122" si="1120">+P120-O120</f>
        <v>9.9999999999999645E-2</v>
      </c>
      <c r="Q122" s="1285">
        <f t="shared" ref="Q122" si="1121">+Q120-P120</f>
        <v>0</v>
      </c>
      <c r="R122" s="1284">
        <f t="shared" ref="R122" si="1122">+R120-Q120</f>
        <v>0.20000000000000107</v>
      </c>
      <c r="S122" s="1285">
        <f t="shared" ref="S122" si="1123">+S120-R120</f>
        <v>0.11524999999999785</v>
      </c>
      <c r="T122" s="1285">
        <f t="shared" ref="T122" si="1124">+T120-S120</f>
        <v>9.4750000000001222E-2</v>
      </c>
      <c r="U122" s="1289">
        <f t="shared" ref="U122:V122" si="1125">+U120-T120</f>
        <v>3.5448249999998183E-2</v>
      </c>
      <c r="V122" s="1286">
        <f t="shared" si="1125"/>
        <v>0.14555175000000276</v>
      </c>
      <c r="W122" s="1285">
        <f t="shared" ref="W122" si="1126">+W120-V120</f>
        <v>6.6299737499964095E-3</v>
      </c>
      <c r="X122" s="1285">
        <f t="shared" ref="X122" si="1127">+X120-W120</f>
        <v>0.14773502625000212</v>
      </c>
      <c r="Y122" s="1287"/>
      <c r="Z122" s="1284"/>
      <c r="AA122" s="1288">
        <f t="shared" ref="AA122" si="1128">AA120-Z120</f>
        <v>0</v>
      </c>
      <c r="AB122" s="1288">
        <f t="shared" ref="AB122" si="1129">AB120-AA120</f>
        <v>0</v>
      </c>
      <c r="AC122" s="1288">
        <f t="shared" ref="AC122" si="1130">AC120-AB120</f>
        <v>0</v>
      </c>
      <c r="AD122" s="1288">
        <f t="shared" ref="AD122" si="1131">AD120-AC120</f>
        <v>0</v>
      </c>
      <c r="AE122" s="1289">
        <f t="shared" ref="AE122" si="1132">AE120-AD120</f>
        <v>0</v>
      </c>
      <c r="AF122" s="1285">
        <f t="shared" ref="AF122" si="1133">AF120-AE120</f>
        <v>0</v>
      </c>
      <c r="AG122" s="1285">
        <f t="shared" ref="AG122" si="1134">AG120-AF120</f>
        <v>0</v>
      </c>
      <c r="AH122" s="1285">
        <f t="shared" ref="AH122" si="1135">AH120-AG120</f>
        <v>0</v>
      </c>
      <c r="AI122" s="1285">
        <f t="shared" ref="AI122" si="1136">AI120-AH120</f>
        <v>0</v>
      </c>
      <c r="AJ122" s="1285">
        <f t="shared" ref="AJ122" si="1137">AJ120-AI120</f>
        <v>0</v>
      </c>
      <c r="AK122" s="1285">
        <f t="shared" ref="AK122" si="1138">AK120-AJ120</f>
        <v>0</v>
      </c>
      <c r="AL122" s="1285">
        <f t="shared" ref="AL122" si="1139">AL120-AK120</f>
        <v>0</v>
      </c>
      <c r="AM122" s="1285">
        <f t="shared" ref="AM122" si="1140">AM120-AL120</f>
        <v>0</v>
      </c>
      <c r="AN122" s="1285"/>
      <c r="AO122" s="1285"/>
      <c r="AP122" s="1285"/>
      <c r="AQ122" s="1285">
        <f t="shared" ref="AQ122" si="1141">AQ120-AP120</f>
        <v>0.60000000000000053</v>
      </c>
      <c r="AR122" s="1285">
        <f t="shared" ref="AR122" si="1142">AR120-AQ120</f>
        <v>0.5</v>
      </c>
      <c r="AS122" s="1285">
        <f t="shared" ref="AS122" si="1143">AS120-AR120</f>
        <v>0.39999999999999858</v>
      </c>
      <c r="AT122" s="1285">
        <f t="shared" ref="AT122" si="1144">AT120-AS120</f>
        <v>0.30000000000000071</v>
      </c>
      <c r="AU122" s="1285">
        <f t="shared" ref="AU122" si="1145">AU120-AT120</f>
        <v>0.19999999999999929</v>
      </c>
      <c r="AV122" s="1285">
        <f t="shared" ref="AV122" si="1146">AV120-AU120</f>
        <v>0.20000000000000107</v>
      </c>
      <c r="AW122" s="1285">
        <f t="shared" ref="AW122" si="1147">AW120-AV120</f>
        <v>0.20999999999999908</v>
      </c>
      <c r="AX122" s="1286">
        <f t="shared" ref="AX122" si="1148">AX120-AW120</f>
        <v>0.18100000000000094</v>
      </c>
      <c r="AY122" s="1285">
        <f t="shared" ref="AY122" si="1149">AY120-AX120</f>
        <v>0.15436499999999853</v>
      </c>
      <c r="AZ122" s="1285"/>
      <c r="BA122" s="1290"/>
      <c r="BB122" s="1291"/>
      <c r="BC122" s="934"/>
      <c r="BD122" s="935"/>
      <c r="BE122" s="936"/>
      <c r="BF122" s="935"/>
    </row>
    <row r="123" spans="1:58" s="758" customFormat="1" ht="14.5" x14ac:dyDescent="0.35">
      <c r="A123" s="914" t="s">
        <v>143</v>
      </c>
      <c r="B123" s="925"/>
      <c r="C123" s="926"/>
      <c r="D123" s="926"/>
      <c r="E123" s="926"/>
      <c r="F123" s="929"/>
      <c r="G123" s="926"/>
      <c r="H123" s="929"/>
      <c r="I123" s="926"/>
      <c r="J123" s="929"/>
      <c r="K123" s="926"/>
      <c r="L123" s="1284"/>
      <c r="M123" s="1285">
        <f t="shared" ref="M123" si="1150">+M120-K120</f>
        <v>0.40000000000000036</v>
      </c>
      <c r="N123" s="1284">
        <f t="shared" ref="N123" si="1151">+N120-L120</f>
        <v>0.30000000000000071</v>
      </c>
      <c r="O123" s="1285">
        <f t="shared" ref="O123" si="1152">+O120-M120</f>
        <v>9.9999999999999645E-2</v>
      </c>
      <c r="P123" s="1284">
        <f t="shared" ref="P123" si="1153">+P120-N120</f>
        <v>0.19999999999999929</v>
      </c>
      <c r="Q123" s="1285">
        <f t="shared" ref="Q123" si="1154">+Q120-O120</f>
        <v>9.9999999999999645E-2</v>
      </c>
      <c r="R123" s="1284">
        <f t="shared" ref="R123" si="1155">+R120-P120</f>
        <v>0.20000000000000107</v>
      </c>
      <c r="S123" s="1285">
        <f t="shared" ref="S123" si="1156">+S120-Q120</f>
        <v>0.31524999999999892</v>
      </c>
      <c r="T123" s="1285">
        <f t="shared" ref="T123" si="1157">+T120-R120</f>
        <v>0.20999999999999908</v>
      </c>
      <c r="U123" s="1289">
        <f t="shared" ref="U123:V123" si="1158">+U120-S120</f>
        <v>0.1301982499999994</v>
      </c>
      <c r="V123" s="1286">
        <f t="shared" si="1158"/>
        <v>0.18100000000000094</v>
      </c>
      <c r="W123" s="1285">
        <f t="shared" ref="W123" si="1159">+W120-U120</f>
        <v>0.15218172374999916</v>
      </c>
      <c r="X123" s="1285">
        <f t="shared" ref="X123" si="1160">+X120-V120</f>
        <v>0.15436499999999853</v>
      </c>
      <c r="Y123" s="1287"/>
      <c r="Z123" s="1284"/>
      <c r="AA123" s="1288"/>
      <c r="AB123" s="1288"/>
      <c r="AC123" s="1288"/>
      <c r="AD123" s="1288"/>
      <c r="AE123" s="1289"/>
      <c r="AF123" s="1285">
        <f>+AF122</f>
        <v>0</v>
      </c>
      <c r="AG123" s="1285">
        <f t="shared" ref="AG123:AV123" si="1161">+AG122</f>
        <v>0</v>
      </c>
      <c r="AH123" s="1285">
        <f t="shared" si="1161"/>
        <v>0</v>
      </c>
      <c r="AI123" s="1285">
        <f t="shared" si="1161"/>
        <v>0</v>
      </c>
      <c r="AJ123" s="1285">
        <f t="shared" si="1161"/>
        <v>0</v>
      </c>
      <c r="AK123" s="1285">
        <f t="shared" si="1161"/>
        <v>0</v>
      </c>
      <c r="AL123" s="1285">
        <f t="shared" si="1161"/>
        <v>0</v>
      </c>
      <c r="AM123" s="1285">
        <f t="shared" si="1161"/>
        <v>0</v>
      </c>
      <c r="AN123" s="1285"/>
      <c r="AO123" s="1285"/>
      <c r="AP123" s="1285"/>
      <c r="AQ123" s="1285">
        <f t="shared" si="1161"/>
        <v>0.60000000000000053</v>
      </c>
      <c r="AR123" s="1285">
        <f t="shared" si="1161"/>
        <v>0.5</v>
      </c>
      <c r="AS123" s="1285">
        <f t="shared" si="1161"/>
        <v>0.39999999999999858</v>
      </c>
      <c r="AT123" s="1285">
        <f t="shared" si="1161"/>
        <v>0.30000000000000071</v>
      </c>
      <c r="AU123" s="1285">
        <f t="shared" si="1161"/>
        <v>0.19999999999999929</v>
      </c>
      <c r="AV123" s="1285">
        <f t="shared" si="1161"/>
        <v>0.20000000000000107</v>
      </c>
      <c r="AW123" s="1285">
        <f t="shared" ref="AW123:AX123" si="1162">+AW122</f>
        <v>0.20999999999999908</v>
      </c>
      <c r="AX123" s="1286">
        <f t="shared" si="1162"/>
        <v>0.18100000000000094</v>
      </c>
      <c r="AY123" s="1285">
        <f t="shared" ref="AY123" si="1163">+AY122</f>
        <v>0.15436499999999853</v>
      </c>
      <c r="AZ123" s="1285"/>
      <c r="BA123" s="1290"/>
      <c r="BB123" s="1291"/>
      <c r="BC123" s="934"/>
      <c r="BD123" s="935"/>
      <c r="BE123" s="936"/>
      <c r="BF123" s="935"/>
    </row>
    <row r="124" spans="1:58" ht="14.5" x14ac:dyDescent="0.35">
      <c r="F124" s="1307"/>
      <c r="H124" s="1307"/>
      <c r="J124" s="1307"/>
      <c r="L124" s="1307"/>
      <c r="N124" s="1307"/>
      <c r="P124" s="1307"/>
      <c r="R124" s="1307"/>
      <c r="T124" s="759"/>
      <c r="U124" s="1003"/>
      <c r="V124" s="1313"/>
      <c r="AX124" s="1313"/>
      <c r="AZ124" s="916"/>
    </row>
    <row r="125" spans="1:58" ht="17" x14ac:dyDescent="0.6">
      <c r="A125" s="759" t="s">
        <v>183</v>
      </c>
      <c r="B125" s="759"/>
      <c r="C125" s="975">
        <f>+C22</f>
        <v>46.638999999999982</v>
      </c>
      <c r="D125" s="975">
        <f>+D22</f>
        <v>56.136000000000024</v>
      </c>
      <c r="E125" s="975">
        <f t="shared" ref="E125:V125" si="1164">+E22+D22</f>
        <v>109.81100000000004</v>
      </c>
      <c r="F125" s="977">
        <f t="shared" si="1164"/>
        <v>120.71699999999998</v>
      </c>
      <c r="G125" s="975">
        <f t="shared" si="1164"/>
        <v>128.34199999999998</v>
      </c>
      <c r="H125" s="977">
        <f t="shared" si="1164"/>
        <v>136.303</v>
      </c>
      <c r="I125" s="975">
        <f t="shared" si="1164"/>
        <v>149.83799999999997</v>
      </c>
      <c r="J125" s="977">
        <f t="shared" si="1164"/>
        <v>175.16300000000001</v>
      </c>
      <c r="K125" s="975">
        <f t="shared" si="1164"/>
        <v>195.00000000000006</v>
      </c>
      <c r="L125" s="977">
        <f t="shared" si="1164"/>
        <v>211.14300000000003</v>
      </c>
      <c r="M125" s="975">
        <f t="shared" si="1164"/>
        <v>228.14300000000003</v>
      </c>
      <c r="N125" s="977">
        <f t="shared" si="1164"/>
        <v>235.70499999999993</v>
      </c>
      <c r="O125" s="975">
        <f t="shared" si="1164"/>
        <v>258.49699999999996</v>
      </c>
      <c r="P125" s="977">
        <f t="shared" si="1164"/>
        <v>276.35799999999995</v>
      </c>
      <c r="Q125" s="975">
        <f t="shared" si="1164"/>
        <v>292.10499999999996</v>
      </c>
      <c r="R125" s="977">
        <f t="shared" si="1164"/>
        <v>327.20999999999992</v>
      </c>
      <c r="S125" s="975">
        <f t="shared" si="1164"/>
        <v>354.05299999999983</v>
      </c>
      <c r="T125" s="975">
        <f t="shared" ref="T125" si="1165">+T22+S22</f>
        <v>373.83</v>
      </c>
      <c r="U125" s="976">
        <f t="shared" si="1164"/>
        <v>393.29</v>
      </c>
      <c r="V125" s="978">
        <f t="shared" si="1164"/>
        <v>417.75299999999999</v>
      </c>
      <c r="W125" s="975">
        <f t="shared" ref="W125" si="1166">+W22+V22</f>
        <v>441.33468000000005</v>
      </c>
      <c r="X125" s="975">
        <f t="shared" ref="X125" si="1167">+X22+W22</f>
        <v>467.88336000000004</v>
      </c>
      <c r="Y125" s="759"/>
      <c r="Z125" s="977">
        <f t="shared" ref="Z125:AV125" si="1168">+Z22</f>
        <v>3.1774810000000002</v>
      </c>
      <c r="AA125" s="979">
        <f t="shared" si="1168"/>
        <v>4.5370400000000011</v>
      </c>
      <c r="AB125" s="979">
        <f t="shared" si="1168"/>
        <v>7.152474999999999</v>
      </c>
      <c r="AC125" s="979">
        <f t="shared" si="1168"/>
        <v>7.3485730000000018</v>
      </c>
      <c r="AD125" s="979">
        <f t="shared" si="1168"/>
        <v>8.7063690000000022</v>
      </c>
      <c r="AE125" s="976">
        <f t="shared" si="1168"/>
        <v>8.562453000000005</v>
      </c>
      <c r="AF125" s="975">
        <f t="shared" si="1168"/>
        <v>10.858686999999996</v>
      </c>
      <c r="AG125" s="975">
        <f t="shared" si="1168"/>
        <v>15.195045000000007</v>
      </c>
      <c r="AH125" s="975">
        <f t="shared" si="1168"/>
        <v>19.758426999999998</v>
      </c>
      <c r="AI125" s="975">
        <f t="shared" si="1168"/>
        <v>22.08221300000001</v>
      </c>
      <c r="AJ125" s="975">
        <f t="shared" si="1168"/>
        <v>28.518751999999992</v>
      </c>
      <c r="AK125" s="975">
        <f t="shared" si="1168"/>
        <v>43.306200999999987</v>
      </c>
      <c r="AL125" s="975">
        <f t="shared" si="1168"/>
        <v>56.284425999999996</v>
      </c>
      <c r="AM125" s="975">
        <f t="shared" si="1168"/>
        <v>70.510999999999967</v>
      </c>
      <c r="AN125" s="975">
        <f t="shared" si="1168"/>
        <v>88.521000000000015</v>
      </c>
      <c r="AO125" s="975">
        <f t="shared" si="1168"/>
        <v>102.77500000000001</v>
      </c>
      <c r="AP125" s="975">
        <f t="shared" si="1168"/>
        <v>120.71699999999998</v>
      </c>
      <c r="AQ125" s="975">
        <f t="shared" si="1168"/>
        <v>136.303</v>
      </c>
      <c r="AR125" s="975">
        <f t="shared" si="1168"/>
        <v>175.16300000000001</v>
      </c>
      <c r="AS125" s="975">
        <f t="shared" si="1168"/>
        <v>211.14300000000003</v>
      </c>
      <c r="AT125" s="975">
        <f t="shared" si="1168"/>
        <v>235.70499999999993</v>
      </c>
      <c r="AU125" s="975">
        <f t="shared" si="1168"/>
        <v>276.35799999999995</v>
      </c>
      <c r="AV125" s="975">
        <f t="shared" si="1168"/>
        <v>327.20999999999992</v>
      </c>
      <c r="AW125" s="975">
        <f>+T125</f>
        <v>373.83</v>
      </c>
      <c r="AX125" s="978">
        <f>+V125</f>
        <v>417.75299999999999</v>
      </c>
      <c r="AY125" s="975">
        <f>+X125</f>
        <v>467.88336000000004</v>
      </c>
      <c r="AZ125" s="975"/>
      <c r="BA125" s="759"/>
      <c r="BB125" s="895"/>
      <c r="BC125" s="896"/>
      <c r="BD125" s="897"/>
      <c r="BE125" s="898"/>
      <c r="BF125" s="897"/>
    </row>
    <row r="126" spans="1:58" collapsed="1" x14ac:dyDescent="0.3">
      <c r="A126" s="937" t="s">
        <v>184</v>
      </c>
      <c r="B126" s="901"/>
      <c r="C126" s="902"/>
      <c r="D126" s="902"/>
      <c r="E126" s="902"/>
      <c r="F126" s="905"/>
      <c r="G126" s="902"/>
      <c r="H126" s="905"/>
      <c r="I126" s="902"/>
      <c r="J126" s="905"/>
      <c r="K126" s="902">
        <f t="shared" ref="K126:V126" si="1169">+K125/K120*1000</f>
        <v>21428.571428571435</v>
      </c>
      <c r="L126" s="905">
        <f t="shared" si="1169"/>
        <v>22950.326086956527</v>
      </c>
      <c r="M126" s="902">
        <f t="shared" si="1169"/>
        <v>24015.05263157895</v>
      </c>
      <c r="N126" s="905">
        <f t="shared" si="1169"/>
        <v>24811.052631578939</v>
      </c>
      <c r="O126" s="902">
        <f t="shared" si="1169"/>
        <v>26926.770833333328</v>
      </c>
      <c r="P126" s="905">
        <f t="shared" si="1169"/>
        <v>28490.51546391752</v>
      </c>
      <c r="Q126" s="902">
        <f t="shared" si="1169"/>
        <v>30113.917525773191</v>
      </c>
      <c r="R126" s="905">
        <f t="shared" si="1169"/>
        <v>33051.515151515137</v>
      </c>
      <c r="S126" s="902">
        <f t="shared" si="1169"/>
        <v>35351.389131574339</v>
      </c>
      <c r="T126" s="902">
        <f t="shared" ref="T126" si="1170">+T125/T120*1000</f>
        <v>36976.261127596437</v>
      </c>
      <c r="U126" s="904">
        <f t="shared" si="1169"/>
        <v>38765.167423726212</v>
      </c>
      <c r="V126" s="906">
        <f t="shared" si="1169"/>
        <v>40594.014187153814</v>
      </c>
      <c r="W126" s="902">
        <f t="shared" ref="W126:X126" si="1171">+W125/W120*1000</f>
        <v>42857.888769068195</v>
      </c>
      <c r="X126" s="902">
        <f t="shared" si="1171"/>
        <v>44793.394965135267</v>
      </c>
      <c r="Y126" s="902"/>
      <c r="Z126" s="902"/>
      <c r="AA126" s="902"/>
      <c r="AB126" s="902"/>
      <c r="AC126" s="902"/>
      <c r="AD126" s="902"/>
      <c r="AE126" s="902"/>
      <c r="AF126" s="902"/>
      <c r="AG126" s="902"/>
      <c r="AH126" s="902"/>
      <c r="AI126" s="902"/>
      <c r="AJ126" s="902"/>
      <c r="AK126" s="902"/>
      <c r="AL126" s="902"/>
      <c r="AM126" s="902"/>
      <c r="AN126" s="902"/>
      <c r="AO126" s="902"/>
      <c r="AP126" s="902">
        <f t="shared" ref="AP126:AV126" si="1172">+AP125/AP120*1000</f>
        <v>15677.532467532465</v>
      </c>
      <c r="AQ126" s="902">
        <f t="shared" si="1172"/>
        <v>16422.048192771083</v>
      </c>
      <c r="AR126" s="902">
        <f t="shared" si="1172"/>
        <v>19904.886363636364</v>
      </c>
      <c r="AS126" s="902">
        <f t="shared" si="1172"/>
        <v>22950.326086956527</v>
      </c>
      <c r="AT126" s="902">
        <f t="shared" si="1172"/>
        <v>24811.052631578939</v>
      </c>
      <c r="AU126" s="902">
        <f t="shared" si="1172"/>
        <v>28490.51546391752</v>
      </c>
      <c r="AV126" s="902">
        <f t="shared" si="1172"/>
        <v>33051.515151515137</v>
      </c>
      <c r="AW126" s="902">
        <f t="shared" ref="AW126:AX126" si="1173">+AW125/AW120*1000</f>
        <v>36976.261127596437</v>
      </c>
      <c r="AX126" s="906">
        <f t="shared" si="1173"/>
        <v>40594.014187153814</v>
      </c>
      <c r="AY126" s="902">
        <f t="shared" ref="AY126" si="1174">+AY125/AY120*1000</f>
        <v>44793.394965135267</v>
      </c>
      <c r="AZ126" s="902"/>
      <c r="BA126" s="903"/>
      <c r="BB126" s="910"/>
      <c r="BC126" s="911"/>
      <c r="BD126" s="912"/>
      <c r="BE126" s="913"/>
      <c r="BF126" s="912"/>
    </row>
    <row r="127" spans="1:58" ht="14.5" x14ac:dyDescent="0.35">
      <c r="A127" s="956" t="s">
        <v>37</v>
      </c>
      <c r="B127" s="915"/>
      <c r="C127" s="916"/>
      <c r="D127" s="916"/>
      <c r="E127" s="916"/>
      <c r="F127" s="918"/>
      <c r="G127" s="916"/>
      <c r="H127" s="918"/>
      <c r="I127" s="916"/>
      <c r="J127" s="918"/>
      <c r="K127" s="916"/>
      <c r="L127" s="918"/>
      <c r="M127" s="916">
        <f t="shared" ref="M127" si="1175">M126/K126-1</f>
        <v>0.12070245614035069</v>
      </c>
      <c r="N127" s="918">
        <f t="shared" ref="N127" si="1176">N126/L126-1</f>
        <v>8.1076257373089211E-2</v>
      </c>
      <c r="O127" s="916">
        <f t="shared" ref="O127" si="1177">O126/M126-1</f>
        <v>0.12124554738329296</v>
      </c>
      <c r="P127" s="918">
        <f t="shared" ref="P127" si="1178">P126/N126-1</f>
        <v>0.14829934412599033</v>
      </c>
      <c r="Q127" s="916">
        <f t="shared" ref="Q127" si="1179">Q126/O126-1</f>
        <v>0.11836349453735506</v>
      </c>
      <c r="R127" s="918">
        <f t="shared" ref="R127" si="1180">R126/P126-1</f>
        <v>0.16008835267912236</v>
      </c>
      <c r="S127" s="916">
        <f t="shared" ref="S127" si="1181">S126/Q126-1</f>
        <v>0.17392196154215478</v>
      </c>
      <c r="T127" s="916">
        <f t="shared" ref="T127" si="1182">T126/R126-1</f>
        <v>0.11874632548884478</v>
      </c>
      <c r="U127" s="917">
        <f t="shared" ref="U127" si="1183">U126/S126-1</f>
        <v>9.6567019741321314E-2</v>
      </c>
      <c r="V127" s="919">
        <f t="shared" ref="V127" si="1184">V126/T126-1</f>
        <v>9.7839882920378374E-2</v>
      </c>
      <c r="W127" s="916">
        <f t="shared" ref="W127" si="1185">W126/U126-1</f>
        <v>0.10557729057651466</v>
      </c>
      <c r="X127" s="916">
        <f t="shared" ref="X127" si="1186">X126/V126-1</f>
        <v>0.10344827586206962</v>
      </c>
      <c r="Y127" s="915"/>
      <c r="Z127" s="918"/>
      <c r="AA127" s="920"/>
      <c r="AB127" s="920"/>
      <c r="AC127" s="920"/>
      <c r="AD127" s="920"/>
      <c r="AE127" s="917"/>
      <c r="AF127" s="916" t="str">
        <f t="shared" ref="AF127" si="1187">IFERROR(AF126/AE126-1,"")</f>
        <v/>
      </c>
      <c r="AG127" s="916" t="str">
        <f t="shared" ref="AG127" si="1188">IFERROR(AG126/AF126-1,"")</f>
        <v/>
      </c>
      <c r="AH127" s="916" t="str">
        <f t="shared" ref="AH127" si="1189">IFERROR(AH126/AG126-1,"")</f>
        <v/>
      </c>
      <c r="AI127" s="916" t="str">
        <f t="shared" ref="AI127" si="1190">IFERROR(AI126/AH126-1,"")</f>
        <v/>
      </c>
      <c r="AJ127" s="916" t="str">
        <f t="shared" ref="AJ127" si="1191">IFERROR(AJ126/AI126-1,"")</f>
        <v/>
      </c>
      <c r="AK127" s="916" t="str">
        <f t="shared" ref="AK127" si="1192">IFERROR(AK126/AJ126-1,"")</f>
        <v/>
      </c>
      <c r="AL127" s="916" t="str">
        <f t="shared" ref="AL127" si="1193">IFERROR(AL126/AK126-1,"")</f>
        <v/>
      </c>
      <c r="AM127" s="916" t="str">
        <f t="shared" ref="AM127" si="1194">IFERROR(AM126/AL126-1,"")</f>
        <v/>
      </c>
      <c r="AN127" s="916" t="str">
        <f t="shared" ref="AN127" si="1195">IFERROR(AN126/AM126-1,"")</f>
        <v/>
      </c>
      <c r="AO127" s="916" t="str">
        <f t="shared" ref="AO127" si="1196">IFERROR(AO126/AN126-1,"")</f>
        <v/>
      </c>
      <c r="AP127" s="916" t="str">
        <f t="shared" ref="AP127" si="1197">IFERROR(AP126/AO126-1,"")</f>
        <v/>
      </c>
      <c r="AQ127" s="916">
        <f t="shared" ref="AQ127" si="1198">IFERROR(AQ126/AP126-1,"")</f>
        <v>4.7489343541815554E-2</v>
      </c>
      <c r="AR127" s="916">
        <f t="shared" ref="AR127" si="1199">IFERROR(AR126/AQ126-1,"")</f>
        <v>0.21208305626568635</v>
      </c>
      <c r="AS127" s="916">
        <f t="shared" ref="AS127" si="1200">IFERROR(AS126/AR126-1,"")</f>
        <v>0.15299960359903308</v>
      </c>
      <c r="AT127" s="916">
        <f t="shared" ref="AT127" si="1201">IFERROR(AT126/AS126-1,"")</f>
        <v>8.1076257373089211E-2</v>
      </c>
      <c r="AU127" s="916">
        <f t="shared" ref="AU127" si="1202">IFERROR(AU126/AT126-1,"")</f>
        <v>0.14829934412599033</v>
      </c>
      <c r="AV127" s="916">
        <f t="shared" ref="AV127" si="1203">IFERROR(AV126/AU126-1,"")</f>
        <v>0.16008835267912236</v>
      </c>
      <c r="AW127" s="916">
        <f t="shared" ref="AW127" si="1204">IFERROR(AW126/AV126-1,"")</f>
        <v>0.11874632548884478</v>
      </c>
      <c r="AX127" s="919">
        <f t="shared" ref="AX127" si="1205">IFERROR(AX126/AW126-1,"")</f>
        <v>9.7839882920378374E-2</v>
      </c>
      <c r="AY127" s="916">
        <f t="shared" ref="AY127" si="1206">IFERROR(AY126/AX126-1,"")</f>
        <v>0.10344827586206962</v>
      </c>
      <c r="BA127" s="915"/>
      <c r="BB127" s="921"/>
      <c r="BC127" s="922"/>
      <c r="BD127" s="923"/>
      <c r="BE127" s="924"/>
      <c r="BF127" s="923"/>
    </row>
    <row r="128" spans="1:58" ht="14.5" x14ac:dyDescent="0.35">
      <c r="A128" s="956"/>
      <c r="B128" s="915"/>
      <c r="C128" s="916"/>
      <c r="D128" s="916"/>
      <c r="E128" s="916"/>
      <c r="F128" s="918"/>
      <c r="G128" s="916"/>
      <c r="H128" s="918"/>
      <c r="I128" s="916"/>
      <c r="J128" s="918"/>
      <c r="K128" s="916"/>
      <c r="L128" s="918"/>
      <c r="M128" s="916"/>
      <c r="N128" s="918"/>
      <c r="O128" s="916"/>
      <c r="P128" s="918"/>
      <c r="Q128" s="916"/>
      <c r="R128" s="918"/>
      <c r="S128" s="916"/>
      <c r="T128" s="916"/>
      <c r="U128" s="917"/>
      <c r="V128" s="919"/>
      <c r="W128" s="916"/>
      <c r="X128" s="916"/>
      <c r="Y128" s="915"/>
      <c r="Z128" s="918"/>
      <c r="AA128" s="920"/>
      <c r="AB128" s="920"/>
      <c r="AC128" s="920"/>
      <c r="AD128" s="920"/>
      <c r="AE128" s="917"/>
      <c r="AF128" s="916"/>
      <c r="AG128" s="916"/>
      <c r="AH128" s="916"/>
      <c r="AI128" s="916"/>
      <c r="AJ128" s="916"/>
      <c r="AK128" s="916"/>
      <c r="AL128" s="916"/>
      <c r="AM128" s="916"/>
      <c r="AN128" s="916"/>
      <c r="AO128" s="916"/>
      <c r="AP128" s="916"/>
      <c r="AQ128" s="916"/>
      <c r="AR128" s="916"/>
      <c r="AS128" s="916"/>
      <c r="AT128" s="916"/>
      <c r="AU128" s="916"/>
      <c r="AV128" s="916"/>
      <c r="AW128" s="916"/>
      <c r="AX128" s="919"/>
      <c r="AY128" s="916"/>
      <c r="BA128" s="915"/>
      <c r="BB128" s="921"/>
      <c r="BC128" s="922"/>
      <c r="BD128" s="923"/>
      <c r="BE128" s="924"/>
      <c r="BF128" s="923"/>
    </row>
    <row r="129" spans="1:58" ht="17" x14ac:dyDescent="0.6">
      <c r="A129" s="759" t="s">
        <v>185</v>
      </c>
      <c r="B129" s="759"/>
      <c r="C129" s="975"/>
      <c r="D129" s="975"/>
      <c r="E129" s="975"/>
      <c r="F129" s="977">
        <f t="shared" ref="F129:V129" si="1207">+E22</f>
        <v>53.675000000000011</v>
      </c>
      <c r="G129" s="975">
        <f t="shared" si="1207"/>
        <v>67.041999999999973</v>
      </c>
      <c r="H129" s="977">
        <f t="shared" si="1207"/>
        <v>61.3</v>
      </c>
      <c r="I129" s="975">
        <f t="shared" si="1207"/>
        <v>75.003</v>
      </c>
      <c r="J129" s="977">
        <f t="shared" si="1207"/>
        <v>74.83499999999998</v>
      </c>
      <c r="K129" s="975">
        <f t="shared" si="1207"/>
        <v>100.32800000000003</v>
      </c>
      <c r="L129" s="977">
        <f t="shared" si="1207"/>
        <v>94.672000000000025</v>
      </c>
      <c r="M129" s="975">
        <f t="shared" si="1207"/>
        <v>116.471</v>
      </c>
      <c r="N129" s="977">
        <f t="shared" si="1207"/>
        <v>111.67200000000003</v>
      </c>
      <c r="O129" s="975">
        <f t="shared" si="1207"/>
        <v>124.0329999999999</v>
      </c>
      <c r="P129" s="977">
        <f t="shared" si="1207"/>
        <v>134.46400000000006</v>
      </c>
      <c r="Q129" s="975">
        <f t="shared" si="1207"/>
        <v>141.89399999999989</v>
      </c>
      <c r="R129" s="977">
        <f t="shared" si="1207"/>
        <v>150.21100000000007</v>
      </c>
      <c r="S129" s="975">
        <f t="shared" si="1207"/>
        <v>176.99899999999985</v>
      </c>
      <c r="T129" s="975">
        <f t="shared" ref="T129" si="1208">+S22</f>
        <v>177.05399999999997</v>
      </c>
      <c r="U129" s="976">
        <f t="shared" si="1207"/>
        <v>196.77600000000001</v>
      </c>
      <c r="V129" s="978">
        <f t="shared" si="1207"/>
        <v>196.51400000000001</v>
      </c>
      <c r="W129" s="975">
        <f t="shared" ref="W129" si="1209">+V22</f>
        <v>221.23899999999998</v>
      </c>
      <c r="X129" s="975">
        <f t="shared" ref="X129" si="1210">+W22</f>
        <v>220.09568000000004</v>
      </c>
      <c r="Y129" s="759"/>
      <c r="Z129" s="977"/>
      <c r="AA129" s="979"/>
      <c r="AB129" s="979"/>
      <c r="AC129" s="979"/>
      <c r="AD129" s="979"/>
      <c r="AE129" s="976"/>
      <c r="AF129" s="975"/>
      <c r="AG129" s="975"/>
      <c r="AH129" s="975"/>
      <c r="AI129" s="975"/>
      <c r="AJ129" s="975"/>
      <c r="AK129" s="975"/>
      <c r="AL129" s="975"/>
      <c r="AM129" s="975"/>
      <c r="AN129" s="975"/>
      <c r="AO129" s="975"/>
      <c r="AP129" s="975"/>
      <c r="AQ129" s="975"/>
      <c r="AR129" s="975"/>
      <c r="AS129" s="975"/>
      <c r="AT129" s="975"/>
      <c r="AU129" s="975"/>
      <c r="AV129" s="975"/>
      <c r="AW129" s="975"/>
      <c r="AX129" s="978"/>
      <c r="AY129" s="975"/>
      <c r="AZ129" s="975"/>
      <c r="BA129" s="759"/>
      <c r="BB129" s="895"/>
      <c r="BC129" s="896"/>
      <c r="BD129" s="897"/>
      <c r="BE129" s="898"/>
      <c r="BF129" s="897"/>
    </row>
    <row r="130" spans="1:58" collapsed="1" x14ac:dyDescent="0.3">
      <c r="A130" s="937" t="s">
        <v>186</v>
      </c>
      <c r="B130" s="901"/>
      <c r="C130" s="902"/>
      <c r="D130" s="902"/>
      <c r="E130" s="902"/>
      <c r="F130" s="905">
        <f>+F125-F129</f>
        <v>67.041999999999973</v>
      </c>
      <c r="G130" s="902">
        <f t="shared" ref="G130:V130" si="1211">+G125-G129</f>
        <v>61.300000000000011</v>
      </c>
      <c r="H130" s="905">
        <f t="shared" si="1211"/>
        <v>75.003</v>
      </c>
      <c r="I130" s="902">
        <f t="shared" si="1211"/>
        <v>74.834999999999965</v>
      </c>
      <c r="J130" s="905">
        <f t="shared" si="1211"/>
        <v>100.32800000000003</v>
      </c>
      <c r="K130" s="902">
        <f t="shared" si="1211"/>
        <v>94.672000000000025</v>
      </c>
      <c r="L130" s="905">
        <f t="shared" si="1211"/>
        <v>116.471</v>
      </c>
      <c r="M130" s="902">
        <f t="shared" si="1211"/>
        <v>111.67200000000003</v>
      </c>
      <c r="N130" s="905">
        <f t="shared" si="1211"/>
        <v>124.0329999999999</v>
      </c>
      <c r="O130" s="902">
        <f t="shared" si="1211"/>
        <v>134.46400000000006</v>
      </c>
      <c r="P130" s="905">
        <f t="shared" si="1211"/>
        <v>141.89399999999989</v>
      </c>
      <c r="Q130" s="902">
        <f t="shared" si="1211"/>
        <v>150.21100000000007</v>
      </c>
      <c r="R130" s="905">
        <f t="shared" si="1211"/>
        <v>176.99899999999985</v>
      </c>
      <c r="S130" s="902">
        <f t="shared" si="1211"/>
        <v>177.05399999999997</v>
      </c>
      <c r="T130" s="902">
        <f t="shared" ref="T130" si="1212">+T125-T129</f>
        <v>196.77600000000001</v>
      </c>
      <c r="U130" s="904">
        <f t="shared" si="1211"/>
        <v>196.51400000000001</v>
      </c>
      <c r="V130" s="906">
        <f t="shared" si="1211"/>
        <v>221.23899999999998</v>
      </c>
      <c r="W130" s="902">
        <f t="shared" ref="W130:X130" si="1213">+W125-W129</f>
        <v>220.09568000000007</v>
      </c>
      <c r="X130" s="902">
        <f t="shared" si="1213"/>
        <v>247.78767999999999</v>
      </c>
      <c r="Y130" s="902"/>
      <c r="Z130" s="902"/>
      <c r="AA130" s="902"/>
      <c r="AB130" s="902"/>
      <c r="AC130" s="902"/>
      <c r="AD130" s="902"/>
      <c r="AE130" s="902"/>
      <c r="AF130" s="902"/>
      <c r="AG130" s="902"/>
      <c r="AH130" s="902"/>
      <c r="AI130" s="902"/>
      <c r="AJ130" s="902"/>
      <c r="AK130" s="902"/>
      <c r="AL130" s="902"/>
      <c r="AM130" s="902"/>
      <c r="AN130" s="902">
        <f>+AN125</f>
        <v>88.521000000000015</v>
      </c>
      <c r="AO130" s="902">
        <f t="shared" ref="AO130:AX130" si="1214">+AO125</f>
        <v>102.77500000000001</v>
      </c>
      <c r="AP130" s="902">
        <f t="shared" si="1214"/>
        <v>120.71699999999998</v>
      </c>
      <c r="AQ130" s="902">
        <f t="shared" si="1214"/>
        <v>136.303</v>
      </c>
      <c r="AR130" s="902">
        <f t="shared" si="1214"/>
        <v>175.16300000000001</v>
      </c>
      <c r="AS130" s="902">
        <f t="shared" si="1214"/>
        <v>211.14300000000003</v>
      </c>
      <c r="AT130" s="902">
        <f t="shared" si="1214"/>
        <v>235.70499999999993</v>
      </c>
      <c r="AU130" s="902">
        <f t="shared" si="1214"/>
        <v>276.35799999999995</v>
      </c>
      <c r="AV130" s="902">
        <f t="shared" si="1214"/>
        <v>327.20999999999992</v>
      </c>
      <c r="AW130" s="902">
        <f t="shared" si="1214"/>
        <v>373.83</v>
      </c>
      <c r="AX130" s="906">
        <f t="shared" si="1214"/>
        <v>417.75299999999999</v>
      </c>
      <c r="AY130" s="902">
        <f t="shared" ref="AY130" si="1215">+AY125</f>
        <v>467.88336000000004</v>
      </c>
      <c r="AZ130" s="902"/>
      <c r="BA130" s="903"/>
      <c r="BB130" s="910"/>
      <c r="BC130" s="911"/>
      <c r="BD130" s="912"/>
      <c r="BE130" s="913"/>
      <c r="BF130" s="912"/>
    </row>
    <row r="131" spans="1:58" ht="14.5" x14ac:dyDescent="0.35">
      <c r="A131" s="956" t="s">
        <v>37</v>
      </c>
      <c r="B131" s="915"/>
      <c r="C131" s="916"/>
      <c r="D131" s="916"/>
      <c r="E131" s="916"/>
      <c r="F131" s="918"/>
      <c r="G131" s="916"/>
      <c r="H131" s="918"/>
      <c r="I131" s="916"/>
      <c r="J131" s="918"/>
      <c r="K131" s="916"/>
      <c r="L131" s="918"/>
      <c r="M131" s="916">
        <f t="shared" ref="M131" si="1216">M130/K130-1</f>
        <v>0.1795673483184046</v>
      </c>
      <c r="N131" s="918">
        <f t="shared" ref="N131" si="1217">N130/L130-1</f>
        <v>6.4926033089781177E-2</v>
      </c>
      <c r="O131" s="916">
        <f t="shared" ref="O131" si="1218">O130/M130-1</f>
        <v>0.20409771473601279</v>
      </c>
      <c r="P131" s="918">
        <f t="shared" ref="P131" si="1219">P130/N130-1</f>
        <v>0.14400199946788361</v>
      </c>
      <c r="Q131" s="916">
        <f t="shared" ref="Q131" si="1220">Q130/O130-1</f>
        <v>0.11710941218467408</v>
      </c>
      <c r="R131" s="918">
        <f t="shared" ref="R131" si="1221">R130/P130-1</f>
        <v>0.24740299096508656</v>
      </c>
      <c r="S131" s="916">
        <f t="shared" ref="S131" si="1222">S130/Q130-1</f>
        <v>0.17870195924399601</v>
      </c>
      <c r="T131" s="916">
        <f t="shared" ref="T131" si="1223">T130/R130-1</f>
        <v>0.11173509454855779</v>
      </c>
      <c r="U131" s="917">
        <f t="shared" ref="U131" si="1224">U130/S130-1</f>
        <v>0.10990997096930899</v>
      </c>
      <c r="V131" s="919">
        <f t="shared" ref="V131" si="1225">V130/T130-1</f>
        <v>0.12431902264503791</v>
      </c>
      <c r="W131" s="916">
        <f t="shared" ref="W131" si="1226">W130/U130-1</f>
        <v>0.12000000000000033</v>
      </c>
      <c r="X131" s="916">
        <f t="shared" ref="X131" si="1227">X130/V130-1</f>
        <v>0.12000000000000011</v>
      </c>
      <c r="Y131" s="915"/>
      <c r="Z131" s="918"/>
      <c r="AA131" s="920"/>
      <c r="AB131" s="920"/>
      <c r="AC131" s="920"/>
      <c r="AD131" s="920"/>
      <c r="AE131" s="917"/>
      <c r="AF131" s="916" t="str">
        <f t="shared" ref="AF131" si="1228">IFERROR(AF130/AE130-1,"")</f>
        <v/>
      </c>
      <c r="AG131" s="916" t="str">
        <f t="shared" ref="AG131" si="1229">IFERROR(AG130/AF130-1,"")</f>
        <v/>
      </c>
      <c r="AH131" s="916" t="str">
        <f t="shared" ref="AH131" si="1230">IFERROR(AH130/AG130-1,"")</f>
        <v/>
      </c>
      <c r="AI131" s="916" t="str">
        <f t="shared" ref="AI131" si="1231">IFERROR(AI130/AH130-1,"")</f>
        <v/>
      </c>
      <c r="AJ131" s="916" t="str">
        <f t="shared" ref="AJ131" si="1232">IFERROR(AJ130/AI130-1,"")</f>
        <v/>
      </c>
      <c r="AK131" s="916" t="str">
        <f t="shared" ref="AK131" si="1233">IFERROR(AK130/AJ130-1,"")</f>
        <v/>
      </c>
      <c r="AL131" s="916" t="str">
        <f t="shared" ref="AL131" si="1234">IFERROR(AL130/AK130-1,"")</f>
        <v/>
      </c>
      <c r="AM131" s="916" t="str">
        <f t="shared" ref="AM131" si="1235">IFERROR(AM130/AL130-1,"")</f>
        <v/>
      </c>
      <c r="AN131" s="916" t="str">
        <f t="shared" ref="AN131" si="1236">IFERROR(AN130/AM130-1,"")</f>
        <v/>
      </c>
      <c r="AO131" s="916">
        <f t="shared" ref="AO131" si="1237">IFERROR(AO130/AN130-1,"")</f>
        <v>0.16102393782266344</v>
      </c>
      <c r="AP131" s="916">
        <f t="shared" ref="AP131" si="1238">IFERROR(AP130/AO130-1,"")</f>
        <v>0.17457552906835305</v>
      </c>
      <c r="AQ131" s="916">
        <f t="shared" ref="AQ131" si="1239">IFERROR(AQ130/AP130-1,"")</f>
        <v>0.12911188979182731</v>
      </c>
      <c r="AR131" s="916">
        <f t="shared" ref="AR131" si="1240">IFERROR(AR130/AQ130-1,"")</f>
        <v>0.28510010784795647</v>
      </c>
      <c r="AS131" s="916">
        <f t="shared" ref="AS131" si="1241">IFERROR(AS130/AR130-1,"")</f>
        <v>0.20540867648989813</v>
      </c>
      <c r="AT131" s="916">
        <f t="shared" ref="AT131" si="1242">IFERROR(AT130/AS130-1,"")</f>
        <v>0.11632874402655968</v>
      </c>
      <c r="AU131" s="916">
        <f t="shared" ref="AU131" si="1243">IFERROR(AU130/AT130-1,"")</f>
        <v>0.17247406716022162</v>
      </c>
      <c r="AV131" s="916">
        <f t="shared" ref="AV131" si="1244">IFERROR(AV130/AU130-1,"")</f>
        <v>0.1840077001570426</v>
      </c>
      <c r="AW131" s="916">
        <f t="shared" ref="AW131" si="1245">IFERROR(AW130/AV130-1,"")</f>
        <v>0.14247730815072912</v>
      </c>
      <c r="AX131" s="919">
        <f t="shared" ref="AX131" si="1246">IFERROR(AX130/AW130-1,"")</f>
        <v>0.11749458309926974</v>
      </c>
      <c r="AY131" s="916">
        <f t="shared" ref="AY131" si="1247">IFERROR(AY130/AX130-1,"")</f>
        <v>0.12000000000000011</v>
      </c>
      <c r="BA131" s="915"/>
      <c r="BB131" s="921"/>
      <c r="BC131" s="922"/>
      <c r="BD131" s="923"/>
      <c r="BE131" s="924"/>
      <c r="BF131" s="923"/>
    </row>
    <row r="132" spans="1:58" x14ac:dyDescent="0.3">
      <c r="F132" s="1307"/>
      <c r="H132" s="1307"/>
      <c r="J132" s="1307"/>
      <c r="L132" s="1307"/>
      <c r="N132" s="1307"/>
      <c r="P132" s="1307"/>
      <c r="R132" s="1307"/>
      <c r="U132" s="1003"/>
      <c r="V132" s="1005"/>
      <c r="W132" s="759"/>
      <c r="X132" s="759"/>
      <c r="AX132" s="1313"/>
      <c r="AZ132" s="902"/>
    </row>
    <row r="133" spans="1:58" ht="14.5" x14ac:dyDescent="0.35">
      <c r="F133" s="1307"/>
      <c r="H133" s="1307"/>
      <c r="J133" s="1307"/>
      <c r="L133" s="1307"/>
      <c r="N133" s="1307"/>
      <c r="P133" s="1307"/>
      <c r="R133" s="1307"/>
      <c r="U133" s="1003"/>
      <c r="V133" s="1005"/>
      <c r="W133" s="759"/>
      <c r="X133" s="759"/>
      <c r="AX133" s="1313"/>
      <c r="AZ133" s="916"/>
    </row>
    <row r="134" spans="1:58" ht="14.5" x14ac:dyDescent="0.35">
      <c r="A134" s="899" t="s">
        <v>187</v>
      </c>
      <c r="B134" s="759"/>
      <c r="F134" s="1307"/>
      <c r="H134" s="1307"/>
      <c r="J134" s="1307"/>
      <c r="L134" s="1307"/>
      <c r="N134" s="1307"/>
      <c r="P134" s="1307"/>
      <c r="R134" s="1307"/>
      <c r="U134" s="1003"/>
      <c r="V134" s="1005"/>
      <c r="W134" s="759"/>
      <c r="X134" s="759"/>
      <c r="AX134" s="1313"/>
      <c r="AZ134" s="916"/>
    </row>
    <row r="135" spans="1:58" x14ac:dyDescent="0.3">
      <c r="F135" s="1307"/>
      <c r="H135" s="1307"/>
      <c r="J135" s="1307"/>
      <c r="L135" s="1307"/>
      <c r="N135" s="1307"/>
      <c r="P135" s="1307"/>
      <c r="R135" s="1307"/>
      <c r="U135" s="1444"/>
      <c r="V135" s="1005"/>
      <c r="W135" s="759"/>
      <c r="X135" s="759"/>
      <c r="AX135" s="1313"/>
      <c r="AZ135" s="943"/>
    </row>
    <row r="136" spans="1:58" x14ac:dyDescent="0.3">
      <c r="A136" s="756" t="s">
        <v>188</v>
      </c>
      <c r="E136" s="1293"/>
      <c r="F136" s="1308">
        <f>+AP136</f>
        <v>886.4406779661017</v>
      </c>
      <c r="G136" s="908"/>
      <c r="H136" s="1308">
        <f>+AQ136</f>
        <v>1046</v>
      </c>
      <c r="I136" s="908"/>
      <c r="J136" s="1308">
        <f>+'Disclosed financials'!J186</f>
        <v>1188</v>
      </c>
      <c r="K136" s="908">
        <f>+'Disclosed financials'!K186</f>
        <v>1315</v>
      </c>
      <c r="L136" s="1308">
        <f>+'Disclosed financials'!L186</f>
        <v>1330</v>
      </c>
      <c r="M136" s="908">
        <f>+'Disclosed financials'!M186</f>
        <v>1481</v>
      </c>
      <c r="N136" s="1308">
        <f>+'Disclosed financials'!N186</f>
        <v>1534</v>
      </c>
      <c r="O136" s="908">
        <f>+'Disclosed financials'!O186</f>
        <v>1658</v>
      </c>
      <c r="P136" s="1308">
        <f>+'Disclosed financials'!P186</f>
        <v>1681</v>
      </c>
      <c r="Q136" s="908">
        <f>+'Disclosed financials'!Q186</f>
        <v>1779</v>
      </c>
      <c r="R136" s="1308">
        <f>+'Disclosed financials'!R186</f>
        <v>1921</v>
      </c>
      <c r="S136" s="908">
        <f>+'Disclosed financials'!S186</f>
        <v>2154</v>
      </c>
      <c r="T136" s="902">
        <f>+'Disclosed financials'!T186</f>
        <v>2315</v>
      </c>
      <c r="U136" s="1459">
        <f>+'Disclosed financials'!U186</f>
        <v>2468</v>
      </c>
      <c r="V136" s="906">
        <f>+'Disclosed financials'!V186</f>
        <v>2509</v>
      </c>
      <c r="W136" s="974">
        <f>+U136*1.08</f>
        <v>2665.44</v>
      </c>
      <c r="X136" s="974">
        <f>+V136*1.08</f>
        <v>2709.7200000000003</v>
      </c>
      <c r="Y136" s="1293"/>
      <c r="Z136" s="1293">
        <f>+'Disclosed financials'!AE186</f>
        <v>67</v>
      </c>
      <c r="AA136" s="1293">
        <f>+'Disclosed financials'!AF186</f>
        <v>0</v>
      </c>
      <c r="AB136" s="1293">
        <f>+'Disclosed financials'!AG186</f>
        <v>0</v>
      </c>
      <c r="AC136" s="1293">
        <f>+'Disclosed financials'!AH186</f>
        <v>0</v>
      </c>
      <c r="AD136" s="1293">
        <f>+'Disclosed financials'!AI186</f>
        <v>0</v>
      </c>
      <c r="AE136" s="1293">
        <f>+'Disclosed financials'!AJ186</f>
        <v>127</v>
      </c>
      <c r="AF136" s="1293">
        <f>+'Disclosed financials'!AK186</f>
        <v>0</v>
      </c>
      <c r="AG136" s="1293">
        <f>+'Disclosed financials'!AL186</f>
        <v>0</v>
      </c>
      <c r="AH136" s="1293">
        <f>+'Disclosed financials'!AM186</f>
        <v>0</v>
      </c>
      <c r="AI136" s="1293">
        <f>+'Disclosed financials'!AN186</f>
        <v>0</v>
      </c>
      <c r="AJ136" s="1293">
        <f>+'Disclosed financials'!AO186</f>
        <v>214</v>
      </c>
      <c r="AK136" s="1293">
        <f>+'Disclosed financials'!AP186</f>
        <v>333</v>
      </c>
      <c r="AL136" s="1293">
        <f>+'Disclosed financials'!AQ186</f>
        <v>432</v>
      </c>
      <c r="AM136" s="1293">
        <f>+'Disclosed financials'!AR186</f>
        <v>558</v>
      </c>
      <c r="AN136" s="1293">
        <f>+'Disclosed financials'!AS186</f>
        <v>673</v>
      </c>
      <c r="AO136" s="1293">
        <f>+'Disclosed financials'!AT186</f>
        <v>794</v>
      </c>
      <c r="AP136" s="1293">
        <f>+'Disclosed financials'!AU186</f>
        <v>886.4406779661017</v>
      </c>
      <c r="AQ136" s="1293">
        <f>+'Disclosed financials'!AV186</f>
        <v>1046</v>
      </c>
      <c r="AR136" s="1293">
        <f>+'Disclosed financials'!AW186</f>
        <v>1188</v>
      </c>
      <c r="AS136" s="1293">
        <f>+'Disclosed financials'!AX186</f>
        <v>1330</v>
      </c>
      <c r="AT136" s="1293">
        <f>+'Disclosed financials'!AY186</f>
        <v>1534</v>
      </c>
      <c r="AU136" s="1293">
        <f>+'Disclosed financials'!AZ186</f>
        <v>1681</v>
      </c>
      <c r="AV136" s="908">
        <f>+'Disclosed financials'!BA186</f>
        <v>1921</v>
      </c>
      <c r="AW136" s="1295">
        <f>+T136</f>
        <v>2315</v>
      </c>
      <c r="AX136" s="1353">
        <f>+V136</f>
        <v>2509</v>
      </c>
      <c r="AY136" s="1295">
        <f>+X136</f>
        <v>2709.7200000000003</v>
      </c>
      <c r="AZ136" s="943"/>
    </row>
    <row r="137" spans="1:58" ht="14.5" x14ac:dyDescent="0.35">
      <c r="A137" s="914" t="s">
        <v>37</v>
      </c>
      <c r="B137" s="915"/>
      <c r="C137" s="916"/>
      <c r="D137" s="916"/>
      <c r="E137" s="916"/>
      <c r="F137" s="918">
        <f>+AP137</f>
        <v>0.11642402766511539</v>
      </c>
      <c r="G137" s="916"/>
      <c r="H137" s="918">
        <f t="shared" ref="H137:M137" si="1248">H136/F136-1</f>
        <v>0.17999999999999994</v>
      </c>
      <c r="I137" s="916"/>
      <c r="J137" s="918">
        <f t="shared" si="1248"/>
        <v>0.13575525812619493</v>
      </c>
      <c r="K137" s="916" t="s">
        <v>52</v>
      </c>
      <c r="L137" s="918">
        <f t="shared" si="1248"/>
        <v>0.1195286195286196</v>
      </c>
      <c r="M137" s="916">
        <f t="shared" si="1248"/>
        <v>0.12623574144486693</v>
      </c>
      <c r="N137" s="918">
        <f t="shared" ref="N137" si="1249">N136/L136-1</f>
        <v>0.15338345864661651</v>
      </c>
      <c r="O137" s="916">
        <f t="shared" ref="O137" si="1250">O136/M136-1</f>
        <v>0.11951384199864945</v>
      </c>
      <c r="P137" s="918">
        <f t="shared" ref="P137" si="1251">P136/N136-1</f>
        <v>9.5827900912646591E-2</v>
      </c>
      <c r="Q137" s="916">
        <f t="shared" ref="Q137" si="1252">Q136/O136-1</f>
        <v>7.2979493365500581E-2</v>
      </c>
      <c r="R137" s="918">
        <f t="shared" ref="R137" si="1253">R136/P136-1</f>
        <v>0.1427721594289113</v>
      </c>
      <c r="S137" s="916">
        <f t="shared" ref="S137" si="1254">S136/Q136-1</f>
        <v>0.21079258010118052</v>
      </c>
      <c r="T137" s="916">
        <f t="shared" ref="T137" si="1255">T136/R136-1</f>
        <v>0.20510150963040075</v>
      </c>
      <c r="U137" s="917">
        <f t="shared" ref="U137:V137" si="1256">U136/S136-1</f>
        <v>0.14577530176415965</v>
      </c>
      <c r="V137" s="919">
        <f t="shared" si="1256"/>
        <v>8.3801295896328343E-2</v>
      </c>
      <c r="W137" s="916">
        <f t="shared" ref="W137" si="1257">W136/U136-1</f>
        <v>8.0000000000000071E-2</v>
      </c>
      <c r="X137" s="916">
        <f t="shared" ref="X137" si="1258">X136/V136-1</f>
        <v>8.0000000000000071E-2</v>
      </c>
      <c r="Y137" s="915"/>
      <c r="Z137" s="918"/>
      <c r="AA137" s="920"/>
      <c r="AB137" s="920"/>
      <c r="AC137" s="920"/>
      <c r="AD137" s="920"/>
      <c r="AE137" s="917"/>
      <c r="AF137" s="916">
        <f t="shared" ref="AF137" si="1259">IFERROR(AF136/AE136-1,"")</f>
        <v>-1</v>
      </c>
      <c r="AG137" s="916" t="str">
        <f t="shared" ref="AG137" si="1260">IFERROR(AG136/AF136-1,"")</f>
        <v/>
      </c>
      <c r="AH137" s="916" t="str">
        <f t="shared" ref="AH137" si="1261">IFERROR(AH136/AG136-1,"")</f>
        <v/>
      </c>
      <c r="AI137" s="916" t="str">
        <f t="shared" ref="AI137" si="1262">IFERROR(AI136/AH136-1,"")</f>
        <v/>
      </c>
      <c r="AJ137" s="916" t="str">
        <f t="shared" ref="AJ137" si="1263">IFERROR(AJ136/AI136-1,"")</f>
        <v/>
      </c>
      <c r="AK137" s="916">
        <f t="shared" ref="AK137" si="1264">IFERROR(AK136/AJ136-1,"")</f>
        <v>0.55607476635514019</v>
      </c>
      <c r="AL137" s="916">
        <f t="shared" ref="AL137" si="1265">IFERROR(AL136/AK136-1,"")</f>
        <v>0.29729729729729737</v>
      </c>
      <c r="AM137" s="916">
        <f t="shared" ref="AM137" si="1266">IFERROR(AM136/AL136-1,"")</f>
        <v>0.29166666666666674</v>
      </c>
      <c r="AN137" s="916">
        <f t="shared" ref="AN137" si="1267">IFERROR(AN136/AM136-1,"")</f>
        <v>0.2060931899641576</v>
      </c>
      <c r="AO137" s="916">
        <f t="shared" ref="AO137" si="1268">IFERROR(AO136/AN136-1,"")</f>
        <v>0.17979197622585441</v>
      </c>
      <c r="AP137" s="916">
        <f t="shared" ref="AP137" si="1269">IFERROR(AP136/AO136-1,"")</f>
        <v>0.11642402766511539</v>
      </c>
      <c r="AQ137" s="916">
        <f t="shared" ref="AQ137" si="1270">IFERROR(AQ136/AP136-1,"")</f>
        <v>0.17999999999999994</v>
      </c>
      <c r="AR137" s="916">
        <f t="shared" ref="AR137" si="1271">IFERROR(AR136/AQ136-1,"")</f>
        <v>0.13575525812619493</v>
      </c>
      <c r="AS137" s="916">
        <f t="shared" ref="AS137" si="1272">IFERROR(AS136/AR136-1,"")</f>
        <v>0.1195286195286196</v>
      </c>
      <c r="AT137" s="916">
        <f t="shared" ref="AT137" si="1273">IFERROR(AT136/AS136-1,"")</f>
        <v>0.15338345864661651</v>
      </c>
      <c r="AU137" s="916">
        <f t="shared" ref="AU137" si="1274">IFERROR(AU136/AT136-1,"")</f>
        <v>9.5827900912646591E-2</v>
      </c>
      <c r="AV137" s="916">
        <f t="shared" ref="AV137" si="1275">IFERROR(AV136/AU136-1,"")</f>
        <v>0.1427721594289113</v>
      </c>
      <c r="AW137" s="916">
        <f t="shared" ref="AW137" si="1276">IFERROR(AW136/AV136-1,"")</f>
        <v>0.20510150963040075</v>
      </c>
      <c r="AX137" s="919">
        <f t="shared" ref="AX137" si="1277">IFERROR(AX136/AW136-1,"")</f>
        <v>8.3801295896328343E-2</v>
      </c>
      <c r="AY137" s="916">
        <f t="shared" ref="AY137" si="1278">IFERROR(AY136/AX136-1,"")</f>
        <v>8.0000000000000071E-2</v>
      </c>
      <c r="BA137" s="915"/>
      <c r="BB137" s="921"/>
      <c r="BC137" s="922"/>
      <c r="BD137" s="923"/>
      <c r="BE137" s="924"/>
      <c r="BF137" s="923"/>
    </row>
    <row r="138" spans="1:58" s="758" customFormat="1" ht="14.5" x14ac:dyDescent="0.35">
      <c r="A138" s="914" t="s">
        <v>38</v>
      </c>
      <c r="B138" s="925"/>
      <c r="C138" s="926"/>
      <c r="D138" s="926">
        <f>+D136-C136</f>
        <v>0</v>
      </c>
      <c r="E138" s="926"/>
      <c r="F138" s="1360" t="s">
        <v>52</v>
      </c>
      <c r="G138" s="926"/>
      <c r="H138" s="1360" t="s">
        <v>52</v>
      </c>
      <c r="I138" s="926"/>
      <c r="J138" s="1360" t="s">
        <v>52</v>
      </c>
      <c r="K138" s="926">
        <f t="shared" ref="K138:M138" si="1279">+K136-J136</f>
        <v>127</v>
      </c>
      <c r="L138" s="929">
        <f t="shared" ref="L138" si="1280">+L136-K136</f>
        <v>15</v>
      </c>
      <c r="M138" s="926">
        <f t="shared" si="1279"/>
        <v>151</v>
      </c>
      <c r="N138" s="929">
        <f t="shared" ref="N138" si="1281">+N136-M136</f>
        <v>53</v>
      </c>
      <c r="O138" s="926">
        <f t="shared" ref="O138" si="1282">+O136-N136</f>
        <v>124</v>
      </c>
      <c r="P138" s="929">
        <f t="shared" ref="P138" si="1283">+P136-O136</f>
        <v>23</v>
      </c>
      <c r="Q138" s="926">
        <f t="shared" ref="Q138" si="1284">+Q136-P136</f>
        <v>98</v>
      </c>
      <c r="R138" s="929">
        <f t="shared" ref="R138" si="1285">+R136-Q136</f>
        <v>142</v>
      </c>
      <c r="S138" s="926">
        <f t="shared" ref="S138" si="1286">+S136-R136</f>
        <v>233</v>
      </c>
      <c r="T138" s="926">
        <f t="shared" ref="T138" si="1287">+T136-S136</f>
        <v>161</v>
      </c>
      <c r="U138" s="928">
        <f t="shared" ref="U138:V138" si="1288">+U136-T136</f>
        <v>153</v>
      </c>
      <c r="V138" s="930">
        <f t="shared" si="1288"/>
        <v>41</v>
      </c>
      <c r="W138" s="926">
        <f t="shared" ref="W138" si="1289">+W136-V136</f>
        <v>156.44000000000005</v>
      </c>
      <c r="X138" s="926">
        <f t="shared" ref="X138" si="1290">+X136-W136</f>
        <v>44.2800000000002</v>
      </c>
      <c r="Y138" s="931"/>
      <c r="Z138" s="929"/>
      <c r="AA138" s="932">
        <f t="shared" ref="AA138" si="1291">AA136-Z136</f>
        <v>-67</v>
      </c>
      <c r="AB138" s="932">
        <f t="shared" ref="AB138" si="1292">AB136-AA136</f>
        <v>0</v>
      </c>
      <c r="AC138" s="932">
        <f t="shared" ref="AC138" si="1293">AC136-AB136</f>
        <v>0</v>
      </c>
      <c r="AD138" s="932">
        <f t="shared" ref="AD138" si="1294">AD136-AC136</f>
        <v>0</v>
      </c>
      <c r="AE138" s="928">
        <f t="shared" ref="AE138" si="1295">AE136-AD136</f>
        <v>127</v>
      </c>
      <c r="AF138" s="926">
        <f t="shared" ref="AF138" si="1296">AF136-AE136</f>
        <v>-127</v>
      </c>
      <c r="AG138" s="926">
        <f t="shared" ref="AG138" si="1297">AG136-AF136</f>
        <v>0</v>
      </c>
      <c r="AH138" s="926">
        <f t="shared" ref="AH138" si="1298">AH136-AG136</f>
        <v>0</v>
      </c>
      <c r="AI138" s="926">
        <f t="shared" ref="AI138" si="1299">AI136-AH136</f>
        <v>0</v>
      </c>
      <c r="AJ138" s="926">
        <f t="shared" ref="AJ138" si="1300">AJ136-AI136</f>
        <v>214</v>
      </c>
      <c r="AK138" s="926">
        <f t="shared" ref="AK138" si="1301">AK136-AJ136</f>
        <v>119</v>
      </c>
      <c r="AL138" s="926">
        <f t="shared" ref="AL138" si="1302">AL136-AK136</f>
        <v>99</v>
      </c>
      <c r="AM138" s="926">
        <f t="shared" ref="AM138" si="1303">AM136-AL136</f>
        <v>126</v>
      </c>
      <c r="AN138" s="926">
        <f t="shared" ref="AN138" si="1304">AN136-AM136</f>
        <v>115</v>
      </c>
      <c r="AO138" s="926">
        <f t="shared" ref="AO138" si="1305">AO136-AN136</f>
        <v>121</v>
      </c>
      <c r="AP138" s="926">
        <f t="shared" ref="AP138" si="1306">AP136-AO136</f>
        <v>92.440677966101703</v>
      </c>
      <c r="AQ138" s="926">
        <f t="shared" ref="AQ138" si="1307">AQ136-AP136</f>
        <v>159.5593220338983</v>
      </c>
      <c r="AR138" s="926">
        <f t="shared" ref="AR138" si="1308">AR136-AQ136</f>
        <v>142</v>
      </c>
      <c r="AS138" s="926">
        <f t="shared" ref="AS138" si="1309">AS136-AR136</f>
        <v>142</v>
      </c>
      <c r="AT138" s="926">
        <f t="shared" ref="AT138" si="1310">AT136-AS136</f>
        <v>204</v>
      </c>
      <c r="AU138" s="926">
        <f t="shared" ref="AU138" si="1311">AU136-AT136</f>
        <v>147</v>
      </c>
      <c r="AV138" s="926">
        <f t="shared" ref="AV138" si="1312">AV136-AU136</f>
        <v>240</v>
      </c>
      <c r="AW138" s="926">
        <f t="shared" ref="AW138" si="1313">AW136-AV136</f>
        <v>394</v>
      </c>
      <c r="AX138" s="930">
        <f t="shared" ref="AX138" si="1314">AX136-AW136</f>
        <v>194</v>
      </c>
      <c r="AY138" s="926">
        <f t="shared" ref="AY138" si="1315">AY136-AX136</f>
        <v>200.72000000000025</v>
      </c>
      <c r="AZ138" s="1285"/>
      <c r="BA138" s="1290"/>
      <c r="BB138" s="1291"/>
      <c r="BC138" s="934"/>
      <c r="BD138" s="935"/>
      <c r="BE138" s="936"/>
      <c r="BF138" s="935"/>
    </row>
    <row r="139" spans="1:58" s="758" customFormat="1" ht="14.5" x14ac:dyDescent="0.35">
      <c r="A139" s="914" t="s">
        <v>143</v>
      </c>
      <c r="B139" s="925"/>
      <c r="C139" s="926"/>
      <c r="D139" s="926"/>
      <c r="E139" s="926"/>
      <c r="F139" s="929">
        <f>+AP139</f>
        <v>92.440677966101703</v>
      </c>
      <c r="G139" s="926"/>
      <c r="H139" s="929">
        <f t="shared" ref="H139" si="1316">+H136-F136</f>
        <v>159.5593220338983</v>
      </c>
      <c r="I139" s="926"/>
      <c r="J139" s="929">
        <f t="shared" ref="J139" si="1317">+J136-H136</f>
        <v>142</v>
      </c>
      <c r="K139" s="926">
        <f t="shared" ref="K139" si="1318">+K136-I136</f>
        <v>1315</v>
      </c>
      <c r="L139" s="929">
        <f t="shared" ref="L139" si="1319">+L136-J136</f>
        <v>142</v>
      </c>
      <c r="M139" s="926">
        <f t="shared" ref="M139" si="1320">+M136-K136</f>
        <v>166</v>
      </c>
      <c r="N139" s="929">
        <f t="shared" ref="N139" si="1321">+N136-L136</f>
        <v>204</v>
      </c>
      <c r="O139" s="926">
        <f t="shared" ref="O139" si="1322">+O136-M136</f>
        <v>177</v>
      </c>
      <c r="P139" s="929">
        <f t="shared" ref="P139" si="1323">+P136-N136</f>
        <v>147</v>
      </c>
      <c r="Q139" s="926">
        <f t="shared" ref="Q139" si="1324">+Q136-O136</f>
        <v>121</v>
      </c>
      <c r="R139" s="929">
        <f t="shared" ref="R139" si="1325">+R136-P136</f>
        <v>240</v>
      </c>
      <c r="S139" s="926">
        <f t="shared" ref="S139" si="1326">+S136-Q136</f>
        <v>375</v>
      </c>
      <c r="T139" s="926">
        <f t="shared" ref="T139" si="1327">+T136-R136</f>
        <v>394</v>
      </c>
      <c r="U139" s="928">
        <f t="shared" ref="U139:V139" si="1328">+U136-S136</f>
        <v>314</v>
      </c>
      <c r="V139" s="930">
        <f t="shared" si="1328"/>
        <v>194</v>
      </c>
      <c r="W139" s="926">
        <f t="shared" ref="W139" si="1329">+W136-U136</f>
        <v>197.44000000000005</v>
      </c>
      <c r="X139" s="926">
        <f t="shared" ref="X139" si="1330">+X136-V136</f>
        <v>200.72000000000025</v>
      </c>
      <c r="Y139" s="931"/>
      <c r="Z139" s="929"/>
      <c r="AA139" s="932"/>
      <c r="AB139" s="932"/>
      <c r="AC139" s="932"/>
      <c r="AD139" s="932"/>
      <c r="AE139" s="928"/>
      <c r="AF139" s="926">
        <f>+AF138</f>
        <v>-127</v>
      </c>
      <c r="AG139" s="926">
        <f t="shared" ref="AG139:AP139" si="1331">+AG138</f>
        <v>0</v>
      </c>
      <c r="AH139" s="926">
        <f t="shared" si="1331"/>
        <v>0</v>
      </c>
      <c r="AI139" s="926">
        <f t="shared" si="1331"/>
        <v>0</v>
      </c>
      <c r="AJ139" s="926">
        <f t="shared" si="1331"/>
        <v>214</v>
      </c>
      <c r="AK139" s="926">
        <f t="shared" si="1331"/>
        <v>119</v>
      </c>
      <c r="AL139" s="926">
        <f t="shared" si="1331"/>
        <v>99</v>
      </c>
      <c r="AM139" s="926">
        <f t="shared" si="1331"/>
        <v>126</v>
      </c>
      <c r="AN139" s="926">
        <f t="shared" si="1331"/>
        <v>115</v>
      </c>
      <c r="AO139" s="926">
        <f t="shared" si="1331"/>
        <v>121</v>
      </c>
      <c r="AP139" s="926">
        <f t="shared" si="1331"/>
        <v>92.440677966101703</v>
      </c>
      <c r="AQ139" s="926">
        <f t="shared" ref="AQ139:AX139" si="1332">+AQ138</f>
        <v>159.5593220338983</v>
      </c>
      <c r="AR139" s="926">
        <f t="shared" si="1332"/>
        <v>142</v>
      </c>
      <c r="AS139" s="926">
        <f t="shared" si="1332"/>
        <v>142</v>
      </c>
      <c r="AT139" s="926">
        <f t="shared" si="1332"/>
        <v>204</v>
      </c>
      <c r="AU139" s="926">
        <f t="shared" si="1332"/>
        <v>147</v>
      </c>
      <c r="AV139" s="926">
        <f t="shared" si="1332"/>
        <v>240</v>
      </c>
      <c r="AW139" s="926">
        <f t="shared" si="1332"/>
        <v>394</v>
      </c>
      <c r="AX139" s="930">
        <f t="shared" si="1332"/>
        <v>194</v>
      </c>
      <c r="AY139" s="926">
        <f t="shared" ref="AY139" si="1333">+AY138</f>
        <v>200.72000000000025</v>
      </c>
      <c r="AZ139" s="1285"/>
      <c r="BA139" s="1290"/>
      <c r="BB139" s="1291"/>
      <c r="BC139" s="934"/>
      <c r="BD139" s="935"/>
      <c r="BE139" s="936"/>
      <c r="BF139" s="935"/>
    </row>
    <row r="140" spans="1:58" s="758" customFormat="1" ht="14.5" x14ac:dyDescent="0.35">
      <c r="A140" s="914"/>
      <c r="B140" s="925"/>
      <c r="C140" s="926"/>
      <c r="D140" s="926"/>
      <c r="E140" s="926"/>
      <c r="F140" s="929"/>
      <c r="G140" s="926"/>
      <c r="H140" s="929"/>
      <c r="I140" s="926"/>
      <c r="J140" s="929"/>
      <c r="K140" s="926"/>
      <c r="L140" s="1284"/>
      <c r="M140" s="1285"/>
      <c r="N140" s="1284"/>
      <c r="O140" s="1285"/>
      <c r="P140" s="1284"/>
      <c r="Q140" s="1285"/>
      <c r="R140" s="1284"/>
      <c r="S140" s="1285"/>
      <c r="T140" s="1285"/>
      <c r="U140" s="1289"/>
      <c r="V140" s="1286"/>
      <c r="W140" s="1285"/>
      <c r="X140" s="1285"/>
      <c r="Y140" s="1287"/>
      <c r="Z140" s="1285"/>
      <c r="AA140" s="1285"/>
      <c r="AB140" s="1285"/>
      <c r="AC140" s="1285"/>
      <c r="AD140" s="1285"/>
      <c r="AE140" s="1285"/>
      <c r="AF140" s="1285"/>
      <c r="AG140" s="1285"/>
      <c r="AH140" s="1285"/>
      <c r="AI140" s="1285"/>
      <c r="AJ140" s="1285"/>
      <c r="AK140" s="1285"/>
      <c r="AL140" s="1285"/>
      <c r="AM140" s="1285"/>
      <c r="AN140" s="1285"/>
      <c r="AO140" s="1285"/>
      <c r="AP140" s="1285"/>
      <c r="AQ140" s="1285"/>
      <c r="AR140" s="1285"/>
      <c r="AS140" s="1285"/>
      <c r="AT140" s="1285"/>
      <c r="AU140" s="1285"/>
      <c r="AV140" s="1285"/>
      <c r="AW140" s="1285"/>
      <c r="AX140" s="1286"/>
      <c r="AY140" s="1285"/>
      <c r="AZ140" s="1285"/>
      <c r="BA140" s="1290"/>
      <c r="BB140" s="1294"/>
      <c r="BC140" s="934"/>
      <c r="BD140" s="934"/>
      <c r="BE140" s="934"/>
      <c r="BF140" s="934"/>
    </row>
    <row r="141" spans="1:58" x14ac:dyDescent="0.3">
      <c r="A141" s="756" t="s">
        <v>189</v>
      </c>
      <c r="E141" s="1293"/>
      <c r="F141" s="1308"/>
      <c r="G141" s="908"/>
      <c r="H141" s="1308"/>
      <c r="I141" s="908"/>
      <c r="J141" s="1308"/>
      <c r="K141" s="908">
        <f>+AVERAGE(J136:K136)</f>
        <v>1251.5</v>
      </c>
      <c r="L141" s="1308">
        <f>+AVERAGE(K136:L136)</f>
        <v>1322.5</v>
      </c>
      <c r="M141" s="908">
        <f t="shared" ref="M141:S141" si="1334">+AVERAGE(L136:M136)</f>
        <v>1405.5</v>
      </c>
      <c r="N141" s="1308">
        <f t="shared" si="1334"/>
        <v>1507.5</v>
      </c>
      <c r="O141" s="908">
        <f t="shared" si="1334"/>
        <v>1596</v>
      </c>
      <c r="P141" s="1308">
        <f t="shared" si="1334"/>
        <v>1669.5</v>
      </c>
      <c r="Q141" s="908">
        <f t="shared" si="1334"/>
        <v>1730</v>
      </c>
      <c r="R141" s="1308">
        <f t="shared" si="1334"/>
        <v>1850</v>
      </c>
      <c r="S141" s="908">
        <f t="shared" si="1334"/>
        <v>2037.5</v>
      </c>
      <c r="T141" s="902">
        <f t="shared" ref="T141" si="1335">+AVERAGE(S136:T136)</f>
        <v>2234.5</v>
      </c>
      <c r="U141" s="1459">
        <f t="shared" ref="U141:V141" si="1336">+AVERAGE(T136:U136)</f>
        <v>2391.5</v>
      </c>
      <c r="V141" s="906">
        <f t="shared" si="1336"/>
        <v>2488.5</v>
      </c>
      <c r="W141" s="903">
        <f t="shared" ref="W141" si="1337">+AVERAGE(V136:W136)</f>
        <v>2587.2200000000003</v>
      </c>
      <c r="X141" s="903">
        <f t="shared" ref="X141" si="1338">+AVERAGE(W136:X136)</f>
        <v>2687.58</v>
      </c>
      <c r="Y141" s="1293"/>
      <c r="Z141" s="1293">
        <f t="shared" ref="Z141:AN141" si="1339">+AVERAGE(Y136:Z136)</f>
        <v>67</v>
      </c>
      <c r="AA141" s="1293">
        <f t="shared" si="1339"/>
        <v>33.5</v>
      </c>
      <c r="AB141" s="1293">
        <f t="shared" si="1339"/>
        <v>0</v>
      </c>
      <c r="AC141" s="1293">
        <f t="shared" si="1339"/>
        <v>0</v>
      </c>
      <c r="AD141" s="1293">
        <f t="shared" si="1339"/>
        <v>0</v>
      </c>
      <c r="AE141" s="1293">
        <f t="shared" si="1339"/>
        <v>63.5</v>
      </c>
      <c r="AF141" s="1293">
        <f t="shared" si="1339"/>
        <v>63.5</v>
      </c>
      <c r="AG141" s="1293">
        <f t="shared" si="1339"/>
        <v>0</v>
      </c>
      <c r="AH141" s="1293">
        <f t="shared" si="1339"/>
        <v>0</v>
      </c>
      <c r="AI141" s="1293">
        <f t="shared" si="1339"/>
        <v>0</v>
      </c>
      <c r="AJ141" s="1293">
        <f t="shared" si="1339"/>
        <v>107</v>
      </c>
      <c r="AK141" s="1293">
        <f t="shared" si="1339"/>
        <v>273.5</v>
      </c>
      <c r="AL141" s="1293">
        <f t="shared" si="1339"/>
        <v>382.5</v>
      </c>
      <c r="AM141" s="1293">
        <f t="shared" si="1339"/>
        <v>495</v>
      </c>
      <c r="AN141" s="1293">
        <f t="shared" si="1339"/>
        <v>615.5</v>
      </c>
      <c r="AO141" s="1293">
        <f t="shared" ref="AO141:AX141" si="1340">+AVERAGE(AN136:AO136)</f>
        <v>733.5</v>
      </c>
      <c r="AP141" s="1293">
        <f t="shared" si="1340"/>
        <v>840.22033898305085</v>
      </c>
      <c r="AQ141" s="1293">
        <f t="shared" si="1340"/>
        <v>966.22033898305085</v>
      </c>
      <c r="AR141" s="1293">
        <f t="shared" si="1340"/>
        <v>1117</v>
      </c>
      <c r="AS141" s="1293">
        <f t="shared" si="1340"/>
        <v>1259</v>
      </c>
      <c r="AT141" s="1293">
        <f t="shared" si="1340"/>
        <v>1432</v>
      </c>
      <c r="AU141" s="1293">
        <f t="shared" si="1340"/>
        <v>1607.5</v>
      </c>
      <c r="AV141" s="908">
        <f t="shared" si="1340"/>
        <v>1801</v>
      </c>
      <c r="AW141" s="1295">
        <f t="shared" si="1340"/>
        <v>2118</v>
      </c>
      <c r="AX141" s="1353">
        <f t="shared" si="1340"/>
        <v>2412</v>
      </c>
      <c r="AY141" s="1295">
        <f t="shared" ref="AY141" si="1341">+AVERAGE(AX136:AY136)</f>
        <v>2609.36</v>
      </c>
      <c r="AZ141" s="943"/>
    </row>
    <row r="142" spans="1:58" ht="14.5" x14ac:dyDescent="0.35">
      <c r="A142" s="914" t="s">
        <v>37</v>
      </c>
      <c r="B142" s="915"/>
      <c r="C142" s="916"/>
      <c r="D142" s="916"/>
      <c r="E142" s="916"/>
      <c r="F142" s="918"/>
      <c r="G142" s="916"/>
      <c r="H142" s="918"/>
      <c r="I142" s="916"/>
      <c r="J142" s="918"/>
      <c r="K142" s="916"/>
      <c r="L142" s="918"/>
      <c r="M142" s="916">
        <f t="shared" ref="M142:O142" si="1342">M141/K141-1</f>
        <v>0.12305233719536557</v>
      </c>
      <c r="N142" s="918">
        <f t="shared" ref="N142" si="1343">N141/L141-1</f>
        <v>0.13988657844990549</v>
      </c>
      <c r="O142" s="916">
        <f t="shared" si="1342"/>
        <v>0.13553895410885808</v>
      </c>
      <c r="P142" s="918">
        <f t="shared" ref="P142" si="1344">P141/N141-1</f>
        <v>0.10746268656716418</v>
      </c>
      <c r="Q142" s="916">
        <f t="shared" ref="Q142" si="1345">Q141/O141-1</f>
        <v>8.3959899749373346E-2</v>
      </c>
      <c r="R142" s="918">
        <f t="shared" ref="R142" si="1346">R141/P141-1</f>
        <v>0.10811620245582509</v>
      </c>
      <c r="S142" s="916">
        <f t="shared" ref="S142" si="1347">S141/Q141-1</f>
        <v>0.17774566473988429</v>
      </c>
      <c r="T142" s="916">
        <f t="shared" ref="T142" si="1348">T141/R141-1</f>
        <v>0.20783783783783782</v>
      </c>
      <c r="U142" s="917">
        <f t="shared" ref="U142:V142" si="1349">U141/S141-1</f>
        <v>0.17374233128834349</v>
      </c>
      <c r="V142" s="919">
        <f t="shared" si="1349"/>
        <v>0.11367196240769739</v>
      </c>
      <c r="W142" s="916">
        <f t="shared" ref="W142" si="1350">W141/U141-1</f>
        <v>8.1839849466861958E-2</v>
      </c>
      <c r="X142" s="916">
        <f t="shared" ref="X142" si="1351">X141/V141-1</f>
        <v>8.0000000000000071E-2</v>
      </c>
      <c r="Y142" s="915"/>
      <c r="Z142" s="918"/>
      <c r="AA142" s="920"/>
      <c r="AB142" s="920"/>
      <c r="AC142" s="920"/>
      <c r="AD142" s="920"/>
      <c r="AE142" s="917"/>
      <c r="AF142" s="916">
        <f t="shared" ref="AF142" si="1352">IFERROR(AF141/AE141-1,"")</f>
        <v>0</v>
      </c>
      <c r="AG142" s="916">
        <f t="shared" ref="AG142" si="1353">IFERROR(AG141/AF141-1,"")</f>
        <v>-1</v>
      </c>
      <c r="AH142" s="916" t="str">
        <f t="shared" ref="AH142" si="1354">IFERROR(AH141/AG141-1,"")</f>
        <v/>
      </c>
      <c r="AI142" s="916" t="str">
        <f t="shared" ref="AI142" si="1355">IFERROR(AI141/AH141-1,"")</f>
        <v/>
      </c>
      <c r="AJ142" s="916" t="str">
        <f t="shared" ref="AJ142" si="1356">IFERROR(AJ141/AI141-1,"")</f>
        <v/>
      </c>
      <c r="AK142" s="916">
        <f t="shared" ref="AK142" si="1357">IFERROR(AK141/AJ141-1,"")</f>
        <v>1.55607476635514</v>
      </c>
      <c r="AL142" s="916">
        <f t="shared" ref="AL142" si="1358">IFERROR(AL141/AK141-1,"")</f>
        <v>0.39853747714808052</v>
      </c>
      <c r="AM142" s="916">
        <f t="shared" ref="AM142" si="1359">IFERROR(AM141/AL141-1,"")</f>
        <v>0.29411764705882359</v>
      </c>
      <c r="AN142" s="916">
        <f t="shared" ref="AN142" si="1360">IFERROR(AN141/AM141-1,"")</f>
        <v>0.24343434343434334</v>
      </c>
      <c r="AO142" s="916">
        <f t="shared" ref="AO142" si="1361">IFERROR(AO141/AN141-1,"")</f>
        <v>0.19171405361494709</v>
      </c>
      <c r="AP142" s="916">
        <f t="shared" ref="AP142" si="1362">IFERROR(AP141/AO141-1,"")</f>
        <v>0.14549466800688604</v>
      </c>
      <c r="AQ142" s="916">
        <f t="shared" ref="AQ142" si="1363">IFERROR(AQ141/AP141-1,"")</f>
        <v>0.1499606640711677</v>
      </c>
      <c r="AR142" s="916">
        <f t="shared" ref="AR142" si="1364">IFERROR(AR141/AQ141-1,"")</f>
        <v>0.15605101127931653</v>
      </c>
      <c r="AS142" s="916">
        <f t="shared" ref="AS142" si="1365">IFERROR(AS141/AR141-1,"")</f>
        <v>0.12712623097582809</v>
      </c>
      <c r="AT142" s="916">
        <f t="shared" ref="AT142" si="1366">IFERROR(AT141/AS141-1,"")</f>
        <v>0.13741064336775222</v>
      </c>
      <c r="AU142" s="916">
        <f t="shared" ref="AU142" si="1367">IFERROR(AU141/AT141-1,"")</f>
        <v>0.1225558659217878</v>
      </c>
      <c r="AV142" s="916">
        <f t="shared" ref="AV142" si="1368">IFERROR(AV141/AU141-1,"")</f>
        <v>0.12037325038880242</v>
      </c>
      <c r="AW142" s="916">
        <f t="shared" ref="AW142" si="1369">IFERROR(AW141/AV141-1,"")</f>
        <v>0.17601332593003893</v>
      </c>
      <c r="AX142" s="919">
        <f t="shared" ref="AX142" si="1370">IFERROR(AX141/AW141-1,"")</f>
        <v>0.13881019830028318</v>
      </c>
      <c r="AY142" s="916">
        <f t="shared" ref="AY142" si="1371">IFERROR(AY141/AX141-1,"")</f>
        <v>8.1824212271973451E-2</v>
      </c>
      <c r="BA142" s="915"/>
      <c r="BB142" s="921"/>
      <c r="BC142" s="922"/>
      <c r="BD142" s="923"/>
      <c r="BE142" s="924"/>
      <c r="BF142" s="923"/>
    </row>
    <row r="143" spans="1:58" x14ac:dyDescent="0.3">
      <c r="E143" s="1293"/>
      <c r="F143" s="1308"/>
      <c r="G143" s="908"/>
      <c r="H143" s="1308"/>
      <c r="I143" s="908"/>
      <c r="J143" s="1308"/>
      <c r="K143" s="908"/>
      <c r="L143" s="1308"/>
      <c r="M143" s="908"/>
      <c r="N143" s="1308"/>
      <c r="O143" s="908"/>
      <c r="P143" s="1308"/>
      <c r="Q143" s="908"/>
      <c r="R143" s="1308"/>
      <c r="S143" s="908"/>
      <c r="T143" s="902"/>
      <c r="U143" s="904"/>
      <c r="V143" s="906"/>
      <c r="W143" s="903"/>
      <c r="X143" s="903"/>
      <c r="Y143" s="1293"/>
      <c r="Z143" s="1293"/>
      <c r="AA143" s="1293"/>
      <c r="AB143" s="1293"/>
      <c r="AC143" s="1293"/>
      <c r="AD143" s="1293"/>
      <c r="AE143" s="1293"/>
      <c r="AF143" s="1293"/>
      <c r="AG143" s="1293"/>
      <c r="AH143" s="1293"/>
      <c r="AI143" s="1293"/>
      <c r="AJ143" s="1293"/>
      <c r="AK143" s="1293"/>
      <c r="AL143" s="1293"/>
      <c r="AM143" s="1293"/>
      <c r="AN143" s="1293"/>
      <c r="AO143" s="1293"/>
      <c r="AP143" s="1293"/>
      <c r="AQ143" s="1293"/>
      <c r="AR143" s="1293"/>
      <c r="AS143" s="1293"/>
      <c r="AT143" s="1293"/>
      <c r="AU143" s="1293"/>
      <c r="AV143" s="908"/>
      <c r="AX143" s="1313"/>
      <c r="AZ143" s="943"/>
    </row>
    <row r="144" spans="1:58" ht="17" x14ac:dyDescent="0.6">
      <c r="A144" s="759" t="str">
        <f>+A30</f>
        <v>Opex</v>
      </c>
      <c r="B144" s="759"/>
      <c r="C144" s="975"/>
      <c r="D144" s="975"/>
      <c r="E144" s="975"/>
      <c r="F144" s="977"/>
      <c r="G144" s="975"/>
      <c r="H144" s="977"/>
      <c r="I144" s="975"/>
      <c r="J144" s="977"/>
      <c r="K144" s="975">
        <f t="shared" ref="K144" si="1372">+K30</f>
        <v>60.817999999999998</v>
      </c>
      <c r="L144" s="977">
        <f t="shared" ref="L144:S144" si="1373">+L30</f>
        <v>65.838999999999999</v>
      </c>
      <c r="M144" s="975">
        <f t="shared" si="1373"/>
        <v>71.194000000000003</v>
      </c>
      <c r="N144" s="977">
        <f t="shared" si="1373"/>
        <v>70.77800000000002</v>
      </c>
      <c r="O144" s="975">
        <f t="shared" si="1373"/>
        <v>77.400000000000006</v>
      </c>
      <c r="P144" s="977">
        <f t="shared" si="1373"/>
        <v>79.542000000000002</v>
      </c>
      <c r="Q144" s="975">
        <f t="shared" si="1373"/>
        <v>86.078000000000003</v>
      </c>
      <c r="R144" s="977">
        <f t="shared" si="1373"/>
        <v>104.98699999999999</v>
      </c>
      <c r="S144" s="975">
        <f t="shared" si="1373"/>
        <v>113.983</v>
      </c>
      <c r="T144" s="975">
        <f t="shared" ref="T144:U144" si="1374">+T30</f>
        <v>118.94699999999996</v>
      </c>
      <c r="U144" s="976">
        <f t="shared" si="1374"/>
        <v>129.78299999999999</v>
      </c>
      <c r="V144" s="978">
        <f t="shared" ref="V144" si="1375">+V30</f>
        <v>133.90600000000001</v>
      </c>
      <c r="W144" s="975">
        <f t="shared" ref="W144:X144" si="1376">+W141*W145/1000</f>
        <v>146.02059803069201</v>
      </c>
      <c r="X144" s="975">
        <f t="shared" si="1376"/>
        <v>150.4032192</v>
      </c>
      <c r="Y144" s="759"/>
      <c r="Z144" s="977">
        <f t="shared" ref="Z144:AV144" si="1377">+Z30</f>
        <v>2.6439699999999999</v>
      </c>
      <c r="AA144" s="979">
        <f t="shared" si="1377"/>
        <v>3.7307100000000002</v>
      </c>
      <c r="AB144" s="979">
        <f t="shared" si="1377"/>
        <v>5.9687549999999998</v>
      </c>
      <c r="AC144" s="979">
        <f t="shared" si="1377"/>
        <v>5.6917020000000003</v>
      </c>
      <c r="AD144" s="979">
        <f t="shared" si="1377"/>
        <v>6.7127520000000001</v>
      </c>
      <c r="AE144" s="976">
        <f t="shared" si="1377"/>
        <v>7.415324</v>
      </c>
      <c r="AF144" s="975">
        <f t="shared" si="1377"/>
        <v>9.5461860000000005</v>
      </c>
      <c r="AG144" s="975">
        <f t="shared" si="1377"/>
        <v>11.861407</v>
      </c>
      <c r="AH144" s="975">
        <f t="shared" si="1377"/>
        <v>14.020987999999999</v>
      </c>
      <c r="AI144" s="975">
        <f t="shared" si="1377"/>
        <v>14.682206000000001</v>
      </c>
      <c r="AJ144" s="975">
        <f t="shared" si="1377"/>
        <v>18.485997000000001</v>
      </c>
      <c r="AK144" s="975">
        <f t="shared" si="1377"/>
        <v>27.016508999999999</v>
      </c>
      <c r="AL144" s="975">
        <f t="shared" si="1377"/>
        <v>33.994318999999997</v>
      </c>
      <c r="AM144" s="975">
        <f t="shared" si="1377"/>
        <v>43.143000000000001</v>
      </c>
      <c r="AN144" s="975">
        <f t="shared" si="1377"/>
        <v>52.993000000000002</v>
      </c>
      <c r="AO144" s="975">
        <f t="shared" si="1377"/>
        <v>62.194000000000081</v>
      </c>
      <c r="AP144" s="975">
        <f t="shared" si="1377"/>
        <v>74.853999999999999</v>
      </c>
      <c r="AQ144" s="975">
        <f t="shared" si="1377"/>
        <v>86.15100000000001</v>
      </c>
      <c r="AR144" s="975">
        <f t="shared" si="1377"/>
        <v>107.14100000000001</v>
      </c>
      <c r="AS144" s="975">
        <f t="shared" si="1377"/>
        <v>127.40999999999998</v>
      </c>
      <c r="AT144" s="975">
        <f t="shared" si="1377"/>
        <v>142.49900000000002</v>
      </c>
      <c r="AU144" s="975">
        <f t="shared" si="1377"/>
        <v>157.16000000000003</v>
      </c>
      <c r="AV144" s="975">
        <f t="shared" si="1377"/>
        <v>191.00900000000004</v>
      </c>
      <c r="AW144" s="975">
        <f t="shared" ref="AW144:AX144" si="1378">+AW30</f>
        <v>232.92999999999995</v>
      </c>
      <c r="AX144" s="978">
        <f t="shared" si="1378"/>
        <v>263.68899999999996</v>
      </c>
      <c r="AY144" s="975">
        <f t="shared" ref="AY144" si="1379">+AY30</f>
        <v>296.42381723069201</v>
      </c>
      <c r="AZ144" s="975"/>
      <c r="BA144" s="759"/>
      <c r="BB144" s="895"/>
      <c r="BC144" s="896"/>
      <c r="BD144" s="897"/>
      <c r="BE144" s="898"/>
      <c r="BF144" s="897"/>
    </row>
    <row r="145" spans="1:60" collapsed="1" x14ac:dyDescent="0.3">
      <c r="A145" s="937" t="s">
        <v>190</v>
      </c>
      <c r="B145" s="901"/>
      <c r="C145" s="902"/>
      <c r="D145" s="902"/>
      <c r="E145" s="902"/>
      <c r="F145" s="905"/>
      <c r="G145" s="902"/>
      <c r="H145" s="905"/>
      <c r="I145" s="902"/>
      <c r="J145" s="905"/>
      <c r="K145" s="902">
        <f t="shared" ref="K145" si="1380">+K144/K141*1000</f>
        <v>48.596084698361963</v>
      </c>
      <c r="L145" s="905">
        <f>+L144/L141*1000</f>
        <v>49.783742911153119</v>
      </c>
      <c r="M145" s="902">
        <f t="shared" ref="M145:S145" si="1381">+M144/M141*1000</f>
        <v>50.653859836357171</v>
      </c>
      <c r="N145" s="905">
        <f t="shared" si="1381"/>
        <v>46.950580431177464</v>
      </c>
      <c r="O145" s="902">
        <f t="shared" si="1381"/>
        <v>48.496240601503764</v>
      </c>
      <c r="P145" s="905">
        <f t="shared" si="1381"/>
        <v>47.644204851752022</v>
      </c>
      <c r="Q145" s="902">
        <f t="shared" si="1381"/>
        <v>49.756069364161853</v>
      </c>
      <c r="R145" s="905">
        <f t="shared" si="1381"/>
        <v>56.749729729729729</v>
      </c>
      <c r="S145" s="902">
        <f t="shared" si="1381"/>
        <v>55.942576687116564</v>
      </c>
      <c r="T145" s="902">
        <f t="shared" ref="T145:U145" si="1382">+T144/T141*1000</f>
        <v>53.232042962631439</v>
      </c>
      <c r="U145" s="904">
        <f t="shared" si="1382"/>
        <v>54.268450763119375</v>
      </c>
      <c r="V145" s="906">
        <f t="shared" ref="V145" si="1383">+V144/V141*1000</f>
        <v>53.809925658026927</v>
      </c>
      <c r="W145" s="974">
        <f>+U145*1.04</f>
        <v>56.439188793644149</v>
      </c>
      <c r="X145" s="974">
        <f>+V145*1.04</f>
        <v>55.962322684348003</v>
      </c>
      <c r="Y145" s="902"/>
      <c r="Z145" s="902">
        <f t="shared" ref="Z145" si="1384">+Z144/Z141*1000</f>
        <v>39.462238805970145</v>
      </c>
      <c r="AA145" s="902">
        <f t="shared" ref="AA145" si="1385">+AA144/AA141*1000</f>
        <v>111.3644776119403</v>
      </c>
      <c r="AB145" s="902" t="e">
        <f t="shared" ref="AB145" si="1386">+AB144/AB141*1000</f>
        <v>#DIV/0!</v>
      </c>
      <c r="AC145" s="902" t="e">
        <f t="shared" ref="AC145" si="1387">+AC144/AC141*1000</f>
        <v>#DIV/0!</v>
      </c>
      <c r="AD145" s="902" t="e">
        <f t="shared" ref="AD145" si="1388">+AD144/AD141*1000</f>
        <v>#DIV/0!</v>
      </c>
      <c r="AE145" s="902">
        <f t="shared" ref="AE145" si="1389">+AE144/AE141*1000</f>
        <v>116.77675590551182</v>
      </c>
      <c r="AF145" s="902">
        <f t="shared" ref="AF145" si="1390">+AF144/AF141*1000</f>
        <v>150.33363779527559</v>
      </c>
      <c r="AG145" s="902" t="e">
        <f t="shared" ref="AG145" si="1391">+AG144/AG141*1000</f>
        <v>#DIV/0!</v>
      </c>
      <c r="AH145" s="902" t="e">
        <f t="shared" ref="AH145" si="1392">+AH144/AH141*1000</f>
        <v>#DIV/0!</v>
      </c>
      <c r="AI145" s="902" t="e">
        <f t="shared" ref="AI145" si="1393">+AI144/AI141*1000</f>
        <v>#DIV/0!</v>
      </c>
      <c r="AJ145" s="902">
        <f t="shared" ref="AJ145" si="1394">+AJ144/AJ141*1000</f>
        <v>172.76632710280373</v>
      </c>
      <c r="AK145" s="902">
        <f t="shared" ref="AK145" si="1395">+AK144/AK141*1000</f>
        <v>98.780654478976231</v>
      </c>
      <c r="AL145" s="902">
        <f t="shared" ref="AL145" si="1396">+AL144/AL141*1000</f>
        <v>88.874036601307182</v>
      </c>
      <c r="AM145" s="902">
        <f t="shared" ref="AM145" si="1397">+AM144/AM141*1000</f>
        <v>87.157575757575756</v>
      </c>
      <c r="AN145" s="902">
        <f t="shared" ref="AN145" si="1398">+AN144/AN141*1000</f>
        <v>86.097481722177093</v>
      </c>
      <c r="AO145" s="902">
        <f t="shared" ref="AO145" si="1399">+AO144/AO141*1000</f>
        <v>84.790729379686539</v>
      </c>
      <c r="AP145" s="902">
        <f t="shared" ref="AP145" si="1400">+AP144/AP141*1000</f>
        <v>89.088536098279292</v>
      </c>
      <c r="AQ145" s="902">
        <f t="shared" ref="AQ145" si="1401">+AQ144/AQ141*1000</f>
        <v>89.162892276387112</v>
      </c>
      <c r="AR145" s="902">
        <f t="shared" ref="AR145" si="1402">+AR144/AR141*1000</f>
        <v>95.918531781557746</v>
      </c>
      <c r="AS145" s="902">
        <f t="shared" ref="AS145" si="1403">+AS144/AS141*1000</f>
        <v>101.19936457505956</v>
      </c>
      <c r="AT145" s="902">
        <f t="shared" ref="AT145" si="1404">+AT144/AT141*1000</f>
        <v>99.510474860335208</v>
      </c>
      <c r="AU145" s="902">
        <f t="shared" ref="AU145" si="1405">+AU144/AU141*1000</f>
        <v>97.766718506998458</v>
      </c>
      <c r="AV145" s="902">
        <f t="shared" ref="AV145" si="1406">+AV144/AV141*1000</f>
        <v>106.05719044975017</v>
      </c>
      <c r="AW145" s="902">
        <f t="shared" ref="AW145" si="1407">+AW144/AW141*1000</f>
        <v>109.97639282341829</v>
      </c>
      <c r="AX145" s="906">
        <f t="shared" ref="AX145:AY145" si="1408">+AX144/AX141*1000</f>
        <v>109.32379767827527</v>
      </c>
      <c r="AY145" s="902">
        <f t="shared" si="1408"/>
        <v>113.60019975422786</v>
      </c>
      <c r="AZ145" s="902"/>
      <c r="BA145" s="903"/>
      <c r="BB145" s="910"/>
      <c r="BC145" s="911"/>
      <c r="BD145" s="912"/>
      <c r="BE145" s="913"/>
      <c r="BF145" s="912"/>
    </row>
    <row r="146" spans="1:60" x14ac:dyDescent="0.3">
      <c r="A146" s="937"/>
      <c r="B146" s="901"/>
      <c r="C146" s="902"/>
      <c r="D146" s="902"/>
      <c r="E146" s="902"/>
      <c r="F146" s="905"/>
      <c r="G146" s="902"/>
      <c r="H146" s="905"/>
      <c r="I146" s="902"/>
      <c r="J146" s="905"/>
      <c r="K146" s="902"/>
      <c r="L146" s="905"/>
      <c r="M146" s="902"/>
      <c r="N146" s="905"/>
      <c r="O146" s="902"/>
      <c r="P146" s="905"/>
      <c r="Q146" s="902"/>
      <c r="R146" s="905"/>
      <c r="S146" s="902"/>
      <c r="T146" s="902"/>
      <c r="U146" s="904"/>
      <c r="V146" s="906"/>
      <c r="W146" s="974"/>
      <c r="X146" s="974"/>
      <c r="Y146" s="902"/>
      <c r="Z146" s="902"/>
      <c r="AA146" s="902"/>
      <c r="AB146" s="902"/>
      <c r="AC146" s="902"/>
      <c r="AD146" s="902"/>
      <c r="AE146" s="902"/>
      <c r="AF146" s="902"/>
      <c r="AG146" s="902"/>
      <c r="AH146" s="902"/>
      <c r="AI146" s="902"/>
      <c r="AJ146" s="902"/>
      <c r="AK146" s="902"/>
      <c r="AL146" s="902"/>
      <c r="AM146" s="902"/>
      <c r="AN146" s="902"/>
      <c r="AO146" s="902"/>
      <c r="AP146" s="902"/>
      <c r="AQ146" s="902"/>
      <c r="AR146" s="902"/>
      <c r="AS146" s="902"/>
      <c r="AT146" s="902"/>
      <c r="AU146" s="902"/>
      <c r="AV146" s="902"/>
      <c r="AW146" s="902"/>
      <c r="AX146" s="906"/>
      <c r="AY146" s="902"/>
      <c r="AZ146" s="902"/>
      <c r="BA146" s="903"/>
      <c r="BB146" s="910"/>
      <c r="BC146" s="911"/>
      <c r="BD146" s="912"/>
      <c r="BE146" s="913"/>
      <c r="BF146" s="912"/>
    </row>
    <row r="147" spans="1:60" ht="14.5" x14ac:dyDescent="0.35">
      <c r="A147" s="1156" t="s">
        <v>37</v>
      </c>
      <c r="B147" s="901"/>
      <c r="C147" s="902"/>
      <c r="D147" s="902"/>
      <c r="E147" s="902"/>
      <c r="F147" s="905"/>
      <c r="G147" s="902"/>
      <c r="H147" s="905"/>
      <c r="I147" s="902"/>
      <c r="J147" s="905"/>
      <c r="K147" s="902"/>
      <c r="L147" s="905"/>
      <c r="M147" s="902"/>
      <c r="N147" s="905"/>
      <c r="O147" s="902"/>
      <c r="P147" s="905"/>
      <c r="Q147" s="902"/>
      <c r="R147" s="905"/>
      <c r="S147" s="902"/>
      <c r="T147" s="902"/>
      <c r="U147" s="904"/>
      <c r="V147" s="906"/>
      <c r="W147" s="974"/>
      <c r="X147" s="974"/>
      <c r="Y147" s="902"/>
      <c r="Z147" s="902"/>
      <c r="AA147" s="902"/>
      <c r="AB147" s="902"/>
      <c r="AC147" s="902"/>
      <c r="AD147" s="902"/>
      <c r="AE147" s="902"/>
      <c r="AF147" s="902"/>
      <c r="AG147" s="902"/>
      <c r="AH147" s="902"/>
      <c r="AI147" s="902"/>
      <c r="AJ147" s="902"/>
      <c r="AK147" s="902"/>
      <c r="AL147" s="902"/>
      <c r="AM147" s="902"/>
      <c r="AN147" s="902"/>
      <c r="AO147" s="902"/>
      <c r="AP147" s="902"/>
      <c r="AQ147" s="902"/>
      <c r="AR147" s="902"/>
      <c r="AS147" s="902"/>
      <c r="AT147" s="902"/>
      <c r="AU147" s="902"/>
      <c r="AV147" s="902"/>
      <c r="AW147" s="902"/>
      <c r="AX147" s="906"/>
      <c r="AY147" s="902"/>
      <c r="AZ147" s="902"/>
      <c r="BA147" s="903"/>
      <c r="BB147" s="910"/>
      <c r="BC147" s="911"/>
      <c r="BD147" s="912"/>
      <c r="BE147" s="913"/>
      <c r="BF147" s="912"/>
    </row>
    <row r="148" spans="1:60" s="1302" customFormat="1" ht="17.5" x14ac:dyDescent="0.65">
      <c r="A148" s="914" t="str">
        <f>+A144</f>
        <v>Opex</v>
      </c>
      <c r="B148" s="1296"/>
      <c r="C148" s="1297"/>
      <c r="D148" s="1297"/>
      <c r="E148" s="1297"/>
      <c r="F148" s="1299"/>
      <c r="G148" s="1297"/>
      <c r="H148" s="1299"/>
      <c r="I148" s="1297"/>
      <c r="J148" s="1299"/>
      <c r="K148" s="1297"/>
      <c r="L148" s="1299"/>
      <c r="M148" s="1297">
        <f t="shared" ref="M148:S148" si="1409">M144/K144-1</f>
        <v>0.17060738597125868</v>
      </c>
      <c r="N148" s="1299">
        <f t="shared" si="1409"/>
        <v>7.5016327708501418E-2</v>
      </c>
      <c r="O148" s="1297">
        <f t="shared" si="1409"/>
        <v>8.7170267157344661E-2</v>
      </c>
      <c r="P148" s="1299">
        <f t="shared" si="1409"/>
        <v>0.12382378705247366</v>
      </c>
      <c r="Q148" s="1297">
        <f t="shared" si="1409"/>
        <v>0.11211886304909546</v>
      </c>
      <c r="R148" s="1299">
        <f t="shared" si="1409"/>
        <v>0.31989389253476141</v>
      </c>
      <c r="S148" s="1297">
        <f t="shared" si="1409"/>
        <v>0.32418271799995346</v>
      </c>
      <c r="T148" s="1297">
        <f t="shared" ref="T148:T149" si="1410">T144/R144-1</f>
        <v>0.13296884376160834</v>
      </c>
      <c r="U148" s="1298">
        <f t="shared" ref="U148:U149" si="1411">U144/S144-1</f>
        <v>0.13861716220839937</v>
      </c>
      <c r="V148" s="1300">
        <f t="shared" ref="V148:V149" si="1412">V144/T144-1</f>
        <v>0.12576189395276938</v>
      </c>
      <c r="W148" s="1297">
        <f t="shared" ref="W148:W149" si="1413">W144/U144-1</f>
        <v>0.12511344344553632</v>
      </c>
      <c r="X148" s="1297">
        <f t="shared" ref="X148:X149" si="1414">X144/V144-1</f>
        <v>0.12319999999999998</v>
      </c>
      <c r="Y148" s="1296"/>
      <c r="Z148" s="1299"/>
      <c r="AA148" s="1301"/>
      <c r="AB148" s="1301"/>
      <c r="AC148" s="1301"/>
      <c r="AD148" s="1301"/>
      <c r="AE148" s="1298"/>
      <c r="AF148" s="1297">
        <f t="shared" ref="AF148:AX148" si="1415">IFERROR(AF144/AE144-1,"")</f>
        <v>0.28735925766696102</v>
      </c>
      <c r="AG148" s="1297">
        <f t="shared" si="1415"/>
        <v>0.2425283773016782</v>
      </c>
      <c r="AH148" s="1297">
        <f t="shared" si="1415"/>
        <v>0.18206786092071536</v>
      </c>
      <c r="AI148" s="1297">
        <f t="shared" si="1415"/>
        <v>4.7159158826753256E-2</v>
      </c>
      <c r="AJ148" s="1297">
        <f t="shared" si="1415"/>
        <v>0.25907489651078319</v>
      </c>
      <c r="AK148" s="1297">
        <f t="shared" si="1415"/>
        <v>0.46145804307985117</v>
      </c>
      <c r="AL148" s="1297">
        <f t="shared" si="1415"/>
        <v>0.25827948385189203</v>
      </c>
      <c r="AM148" s="1297">
        <f t="shared" si="1415"/>
        <v>0.26912382036539695</v>
      </c>
      <c r="AN148" s="1297">
        <f t="shared" si="1415"/>
        <v>0.22831050228310512</v>
      </c>
      <c r="AO148" s="1297">
        <f t="shared" si="1415"/>
        <v>0.173626705413924</v>
      </c>
      <c r="AP148" s="1297">
        <f t="shared" si="1415"/>
        <v>0.20355661317811857</v>
      </c>
      <c r="AQ148" s="1297">
        <f t="shared" si="1415"/>
        <v>0.15092045849253233</v>
      </c>
      <c r="AR148" s="1297">
        <f t="shared" si="1415"/>
        <v>0.24364197745818372</v>
      </c>
      <c r="AS148" s="1297">
        <f t="shared" si="1415"/>
        <v>0.18918061246394924</v>
      </c>
      <c r="AT148" s="1297">
        <f t="shared" si="1415"/>
        <v>0.11842869476493245</v>
      </c>
      <c r="AU148" s="1297">
        <f t="shared" si="1415"/>
        <v>0.1028849325258423</v>
      </c>
      <c r="AV148" s="1297">
        <f t="shared" si="1415"/>
        <v>0.21537923135657944</v>
      </c>
      <c r="AW148" s="1297">
        <f t="shared" si="1415"/>
        <v>0.21947133381149531</v>
      </c>
      <c r="AX148" s="1300">
        <f t="shared" si="1415"/>
        <v>0.1320525479757868</v>
      </c>
      <c r="AY148" s="1297">
        <f t="shared" ref="AY148:AY149" si="1416">IFERROR(AY144/AX144-1,"")</f>
        <v>0.12414176257140808</v>
      </c>
      <c r="BA148" s="1296"/>
      <c r="BB148" s="1303"/>
      <c r="BC148" s="1304"/>
      <c r="BD148" s="1305"/>
      <c r="BE148" s="1306"/>
      <c r="BF148" s="1305"/>
    </row>
    <row r="149" spans="1:60" s="758" customFormat="1" ht="14.5" x14ac:dyDescent="0.35">
      <c r="A149" s="956" t="str">
        <f>+A145</f>
        <v>Opex per Avg Employee ('000s)</v>
      </c>
      <c r="F149" s="1309"/>
      <c r="H149" s="1309"/>
      <c r="J149" s="1309"/>
      <c r="L149" s="1309"/>
      <c r="M149" s="916">
        <f t="shared" ref="M149:S149" si="1417">M145/K145-1</f>
        <v>4.2344463566723611E-2</v>
      </c>
      <c r="N149" s="918">
        <f t="shared" si="1417"/>
        <v>-5.6909390783089098E-2</v>
      </c>
      <c r="O149" s="916">
        <f t="shared" si="1417"/>
        <v>-4.2595356836060083E-2</v>
      </c>
      <c r="P149" s="918">
        <f t="shared" si="1417"/>
        <v>1.4773500438217235E-2</v>
      </c>
      <c r="Q149" s="916">
        <f t="shared" si="1417"/>
        <v>2.5977864408298634E-2</v>
      </c>
      <c r="R149" s="918">
        <f t="shared" si="1417"/>
        <v>0.19111505599285628</v>
      </c>
      <c r="S149" s="916">
        <f t="shared" si="1417"/>
        <v>0.12433673724658623</v>
      </c>
      <c r="T149" s="916">
        <f t="shared" si="1410"/>
        <v>-6.1985965111221786E-2</v>
      </c>
      <c r="U149" s="917">
        <f t="shared" si="1411"/>
        <v>-2.9925792180801269E-2</v>
      </c>
      <c r="V149" s="919">
        <f t="shared" si="1412"/>
        <v>1.0855918037959933E-2</v>
      </c>
      <c r="W149" s="916">
        <f t="shared" si="1413"/>
        <v>4.0000000000000036E-2</v>
      </c>
      <c r="X149" s="916">
        <f t="shared" si="1414"/>
        <v>4.0000000000000036E-2</v>
      </c>
      <c r="Y149" s="915"/>
      <c r="Z149" s="918"/>
      <c r="AA149" s="920"/>
      <c r="AB149" s="920"/>
      <c r="AC149" s="920"/>
      <c r="AD149" s="920"/>
      <c r="AE149" s="917"/>
      <c r="AF149" s="916">
        <f t="shared" ref="AF149:AX149" si="1418">IFERROR(AF145/AE145-1,"")</f>
        <v>0.28735925766696102</v>
      </c>
      <c r="AG149" s="916" t="str">
        <f t="shared" si="1418"/>
        <v/>
      </c>
      <c r="AH149" s="916" t="str">
        <f t="shared" si="1418"/>
        <v/>
      </c>
      <c r="AI149" s="916" t="str">
        <f t="shared" si="1418"/>
        <v/>
      </c>
      <c r="AJ149" s="916" t="str">
        <f t="shared" si="1418"/>
        <v/>
      </c>
      <c r="AK149" s="916">
        <f t="shared" si="1418"/>
        <v>-0.42824127747881502</v>
      </c>
      <c r="AL149" s="916">
        <f t="shared" si="1418"/>
        <v>-0.10028904880132683</v>
      </c>
      <c r="AM149" s="916">
        <f t="shared" si="1418"/>
        <v>-1.931341153582955E-2</v>
      </c>
      <c r="AN149" s="916">
        <f t="shared" si="1418"/>
        <v>-1.2162959171182819E-2</v>
      </c>
      <c r="AO149" s="916">
        <f t="shared" si="1418"/>
        <v>-1.5177590753551184E-2</v>
      </c>
      <c r="AP149" s="916">
        <f t="shared" si="1418"/>
        <v>5.0687224299575284E-2</v>
      </c>
      <c r="AQ149" s="916">
        <f t="shared" si="1418"/>
        <v>8.3463239339565121E-4</v>
      </c>
      <c r="AR149" s="916">
        <f t="shared" si="1418"/>
        <v>7.5767388570454841E-2</v>
      </c>
      <c r="AS149" s="916">
        <f t="shared" si="1418"/>
        <v>5.5055396443392635E-2</v>
      </c>
      <c r="AT149" s="916">
        <f t="shared" si="1418"/>
        <v>-1.6688738331669062E-2</v>
      </c>
      <c r="AU149" s="916">
        <f t="shared" si="1418"/>
        <v>-1.7523344711038114E-2</v>
      </c>
      <c r="AV149" s="916">
        <f t="shared" si="1418"/>
        <v>8.4798508831594344E-2</v>
      </c>
      <c r="AW149" s="916">
        <f t="shared" si="1418"/>
        <v>3.6953669591361038E-2</v>
      </c>
      <c r="AX149" s="919">
        <f t="shared" si="1418"/>
        <v>-5.933956628227044E-3</v>
      </c>
      <c r="AY149" s="916">
        <f t="shared" si="1416"/>
        <v>3.9116845250267041E-2</v>
      </c>
      <c r="AZ149" s="1268"/>
    </row>
    <row r="150" spans="1:60" s="758" customFormat="1" ht="14.5" x14ac:dyDescent="0.35">
      <c r="A150" s="956" t="s">
        <v>38</v>
      </c>
      <c r="F150" s="1309"/>
      <c r="H150" s="1309"/>
      <c r="J150" s="1309"/>
      <c r="L150" s="918">
        <f t="shared" ref="L150:T150" si="1419">+L145/K145-1</f>
        <v>2.4439380665397303E-2</v>
      </c>
      <c r="M150" s="916">
        <f>+M145/L145-1</f>
        <v>1.7477933042457483E-2</v>
      </c>
      <c r="N150" s="918">
        <f t="shared" si="1419"/>
        <v>-7.3109520521112414E-2</v>
      </c>
      <c r="O150" s="916">
        <f t="shared" si="1419"/>
        <v>3.2921002384454168E-2</v>
      </c>
      <c r="P150" s="918">
        <f t="shared" si="1419"/>
        <v>-1.7569109258446791E-2</v>
      </c>
      <c r="Q150" s="916">
        <f t="shared" si="1419"/>
        <v>4.4325737389909969E-2</v>
      </c>
      <c r="R150" s="918">
        <f t="shared" si="1419"/>
        <v>0.14055893994321922</v>
      </c>
      <c r="S150" s="916">
        <f t="shared" si="1419"/>
        <v>-1.4223028840088414E-2</v>
      </c>
      <c r="T150" s="916">
        <f t="shared" si="1419"/>
        <v>-4.8452071481172143E-2</v>
      </c>
      <c r="U150" s="917">
        <f t="shared" ref="U150" si="1420">+U145/T145-1</f>
        <v>1.9469622858838687E-2</v>
      </c>
      <c r="V150" s="919">
        <f t="shared" ref="V150" si="1421">+V145/U145-1</f>
        <v>-8.4492020436311988E-3</v>
      </c>
      <c r="W150" s="916">
        <f t="shared" ref="W150" si="1422">+W145/V145-1</f>
        <v>4.8862047353990468E-2</v>
      </c>
      <c r="X150" s="916">
        <f t="shared" ref="X150" si="1423">+X145/W145-1</f>
        <v>-8.4492020436311988E-3</v>
      </c>
      <c r="Y150" s="915"/>
      <c r="Z150" s="918"/>
      <c r="AA150" s="920"/>
      <c r="AB150" s="920"/>
      <c r="AC150" s="920"/>
      <c r="AD150" s="920"/>
      <c r="AE150" s="917"/>
      <c r="AF150" s="916"/>
      <c r="AG150" s="916"/>
      <c r="AH150" s="916"/>
      <c r="AI150" s="916"/>
      <c r="AJ150" s="916"/>
      <c r="AK150" s="916"/>
      <c r="AL150" s="916"/>
      <c r="AM150" s="916"/>
      <c r="AN150" s="916"/>
      <c r="AO150" s="916"/>
      <c r="AP150" s="916"/>
      <c r="AQ150" s="916"/>
      <c r="AR150" s="916"/>
      <c r="AS150" s="916"/>
      <c r="AT150" s="916"/>
      <c r="AU150" s="916"/>
      <c r="AV150" s="916"/>
      <c r="AW150" s="916"/>
      <c r="AX150" s="919"/>
      <c r="AY150" s="916"/>
      <c r="AZ150" s="1268"/>
    </row>
    <row r="151" spans="1:60" ht="14.5" x14ac:dyDescent="0.35">
      <c r="F151" s="1307"/>
      <c r="H151" s="1307"/>
      <c r="J151" s="1307"/>
      <c r="L151" s="1307"/>
      <c r="N151" s="1307"/>
      <c r="P151" s="1307"/>
      <c r="R151" s="1307"/>
      <c r="U151" s="1442"/>
      <c r="V151" s="1313"/>
      <c r="AX151" s="1313"/>
      <c r="AZ151" s="1273"/>
    </row>
    <row r="152" spans="1:60" ht="14.5" x14ac:dyDescent="0.35">
      <c r="F152" s="1307"/>
      <c r="H152" s="1307"/>
      <c r="J152" s="1307"/>
      <c r="L152" s="1307"/>
      <c r="N152" s="1307"/>
      <c r="P152" s="1307"/>
      <c r="R152" s="1307"/>
      <c r="U152" s="1442"/>
      <c r="V152" s="1313"/>
      <c r="AX152" s="1313"/>
      <c r="AZ152" s="926"/>
    </row>
    <row r="153" spans="1:60" ht="14.5" x14ac:dyDescent="0.35">
      <c r="F153" s="1307"/>
      <c r="H153" s="1307"/>
      <c r="J153" s="1307"/>
      <c r="L153" s="1307"/>
      <c r="N153" s="1307"/>
      <c r="P153" s="1307"/>
      <c r="R153" s="1307"/>
      <c r="U153" s="1442"/>
      <c r="V153" s="1313"/>
      <c r="AX153" s="1313"/>
      <c r="AZ153" s="916"/>
    </row>
    <row r="154" spans="1:60" ht="14.5" x14ac:dyDescent="0.35">
      <c r="F154" s="1307"/>
      <c r="H154" s="1307"/>
      <c r="J154" s="1307"/>
      <c r="L154" s="1307"/>
      <c r="N154" s="1307"/>
      <c r="P154" s="1307"/>
      <c r="R154" s="1307"/>
      <c r="U154" s="1442"/>
      <c r="V154" s="1313"/>
      <c r="AX154" s="1313"/>
      <c r="AZ154" s="916"/>
    </row>
    <row r="155" spans="1:60" ht="14.5" x14ac:dyDescent="0.35">
      <c r="F155" s="1307"/>
      <c r="H155" s="1307"/>
      <c r="J155" s="1307"/>
      <c r="L155" s="1307"/>
      <c r="N155" s="1307"/>
      <c r="P155" s="1307"/>
      <c r="R155" s="1307"/>
      <c r="U155" s="1442"/>
      <c r="V155" s="1313"/>
      <c r="AX155" s="1313"/>
      <c r="AZ155" s="972"/>
    </row>
    <row r="156" spans="1:60" x14ac:dyDescent="0.3">
      <c r="F156" s="1307"/>
      <c r="H156" s="1307"/>
      <c r="J156" s="1307"/>
      <c r="L156" s="1307"/>
      <c r="N156" s="1307"/>
      <c r="P156" s="1307"/>
      <c r="R156" s="1307"/>
      <c r="U156" s="1442"/>
      <c r="V156" s="1313"/>
      <c r="AX156" s="1313"/>
      <c r="AZ156" s="902"/>
    </row>
    <row r="157" spans="1:60" ht="14.5" x14ac:dyDescent="0.35">
      <c r="U157" s="1412"/>
      <c r="AX157" s="1313"/>
      <c r="AZ157" s="916"/>
      <c r="BD157" s="1295"/>
      <c r="BG157" s="1121"/>
    </row>
    <row r="158" spans="1:60" x14ac:dyDescent="0.3">
      <c r="U158" s="1412"/>
      <c r="AX158" s="1313"/>
      <c r="AZ158" s="943"/>
      <c r="BD158" s="1369"/>
      <c r="BF158" s="1295"/>
      <c r="BG158" s="1121"/>
    </row>
    <row r="159" spans="1:60" ht="17.5" x14ac:dyDescent="0.65">
      <c r="U159" s="1412"/>
      <c r="AX159" s="1361"/>
      <c r="AY159" s="1361"/>
      <c r="AZ159" s="902"/>
      <c r="BD159" s="1297"/>
      <c r="BE159" s="1297"/>
      <c r="BF159" s="1297"/>
      <c r="BG159" s="1121"/>
      <c r="BH159" s="1371"/>
    </row>
    <row r="160" spans="1:60" ht="14.5" x14ac:dyDescent="0.35">
      <c r="U160" s="1412"/>
      <c r="AZ160" s="916"/>
      <c r="BD160" s="1120"/>
      <c r="BF160" s="1120"/>
      <c r="BG160" s="1121"/>
    </row>
    <row r="161" spans="21:60" ht="17" x14ac:dyDescent="0.6">
      <c r="U161" s="1412"/>
      <c r="AZ161" s="916"/>
      <c r="BD161" s="1368"/>
      <c r="BE161" s="991"/>
      <c r="BF161" s="1366"/>
      <c r="BG161" s="1121"/>
    </row>
    <row r="162" spans="21:60" x14ac:dyDescent="0.3">
      <c r="U162" s="1412"/>
      <c r="AZ162" s="943"/>
      <c r="BC162" s="1048"/>
      <c r="BD162" s="1367"/>
      <c r="BE162" s="1292"/>
      <c r="BF162" s="1370"/>
      <c r="BG162" s="1121"/>
      <c r="BH162" s="1160"/>
    </row>
    <row r="163" spans="21:60" x14ac:dyDescent="0.3">
      <c r="U163" s="1412"/>
      <c r="AZ163" s="902"/>
    </row>
    <row r="164" spans="21:60" x14ac:dyDescent="0.3">
      <c r="U164" s="1412"/>
      <c r="AZ164" s="902"/>
    </row>
    <row r="165" spans="21:60" ht="14.5" x14ac:dyDescent="0.35">
      <c r="U165" s="1412"/>
      <c r="AZ165" s="916"/>
    </row>
    <row r="166" spans="21:60" ht="14.5" x14ac:dyDescent="0.35">
      <c r="U166" s="1412"/>
      <c r="AZ166" s="916"/>
    </row>
    <row r="167" spans="21:60" x14ac:dyDescent="0.3">
      <c r="U167" s="1412"/>
      <c r="AZ167" s="902"/>
    </row>
    <row r="168" spans="21:60" ht="17" x14ac:dyDescent="0.6">
      <c r="U168" s="1412"/>
      <c r="AZ168" s="975"/>
    </row>
    <row r="169" spans="21:60" x14ac:dyDescent="0.3">
      <c r="U169" s="1412"/>
      <c r="AZ169" s="902"/>
    </row>
    <row r="170" spans="21:60" ht="17" x14ac:dyDescent="0.6">
      <c r="U170" s="1412"/>
      <c r="AZ170" s="975"/>
    </row>
    <row r="171" spans="21:60" x14ac:dyDescent="0.3">
      <c r="U171" s="1412"/>
      <c r="AZ171" s="902"/>
    </row>
    <row r="172" spans="21:60" ht="17" x14ac:dyDescent="0.6">
      <c r="U172" s="1412"/>
      <c r="AZ172" s="975"/>
    </row>
    <row r="173" spans="21:60" x14ac:dyDescent="0.3">
      <c r="U173" s="1412"/>
      <c r="AZ173" s="981"/>
    </row>
    <row r="174" spans="21:60" ht="14.5" x14ac:dyDescent="0.35">
      <c r="U174" s="1412"/>
      <c r="AZ174" s="916"/>
    </row>
    <row r="175" spans="21:60" x14ac:dyDescent="0.3">
      <c r="U175" s="1412"/>
      <c r="AZ175" s="943"/>
    </row>
    <row r="176" spans="21:60" x14ac:dyDescent="0.3">
      <c r="U176" s="1412"/>
      <c r="AZ176" s="943"/>
    </row>
    <row r="177" spans="21:52" x14ac:dyDescent="0.3">
      <c r="U177" s="1412"/>
      <c r="AZ177" s="943"/>
    </row>
    <row r="178" spans="21:52" x14ac:dyDescent="0.3">
      <c r="U178" s="1412"/>
      <c r="AZ178" s="943"/>
    </row>
    <row r="179" spans="21:52" x14ac:dyDescent="0.3">
      <c r="U179" s="1412"/>
    </row>
    <row r="180" spans="21:52" x14ac:dyDescent="0.3">
      <c r="U180" s="1412"/>
    </row>
    <row r="181" spans="21:52" x14ac:dyDescent="0.3">
      <c r="U181" s="1412"/>
    </row>
    <row r="182" spans="21:52" x14ac:dyDescent="0.3">
      <c r="U182" s="1412"/>
    </row>
    <row r="183" spans="21:52" x14ac:dyDescent="0.3">
      <c r="U183" s="1412"/>
    </row>
  </sheetData>
  <printOptions horizontalCentered="1"/>
  <pageMargins left="0.3" right="0.3" top="0.3" bottom="0.3" header="0.3" footer="0.3"/>
  <pageSetup scale="39" fitToHeight="0" orientation="landscape" r:id="rId1"/>
  <headerFooter>
    <oddFooter>Page &amp;P</oddFooter>
  </headerFooter>
  <rowBreaks count="1" manualBreakCount="1">
    <brk id="117" max="50" man="1"/>
  </rowBreak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BT463"/>
  <sheetViews>
    <sheetView view="pageBreakPreview" zoomScale="75" zoomScaleNormal="75" zoomScaleSheetLayoutView="75" workbookViewId="0">
      <pane xSplit="1" ySplit="5" topLeftCell="B315" activePane="bottomRight" state="frozen"/>
      <selection pane="topRight" activeCell="M91" sqref="M91"/>
      <selection pane="bottomLeft" activeCell="M91" sqref="M91"/>
      <selection pane="bottomRight" activeCell="P337" sqref="P337"/>
    </sheetView>
  </sheetViews>
  <sheetFormatPr defaultColWidth="9.1796875" defaultRowHeight="11.5" outlineLevelRow="2" outlineLevelCol="1" x14ac:dyDescent="0.25"/>
  <cols>
    <col min="1" max="1" width="31.7265625" style="760" customWidth="1"/>
    <col min="2" max="2" width="5.81640625" style="760" customWidth="1"/>
    <col min="3" max="8" width="11.54296875" style="760" hidden="1" customWidth="1" outlineLevel="1"/>
    <col min="9" max="9" width="11.54296875" style="760" hidden="1" customWidth="1" outlineLevel="1" collapsed="1"/>
    <col min="10" max="12" width="11.54296875" style="760" hidden="1" customWidth="1" outlineLevel="1"/>
    <col min="13" max="13" width="11.54296875" style="760" customWidth="1" collapsed="1"/>
    <col min="14" max="23" width="11.54296875" style="760" customWidth="1"/>
    <col min="24" max="24" width="5.81640625" style="760" customWidth="1"/>
    <col min="25" max="30" width="5.81640625" style="760" hidden="1" customWidth="1" outlineLevel="1"/>
    <col min="31" max="37" width="11.54296875" style="760" hidden="1" customWidth="1" outlineLevel="1"/>
    <col min="38" max="38" width="11.54296875" style="760" hidden="1" customWidth="1" outlineLevel="1" collapsed="1"/>
    <col min="39" max="43" width="11.54296875" style="760" hidden="1" customWidth="1" outlineLevel="1"/>
    <col min="44" max="44" width="11.54296875" style="760" customWidth="1" collapsed="1"/>
    <col min="45" max="47" width="12.1796875" style="760" bestFit="1" customWidth="1"/>
    <col min="48" max="55" width="12.1796875" style="760" customWidth="1"/>
    <col min="56" max="16384" width="9.1796875" style="760"/>
  </cols>
  <sheetData>
    <row r="1" spans="1:72" ht="12" x14ac:dyDescent="0.3">
      <c r="A1" s="754" t="s">
        <v>0</v>
      </c>
      <c r="AU1" s="761"/>
      <c r="AV1" s="761"/>
      <c r="AW1" s="761"/>
      <c r="AX1" s="761"/>
      <c r="AY1" s="761"/>
      <c r="AZ1" s="761"/>
      <c r="BA1" s="762"/>
      <c r="BB1" s="762"/>
      <c r="BC1" s="762">
        <f t="shared" ref="BC1" ca="1" si="0">TODAY()</f>
        <v>45797</v>
      </c>
      <c r="BO1" s="761"/>
      <c r="BP1" s="761"/>
      <c r="BQ1" s="761"/>
      <c r="BR1" s="761"/>
      <c r="BS1" s="761"/>
      <c r="BT1" s="761"/>
    </row>
    <row r="2" spans="1:72" x14ac:dyDescent="0.25">
      <c r="A2" s="763" t="s">
        <v>191</v>
      </c>
      <c r="C2" s="764"/>
      <c r="D2" s="764"/>
      <c r="E2" s="764"/>
      <c r="F2" s="764"/>
      <c r="G2" s="764"/>
      <c r="H2" s="764"/>
      <c r="I2" s="764"/>
      <c r="J2" s="764"/>
      <c r="K2" s="764"/>
      <c r="L2" s="764"/>
      <c r="M2" s="764"/>
      <c r="N2" s="764"/>
      <c r="O2" s="764"/>
      <c r="P2" s="764"/>
      <c r="Q2" s="764"/>
      <c r="R2" s="764"/>
      <c r="S2" s="764"/>
      <c r="T2" s="764"/>
      <c r="U2" s="764"/>
      <c r="V2" s="764"/>
      <c r="W2" s="764"/>
      <c r="X2" s="764"/>
      <c r="Y2" s="764"/>
      <c r="Z2" s="764"/>
      <c r="AA2" s="764"/>
      <c r="AB2" s="764"/>
      <c r="AC2" s="764"/>
      <c r="AD2" s="764"/>
      <c r="AE2" s="764"/>
      <c r="AF2" s="764"/>
      <c r="AG2" s="764"/>
      <c r="AH2" s="764"/>
      <c r="AI2" s="764"/>
      <c r="AJ2" s="764"/>
      <c r="AK2" s="764"/>
      <c r="AL2" s="764"/>
      <c r="AM2" s="764"/>
      <c r="AN2" s="764"/>
      <c r="AO2" s="764"/>
      <c r="AP2" s="764"/>
      <c r="AQ2" s="764"/>
      <c r="AR2" s="764"/>
      <c r="AS2" s="764"/>
      <c r="AT2" s="764"/>
      <c r="AU2" s="764"/>
      <c r="AV2" s="764"/>
      <c r="AW2" s="764"/>
      <c r="AX2" s="764"/>
      <c r="AY2" s="764"/>
      <c r="AZ2" s="764"/>
      <c r="BA2" s="764"/>
      <c r="BB2" s="764"/>
      <c r="BC2" s="764"/>
      <c r="BK2" s="765"/>
      <c r="BL2" s="765"/>
      <c r="BM2" s="765"/>
      <c r="BO2" s="765"/>
      <c r="BP2" s="765"/>
      <c r="BQ2" s="765"/>
      <c r="BR2" s="765"/>
      <c r="BS2" s="765"/>
      <c r="BT2" s="765"/>
    </row>
    <row r="3" spans="1:72" ht="12" x14ac:dyDescent="0.3">
      <c r="A3" s="860" t="s">
        <v>3</v>
      </c>
      <c r="B3" s="766"/>
      <c r="BD3" s="766"/>
      <c r="BE3" s="766"/>
      <c r="BF3" s="766"/>
      <c r="BG3" s="766"/>
      <c r="BH3" s="766"/>
      <c r="BI3" s="766"/>
      <c r="BJ3" s="766"/>
      <c r="BK3" s="767"/>
      <c r="BL3" s="767"/>
      <c r="BM3" s="767"/>
      <c r="BN3" s="767"/>
      <c r="BO3" s="767"/>
      <c r="BP3" s="767"/>
      <c r="BQ3" s="767"/>
      <c r="BR3" s="767"/>
      <c r="BS3" s="767"/>
      <c r="BT3" s="767"/>
    </row>
    <row r="4" spans="1:72" ht="14.5" x14ac:dyDescent="0.55000000000000004">
      <c r="D4" s="768"/>
      <c r="E4" s="768"/>
      <c r="F4" s="768"/>
      <c r="G4" s="768"/>
      <c r="H4" s="768"/>
      <c r="I4" s="768" t="s">
        <v>113</v>
      </c>
      <c r="J4" s="768"/>
      <c r="K4" s="768"/>
      <c r="L4" s="768"/>
      <c r="M4" s="768" t="s">
        <v>113</v>
      </c>
      <c r="N4" s="768"/>
      <c r="O4" s="768"/>
      <c r="P4" s="768"/>
      <c r="Q4" s="768"/>
      <c r="R4" s="768"/>
      <c r="S4" s="768"/>
      <c r="T4" s="768"/>
      <c r="U4" s="768"/>
      <c r="V4" s="768"/>
      <c r="W4" s="768"/>
      <c r="AF4" s="768"/>
      <c r="AG4" s="768"/>
      <c r="AH4" s="768"/>
      <c r="AI4" s="768"/>
      <c r="AJ4" s="768"/>
      <c r="AK4" s="768"/>
      <c r="AL4" s="768" t="s">
        <v>113</v>
      </c>
      <c r="AM4" s="768"/>
      <c r="AN4" s="768"/>
      <c r="AO4" s="768"/>
      <c r="AP4" s="768"/>
      <c r="AQ4" s="768"/>
      <c r="AR4" s="768" t="s">
        <v>113</v>
      </c>
      <c r="AS4" s="768"/>
      <c r="AT4" s="768"/>
      <c r="AU4" s="768"/>
      <c r="AV4" s="768"/>
      <c r="AW4" s="768"/>
      <c r="AX4" s="768"/>
      <c r="AY4" s="768"/>
      <c r="AZ4" s="768"/>
      <c r="BA4" s="768"/>
      <c r="BB4" s="768"/>
      <c r="BC4" s="768"/>
    </row>
    <row r="5" spans="1:72" s="769" customFormat="1" x14ac:dyDescent="0.25">
      <c r="C5" s="861" t="s">
        <v>117</v>
      </c>
      <c r="D5" s="861" t="s">
        <v>118</v>
      </c>
      <c r="E5" s="862" t="s">
        <v>119</v>
      </c>
      <c r="F5" s="861" t="s">
        <v>120</v>
      </c>
      <c r="G5" s="861" t="s">
        <v>121</v>
      </c>
      <c r="H5" s="863" t="s">
        <v>122</v>
      </c>
      <c r="I5" s="861" t="s">
        <v>123</v>
      </c>
      <c r="J5" s="863" t="s">
        <v>124</v>
      </c>
      <c r="K5" s="864" t="s">
        <v>125</v>
      </c>
      <c r="L5" s="865" t="s">
        <v>126</v>
      </c>
      <c r="M5" s="866" t="s">
        <v>127</v>
      </c>
      <c r="N5" s="865" t="s">
        <v>128</v>
      </c>
      <c r="O5" s="866" t="s">
        <v>129</v>
      </c>
      <c r="P5" s="865" t="s">
        <v>130</v>
      </c>
      <c r="Q5" s="866" t="s">
        <v>131</v>
      </c>
      <c r="R5" s="865" t="s">
        <v>132</v>
      </c>
      <c r="S5" s="866" t="s">
        <v>133</v>
      </c>
      <c r="T5" s="865" t="s">
        <v>134</v>
      </c>
      <c r="U5" s="866" t="s">
        <v>135</v>
      </c>
      <c r="V5" s="865" t="s">
        <v>136</v>
      </c>
      <c r="W5" s="866" t="s">
        <v>192</v>
      </c>
      <c r="X5" s="866"/>
      <c r="Y5" s="866"/>
      <c r="Z5" s="770">
        <f t="shared" ref="Z5" si="1">+AA5-1</f>
        <v>1995</v>
      </c>
      <c r="AA5" s="770">
        <f t="shared" ref="AA5" si="2">+AB5-1</f>
        <v>1996</v>
      </c>
      <c r="AB5" s="770">
        <f t="shared" ref="AB5" si="3">+AC5-1</f>
        <v>1997</v>
      </c>
      <c r="AC5" s="770">
        <f t="shared" ref="AC5" si="4">+AD5-1</f>
        <v>1998</v>
      </c>
      <c r="AD5" s="770">
        <f t="shared" ref="AD5" si="5">+AE5-1</f>
        <v>1999</v>
      </c>
      <c r="AE5" s="770">
        <f t="shared" ref="AE5:AL5" si="6">+AF5-1</f>
        <v>2000</v>
      </c>
      <c r="AF5" s="770">
        <f t="shared" si="6"/>
        <v>2001</v>
      </c>
      <c r="AG5" s="770">
        <f t="shared" si="6"/>
        <v>2002</v>
      </c>
      <c r="AH5" s="770">
        <f t="shared" si="6"/>
        <v>2003</v>
      </c>
      <c r="AI5" s="770">
        <f t="shared" si="6"/>
        <v>2004</v>
      </c>
      <c r="AJ5" s="770">
        <f t="shared" si="6"/>
        <v>2005</v>
      </c>
      <c r="AK5" s="770">
        <f t="shared" si="6"/>
        <v>2006</v>
      </c>
      <c r="AL5" s="770">
        <f t="shared" si="6"/>
        <v>2007</v>
      </c>
      <c r="AM5" s="770">
        <f t="shared" ref="AM5:AO5" si="7">+AN5-1</f>
        <v>2008</v>
      </c>
      <c r="AN5" s="770">
        <f t="shared" si="7"/>
        <v>2009</v>
      </c>
      <c r="AO5" s="770">
        <f t="shared" si="7"/>
        <v>2010</v>
      </c>
      <c r="AP5" s="770">
        <f t="shared" ref="AP5" si="8">+AQ5-1</f>
        <v>2011</v>
      </c>
      <c r="AQ5" s="770">
        <f>+AR5-1</f>
        <v>2012</v>
      </c>
      <c r="AR5" s="770">
        <v>2013</v>
      </c>
      <c r="AS5" s="770">
        <v>2014</v>
      </c>
      <c r="AT5" s="770">
        <v>2015</v>
      </c>
      <c r="AU5" s="770">
        <v>2016</v>
      </c>
      <c r="AV5" s="770">
        <v>2017</v>
      </c>
      <c r="AW5" s="770">
        <v>2018</v>
      </c>
      <c r="AX5" s="770">
        <f>+AW5+1</f>
        <v>2019</v>
      </c>
      <c r="AY5" s="770">
        <f t="shared" ref="AY5:BB5" si="9">+AX5+1</f>
        <v>2020</v>
      </c>
      <c r="AZ5" s="770">
        <f t="shared" si="9"/>
        <v>2021</v>
      </c>
      <c r="BA5" s="770">
        <f t="shared" si="9"/>
        <v>2022</v>
      </c>
      <c r="BB5" s="770">
        <f t="shared" si="9"/>
        <v>2023</v>
      </c>
      <c r="BC5" s="770">
        <f t="shared" ref="BC5" si="10">+BB5+1</f>
        <v>2024</v>
      </c>
    </row>
    <row r="6" spans="1:72" collapsed="1" x14ac:dyDescent="0.25">
      <c r="A6" s="771" t="s">
        <v>193</v>
      </c>
      <c r="C6" s="772"/>
      <c r="D6" s="772"/>
      <c r="E6" s="773"/>
      <c r="F6" s="772"/>
      <c r="G6" s="772"/>
      <c r="H6" s="774"/>
      <c r="I6" s="772"/>
      <c r="J6" s="774"/>
      <c r="K6" s="772"/>
      <c r="L6" s="774"/>
      <c r="M6" s="772"/>
      <c r="N6" s="774"/>
      <c r="O6" s="772"/>
      <c r="P6" s="774"/>
      <c r="Q6" s="772"/>
      <c r="R6" s="774"/>
      <c r="S6" s="772"/>
      <c r="T6" s="774"/>
      <c r="U6" s="772"/>
      <c r="V6" s="774"/>
      <c r="W6" s="772"/>
      <c r="AE6" s="772"/>
      <c r="AF6" s="772"/>
      <c r="AG6" s="772"/>
      <c r="AH6" s="772"/>
      <c r="AI6" s="772"/>
      <c r="AJ6" s="772"/>
      <c r="AK6" s="772"/>
      <c r="AL6" s="772"/>
      <c r="AM6" s="772"/>
      <c r="AN6" s="772"/>
      <c r="AO6" s="772"/>
      <c r="AP6" s="772"/>
      <c r="AQ6" s="772"/>
      <c r="AR6" s="772"/>
      <c r="AS6" s="772"/>
      <c r="AT6" s="772"/>
      <c r="AU6" s="772"/>
      <c r="AV6" s="772"/>
      <c r="AW6" s="772"/>
      <c r="AX6" s="772"/>
      <c r="AY6" s="772"/>
      <c r="AZ6" s="772"/>
      <c r="BA6" s="772"/>
      <c r="BB6" s="772"/>
      <c r="BC6" s="772"/>
    </row>
    <row r="7" spans="1:72" x14ac:dyDescent="0.25">
      <c r="A7" s="763"/>
      <c r="C7" s="772"/>
      <c r="D7" s="772"/>
      <c r="E7" s="773"/>
      <c r="F7" s="772"/>
      <c r="G7" s="772"/>
      <c r="H7" s="774"/>
      <c r="I7" s="772"/>
      <c r="J7" s="774"/>
      <c r="K7" s="772"/>
      <c r="L7" s="774"/>
      <c r="M7" s="772"/>
      <c r="N7" s="774"/>
      <c r="O7" s="772"/>
      <c r="P7" s="774"/>
      <c r="Q7" s="772"/>
      <c r="R7" s="774"/>
      <c r="S7" s="772"/>
      <c r="T7" s="774"/>
      <c r="U7" s="772"/>
      <c r="V7" s="774"/>
      <c r="W7" s="772"/>
      <c r="AE7" s="772"/>
      <c r="AF7" s="772"/>
      <c r="AG7" s="772"/>
      <c r="AH7" s="772"/>
      <c r="AI7" s="772"/>
      <c r="AJ7" s="772"/>
      <c r="AK7" s="772"/>
      <c r="AL7" s="772"/>
      <c r="AM7" s="772"/>
      <c r="AN7" s="772"/>
      <c r="AO7" s="772"/>
      <c r="AP7" s="772"/>
      <c r="AQ7" s="772"/>
      <c r="AR7" s="772"/>
      <c r="AS7" s="772"/>
      <c r="AT7" s="772"/>
      <c r="AU7" s="772"/>
      <c r="AV7" s="772"/>
      <c r="AW7" s="772"/>
      <c r="AX7" s="772"/>
      <c r="AY7" s="772"/>
      <c r="AZ7" s="772"/>
      <c r="BA7" s="772"/>
      <c r="BB7" s="772"/>
      <c r="BC7" s="772"/>
    </row>
    <row r="8" spans="1:72" x14ac:dyDescent="0.25">
      <c r="A8" s="770" t="s">
        <v>194</v>
      </c>
      <c r="C8" s="772"/>
      <c r="D8" s="772"/>
      <c r="E8" s="773"/>
      <c r="F8" s="772"/>
      <c r="G8" s="772"/>
      <c r="H8" s="774"/>
      <c r="I8" s="772"/>
      <c r="J8" s="774"/>
      <c r="K8" s="772"/>
      <c r="L8" s="774"/>
      <c r="M8" s="772"/>
      <c r="N8" s="774"/>
      <c r="O8" s="772"/>
      <c r="P8" s="774"/>
      <c r="Q8" s="772"/>
      <c r="R8" s="774"/>
      <c r="S8" s="772"/>
      <c r="T8" s="774"/>
      <c r="U8" s="772"/>
      <c r="V8" s="774"/>
      <c r="W8" s="772"/>
      <c r="AE8" s="772"/>
      <c r="AF8" s="772"/>
      <c r="AG8" s="772"/>
      <c r="AH8" s="772"/>
      <c r="AI8" s="772"/>
      <c r="AJ8" s="772"/>
      <c r="AK8" s="772"/>
      <c r="AL8" s="772"/>
      <c r="AM8" s="772"/>
      <c r="AN8" s="772"/>
      <c r="AO8" s="772"/>
      <c r="AP8" s="772"/>
      <c r="AQ8" s="772"/>
      <c r="AR8" s="772"/>
      <c r="AS8" s="772"/>
      <c r="AT8" s="772"/>
      <c r="AU8" s="772"/>
      <c r="AV8" s="772"/>
      <c r="AW8" s="772"/>
      <c r="AX8" s="772"/>
      <c r="AY8" s="772"/>
      <c r="AZ8" s="772"/>
      <c r="BA8" s="772"/>
      <c r="BB8" s="772"/>
      <c r="BC8" s="772"/>
    </row>
    <row r="9" spans="1:72" x14ac:dyDescent="0.25">
      <c r="A9" s="760" t="s">
        <v>195</v>
      </c>
      <c r="B9" s="867"/>
      <c r="C9" s="1192">
        <v>124.90300000000001</v>
      </c>
      <c r="D9" s="1192">
        <f>AT9-C9</f>
        <v>162.56599999999997</v>
      </c>
      <c r="E9" s="1193">
        <v>139.27099999999999</v>
      </c>
      <c r="F9" s="1172">
        <f>AU9-E9</f>
        <v>180.70700000000002</v>
      </c>
      <c r="G9" s="1172">
        <v>193.4</v>
      </c>
      <c r="H9" s="1194">
        <f>AV9-G9</f>
        <v>221.381</v>
      </c>
      <c r="I9" s="1192">
        <v>239.9</v>
      </c>
      <c r="J9" s="1194">
        <f>+Canalyst!F36</f>
        <v>323.79799999999994</v>
      </c>
      <c r="K9" s="1192">
        <f>+Canalyst!G36</f>
        <v>328.35500000000002</v>
      </c>
      <c r="L9" s="1194">
        <f>+Canalyst!H36</f>
        <v>460.548</v>
      </c>
      <c r="M9" s="1192">
        <f>+Canalyst!I36</f>
        <v>409.67500000000001</v>
      </c>
      <c r="N9" s="1194">
        <f>+Canalyst!J36</f>
        <v>554.60500000000002</v>
      </c>
      <c r="O9" s="1192">
        <f>+Canalyst!K36</f>
        <v>461.63299999999998</v>
      </c>
      <c r="P9" s="1194">
        <f>+Canalyst!L36</f>
        <v>647.56500000000005</v>
      </c>
      <c r="Q9" s="1192">
        <f>+Canalyst!M36</f>
        <v>552.18299999999999</v>
      </c>
      <c r="R9" s="1194">
        <f>+Canalyst!N36</f>
        <v>813.16000000000008</v>
      </c>
      <c r="S9" s="1192">
        <f>+Canalyst!O36</f>
        <v>687.46199999999999</v>
      </c>
      <c r="T9" s="1194">
        <f>+BB9-S9</f>
        <v>856.03899999999999</v>
      </c>
      <c r="U9" s="1192">
        <v>769.5</v>
      </c>
      <c r="V9" s="1194">
        <f>+BC9-U9</f>
        <v>1038</v>
      </c>
      <c r="W9" s="1192">
        <v>942.8</v>
      </c>
      <c r="X9" s="867"/>
      <c r="Y9" s="867"/>
      <c r="Z9" s="867"/>
      <c r="AA9" s="867"/>
      <c r="AB9" s="867"/>
      <c r="AC9" s="867"/>
      <c r="AD9" s="867"/>
      <c r="AE9" s="1192"/>
      <c r="AF9" s="1192"/>
      <c r="AG9" s="1192"/>
      <c r="AH9" s="1192"/>
      <c r="AI9" s="1192"/>
      <c r="AJ9" s="1192"/>
      <c r="AK9" s="1192"/>
      <c r="AL9" s="1192"/>
      <c r="AM9" s="1192"/>
      <c r="AN9" s="1192"/>
      <c r="AO9" s="1192"/>
      <c r="AP9" s="1192"/>
      <c r="AQ9" s="1192"/>
      <c r="AR9" s="1192">
        <v>200.04599999999999</v>
      </c>
      <c r="AS9" s="1192">
        <v>237.30099999999999</v>
      </c>
      <c r="AT9" s="1192">
        <v>287.46899999999999</v>
      </c>
      <c r="AU9" s="1192">
        <v>319.97800000000001</v>
      </c>
      <c r="AV9" s="1192">
        <v>414.78100000000001</v>
      </c>
      <c r="AW9" s="1192">
        <f>+Canalyst!AI36</f>
        <v>563.70899999999995</v>
      </c>
      <c r="AX9" s="1192">
        <f>+Canalyst!AJ36</f>
        <v>788.90300000000002</v>
      </c>
      <c r="AY9" s="1192">
        <f>+Canalyst!AK36</f>
        <v>964.28</v>
      </c>
      <c r="AZ9" s="1192">
        <f>+Canalyst!AL36</f>
        <v>1109.1980000000001</v>
      </c>
      <c r="BA9" s="1192">
        <f>+Canalyst!AM36</f>
        <v>1365.3430000000001</v>
      </c>
      <c r="BB9" s="772">
        <v>1543.501</v>
      </c>
      <c r="BC9" s="772">
        <v>1807.5</v>
      </c>
    </row>
    <row r="10" spans="1:72" x14ac:dyDescent="0.25">
      <c r="A10" s="760" t="s">
        <v>196</v>
      </c>
      <c r="B10" s="867"/>
      <c r="C10" s="1192">
        <v>105.83499999999999</v>
      </c>
      <c r="D10" s="1192">
        <f>AT10-C10</f>
        <v>118.01</v>
      </c>
      <c r="E10" s="1193">
        <v>110.327</v>
      </c>
      <c r="F10" s="1172">
        <f>AU10-E10</f>
        <v>140.36500000000001</v>
      </c>
      <c r="G10" s="1172">
        <v>126.3</v>
      </c>
      <c r="H10" s="1194">
        <f>AV10-G10</f>
        <v>161.12399999999997</v>
      </c>
      <c r="I10" s="1192">
        <v>164.7</v>
      </c>
      <c r="J10" s="1194">
        <f>+Canalyst!F37</f>
        <v>202.184</v>
      </c>
      <c r="K10" s="1192">
        <f>+Canalyst!G37</f>
        <v>201.71899999999999</v>
      </c>
      <c r="L10" s="1194">
        <f>+Canalyst!H37</f>
        <v>251.25200000000001</v>
      </c>
      <c r="M10" s="1192">
        <f>+Canalyst!I37</f>
        <v>224.22200000000001</v>
      </c>
      <c r="N10" s="1194">
        <f>+Canalyst!J37</f>
        <v>234.07500000000002</v>
      </c>
      <c r="O10" s="1192">
        <f>+Canalyst!K37</f>
        <v>293.90899999999999</v>
      </c>
      <c r="P10" s="1194">
        <f>+Canalyst!L37</f>
        <v>272.39599999999996</v>
      </c>
      <c r="Q10" s="1192">
        <f>+Canalyst!M37</f>
        <v>459.62700000000001</v>
      </c>
      <c r="R10" s="1194">
        <f>+Canalyst!N37</f>
        <v>350.61399999999998</v>
      </c>
      <c r="S10" s="1192">
        <f>+Canalyst!O37</f>
        <v>334.58</v>
      </c>
      <c r="T10" s="1194">
        <f t="shared" ref="T10:T12" si="11">+BB10-S10</f>
        <v>283.26400000000007</v>
      </c>
      <c r="U10" s="1192">
        <v>275.60000000000002</v>
      </c>
      <c r="V10" s="1194">
        <f t="shared" ref="V10:V12" si="12">+BC10-U10</f>
        <v>292.89999999999998</v>
      </c>
      <c r="W10" s="1192">
        <v>326.60000000000002</v>
      </c>
      <c r="X10" s="867"/>
      <c r="Y10" s="867"/>
      <c r="Z10" s="867"/>
      <c r="AA10" s="867"/>
      <c r="AB10" s="867"/>
      <c r="AC10" s="867"/>
      <c r="AD10" s="867"/>
      <c r="AE10" s="1192"/>
      <c r="AF10" s="1192"/>
      <c r="AG10" s="1192"/>
      <c r="AH10" s="1192"/>
      <c r="AI10" s="1192"/>
      <c r="AJ10" s="1192"/>
      <c r="AK10" s="1192"/>
      <c r="AL10" s="1192"/>
      <c r="AM10" s="1192"/>
      <c r="AN10" s="1192"/>
      <c r="AO10" s="1192"/>
      <c r="AP10" s="1192"/>
      <c r="AQ10" s="1192"/>
      <c r="AR10" s="1192">
        <v>149.262</v>
      </c>
      <c r="AS10" s="1192">
        <v>196.886</v>
      </c>
      <c r="AT10" s="1192">
        <v>223.845</v>
      </c>
      <c r="AU10" s="1192">
        <v>250.69200000000001</v>
      </c>
      <c r="AV10" s="1192">
        <v>287.42399999999998</v>
      </c>
      <c r="AW10" s="1192">
        <f>+Canalyst!AI37</f>
        <v>366.87700000000001</v>
      </c>
      <c r="AX10" s="1192">
        <f>+Canalyst!AJ37</f>
        <v>452.971</v>
      </c>
      <c r="AY10" s="1192">
        <f>+Canalyst!AK37</f>
        <v>458.29700000000003</v>
      </c>
      <c r="AZ10" s="1192">
        <f>+Canalyst!AL37</f>
        <v>566.30499999999995</v>
      </c>
      <c r="BA10" s="1192">
        <f>+Canalyst!AM37</f>
        <v>810.24099999999999</v>
      </c>
      <c r="BB10" s="772">
        <v>617.84400000000005</v>
      </c>
      <c r="BC10" s="772">
        <v>568.5</v>
      </c>
    </row>
    <row r="11" spans="1:72" ht="13" x14ac:dyDescent="0.25">
      <c r="A11" s="760" t="s">
        <v>197</v>
      </c>
      <c r="B11" s="867"/>
      <c r="C11" s="1195">
        <v>35.082000000000001</v>
      </c>
      <c r="D11" s="1195">
        <f>AT11-C11</f>
        <v>49.687999999999995</v>
      </c>
      <c r="E11" s="1196">
        <v>43.993000000000002</v>
      </c>
      <c r="F11" s="842">
        <f>AU11-E11</f>
        <v>57.687999999999995</v>
      </c>
      <c r="G11" s="842">
        <v>58.7</v>
      </c>
      <c r="H11" s="843">
        <f>AV11-G11</f>
        <v>71.581000000000003</v>
      </c>
      <c r="I11" s="1195">
        <v>68.2</v>
      </c>
      <c r="J11" s="843">
        <f>+Canalyst!F38</f>
        <v>82.853000000000009</v>
      </c>
      <c r="K11" s="1195">
        <f>+Canalyst!G38</f>
        <v>77.682000000000002</v>
      </c>
      <c r="L11" s="843">
        <f>+Canalyst!H38</f>
        <v>94.507999999999996</v>
      </c>
      <c r="M11" s="1195">
        <f>+Canalyst!I38</f>
        <v>93.825000000000003</v>
      </c>
      <c r="N11" s="843">
        <f>+Canalyst!J38</f>
        <v>129.78899999999999</v>
      </c>
      <c r="O11" s="1195">
        <f>+Canalyst!K38</f>
        <v>115.274</v>
      </c>
      <c r="P11" s="843">
        <f>+Canalyst!L38</f>
        <v>147.66300000000001</v>
      </c>
      <c r="Q11" s="1195">
        <f>+Canalyst!M38</f>
        <v>146.53100000000001</v>
      </c>
      <c r="R11" s="843">
        <f>+Canalyst!N38</f>
        <v>185.42199999999997</v>
      </c>
      <c r="S11" s="1195">
        <f>+Canalyst!O38</f>
        <v>192.68600000000001</v>
      </c>
      <c r="T11" s="843">
        <f t="shared" si="11"/>
        <v>209.27700000000002</v>
      </c>
      <c r="U11" s="1195">
        <v>218.4</v>
      </c>
      <c r="V11" s="843">
        <f t="shared" si="12"/>
        <v>257.79999999999995</v>
      </c>
      <c r="W11" s="1195">
        <v>237.7</v>
      </c>
      <c r="X11" s="867"/>
      <c r="Y11" s="867"/>
      <c r="Z11" s="867"/>
      <c r="AA11" s="867"/>
      <c r="AB11" s="867"/>
      <c r="AC11" s="867"/>
      <c r="AD11" s="867"/>
      <c r="AE11" s="1195"/>
      <c r="AF11" s="1195"/>
      <c r="AG11" s="1195"/>
      <c r="AH11" s="1195"/>
      <c r="AI11" s="1195"/>
      <c r="AJ11" s="1195"/>
      <c r="AK11" s="1195"/>
      <c r="AL11" s="1195"/>
      <c r="AM11" s="1195"/>
      <c r="AN11" s="1195"/>
      <c r="AO11" s="1195"/>
      <c r="AP11" s="1195"/>
      <c r="AQ11" s="1195"/>
      <c r="AR11" s="1195">
        <v>46.448</v>
      </c>
      <c r="AS11" s="1195">
        <v>70.61</v>
      </c>
      <c r="AT11" s="1195">
        <v>84.77</v>
      </c>
      <c r="AU11" s="1195">
        <v>101.681</v>
      </c>
      <c r="AV11" s="1195">
        <v>130.28100000000001</v>
      </c>
      <c r="AW11" s="1195">
        <f>+Canalyst!AI38</f>
        <v>151.09200000000001</v>
      </c>
      <c r="AX11" s="1195">
        <f>+Canalyst!AJ38</f>
        <v>172.19</v>
      </c>
      <c r="AY11" s="1195">
        <f>+Canalyst!AK38</f>
        <v>223.614</v>
      </c>
      <c r="AZ11" s="1195">
        <f>+Canalyst!AL38</f>
        <v>262.93700000000001</v>
      </c>
      <c r="BA11" s="1195">
        <f>+Canalyst!AM38</f>
        <v>331.95299999999997</v>
      </c>
      <c r="BB11" s="780">
        <v>401.96300000000002</v>
      </c>
      <c r="BC11" s="780">
        <v>476.2</v>
      </c>
    </row>
    <row r="12" spans="1:72" s="763" customFormat="1" x14ac:dyDescent="0.25">
      <c r="A12" s="786" t="s">
        <v>198</v>
      </c>
      <c r="B12" s="1197"/>
      <c r="C12" s="855">
        <f t="shared" ref="C12:F12" si="13">SUM(C9:C11)</f>
        <v>265.82</v>
      </c>
      <c r="D12" s="855">
        <f t="shared" si="13"/>
        <v>330.26399999999995</v>
      </c>
      <c r="E12" s="1198">
        <f t="shared" si="13"/>
        <v>293.59100000000001</v>
      </c>
      <c r="F12" s="844">
        <f t="shared" si="13"/>
        <v>378.76</v>
      </c>
      <c r="G12" s="844">
        <f t="shared" ref="G12:I12" si="14">SUM(G9:G11)</f>
        <v>378.4</v>
      </c>
      <c r="H12" s="845">
        <f t="shared" si="14"/>
        <v>454.08600000000001</v>
      </c>
      <c r="I12" s="855">
        <f t="shared" si="14"/>
        <v>472.8</v>
      </c>
      <c r="J12" s="845">
        <f t="shared" ref="J12:U12" si="15">SUM(J9:J11)</f>
        <v>608.83500000000004</v>
      </c>
      <c r="K12" s="855">
        <f t="shared" si="15"/>
        <v>607.75600000000009</v>
      </c>
      <c r="L12" s="845">
        <f t="shared" si="15"/>
        <v>806.30799999999999</v>
      </c>
      <c r="M12" s="855">
        <f t="shared" si="15"/>
        <v>727.72200000000009</v>
      </c>
      <c r="N12" s="845">
        <f t="shared" si="15"/>
        <v>918.46900000000005</v>
      </c>
      <c r="O12" s="855">
        <f t="shared" si="15"/>
        <v>870.81599999999992</v>
      </c>
      <c r="P12" s="845">
        <f t="shared" si="15"/>
        <v>1067.624</v>
      </c>
      <c r="Q12" s="855">
        <f t="shared" si="15"/>
        <v>1158.3409999999999</v>
      </c>
      <c r="R12" s="845">
        <f t="shared" si="15"/>
        <v>1349.1960000000001</v>
      </c>
      <c r="S12" s="855">
        <f t="shared" si="15"/>
        <v>1214.7279999999998</v>
      </c>
      <c r="T12" s="845">
        <f t="shared" si="11"/>
        <v>1348.2720000000002</v>
      </c>
      <c r="U12" s="855">
        <f t="shared" si="15"/>
        <v>1263.5</v>
      </c>
      <c r="V12" s="845">
        <f t="shared" si="12"/>
        <v>1588.6999999999998</v>
      </c>
      <c r="W12" s="855">
        <f t="shared" ref="W12" si="16">SUM(W9:W11)</f>
        <v>1507.1000000000001</v>
      </c>
      <c r="X12" s="855"/>
      <c r="Y12" s="855"/>
      <c r="Z12" s="855"/>
      <c r="AA12" s="855"/>
      <c r="AB12" s="855"/>
      <c r="AC12" s="855"/>
      <c r="AD12" s="855"/>
      <c r="AE12" s="855">
        <f t="shared" ref="AE12:AP12" si="17">+AE230</f>
        <v>18.367162</v>
      </c>
      <c r="AF12" s="855">
        <f t="shared" si="17"/>
        <v>31.868970000000001</v>
      </c>
      <c r="AG12" s="855">
        <f t="shared" si="17"/>
        <v>38.608544999999999</v>
      </c>
      <c r="AH12" s="855">
        <f t="shared" si="17"/>
        <v>39.477041</v>
      </c>
      <c r="AI12" s="855">
        <f t="shared" si="17"/>
        <v>51.132738000000003</v>
      </c>
      <c r="AJ12" s="855">
        <f t="shared" si="17"/>
        <v>57.104958000000003</v>
      </c>
      <c r="AK12" s="855">
        <f t="shared" si="17"/>
        <v>67.277880999999994</v>
      </c>
      <c r="AL12" s="855">
        <f t="shared" si="17"/>
        <v>89.142482000000001</v>
      </c>
      <c r="AM12" s="855">
        <f t="shared" si="17"/>
        <v>102.915905</v>
      </c>
      <c r="AN12" s="855">
        <f t="shared" si="17"/>
        <v>113.11424700000001</v>
      </c>
      <c r="AO12" s="855">
        <f t="shared" si="17"/>
        <v>145.75140099999999</v>
      </c>
      <c r="AP12" s="855">
        <f t="shared" si="17"/>
        <v>219.22811799999999</v>
      </c>
      <c r="AQ12" s="855">
        <f>+AQ230</f>
        <v>304.055497</v>
      </c>
      <c r="AR12" s="855">
        <f>SUM(AR9:AR11)</f>
        <v>395.75599999999997</v>
      </c>
      <c r="AS12" s="855">
        <f t="shared" ref="AS12:AT12" si="18">SUM(AS9:AS11)</f>
        <v>504.79700000000003</v>
      </c>
      <c r="AT12" s="855">
        <f t="shared" si="18"/>
        <v>596.08399999999995</v>
      </c>
      <c r="AU12" s="855">
        <f t="shared" ref="AU12:BA12" si="19">SUM(AU9:AU11)</f>
        <v>672.35100000000011</v>
      </c>
      <c r="AV12" s="855">
        <f t="shared" si="19"/>
        <v>832.48599999999988</v>
      </c>
      <c r="AW12" s="855">
        <f t="shared" si="19"/>
        <v>1081.6780000000001</v>
      </c>
      <c r="AX12" s="855">
        <f t="shared" si="19"/>
        <v>1414.0640000000001</v>
      </c>
      <c r="AY12" s="855">
        <f t="shared" si="19"/>
        <v>1646.191</v>
      </c>
      <c r="AZ12" s="855">
        <f t="shared" si="19"/>
        <v>1938.44</v>
      </c>
      <c r="BA12" s="855">
        <f t="shared" si="19"/>
        <v>2507.5369999999998</v>
      </c>
      <c r="BB12" s="787">
        <v>2563</v>
      </c>
      <c r="BC12" s="787">
        <f>+SUM(BC9:BC11)</f>
        <v>2852.2</v>
      </c>
    </row>
    <row r="13" spans="1:72" x14ac:dyDescent="0.25">
      <c r="E13" s="790"/>
      <c r="H13" s="791"/>
      <c r="J13" s="791"/>
      <c r="L13" s="791"/>
      <c r="N13" s="791"/>
      <c r="P13" s="791"/>
      <c r="R13" s="791"/>
      <c r="T13" s="791"/>
      <c r="V13" s="791"/>
      <c r="AR13" s="787"/>
      <c r="AS13" s="787"/>
      <c r="AT13" s="787"/>
      <c r="AU13" s="787"/>
      <c r="AV13" s="787"/>
      <c r="AW13" s="787"/>
      <c r="AX13" s="787"/>
      <c r="AY13" s="787"/>
      <c r="AZ13" s="787"/>
      <c r="BA13" s="787"/>
      <c r="BB13" s="787"/>
      <c r="BC13" s="787"/>
    </row>
    <row r="14" spans="1:72" ht="12" x14ac:dyDescent="0.3">
      <c r="A14" s="1169" t="s">
        <v>199</v>
      </c>
      <c r="E14" s="790"/>
      <c r="H14" s="791"/>
      <c r="J14" s="791"/>
      <c r="L14" s="791"/>
      <c r="N14" s="791"/>
      <c r="P14" s="791"/>
      <c r="R14" s="791"/>
      <c r="T14" s="791"/>
      <c r="V14" s="791"/>
      <c r="AR14" s="787"/>
      <c r="AS14" s="787"/>
      <c r="AT14" s="787"/>
      <c r="AU14" s="787"/>
      <c r="AV14" s="787"/>
      <c r="AW14" s="787"/>
      <c r="AX14" s="787"/>
      <c r="AY14" s="787"/>
      <c r="AZ14" s="787"/>
      <c r="BA14" s="787"/>
      <c r="BB14" s="787"/>
      <c r="BC14" s="787"/>
    </row>
    <row r="15" spans="1:72" ht="12" x14ac:dyDescent="0.3">
      <c r="A15" s="1184" t="str">
        <f>+A9</f>
        <v>Software</v>
      </c>
      <c r="B15" s="1165"/>
      <c r="C15" s="1165"/>
      <c r="D15" s="1165"/>
      <c r="E15" s="1165"/>
      <c r="F15" s="1165"/>
      <c r="G15" s="1165">
        <f t="shared" ref="G15:R15" si="20">+G9/E9-1</f>
        <v>0.38865951992877212</v>
      </c>
      <c r="H15" s="1166">
        <f t="shared" si="20"/>
        <v>0.22508259226261274</v>
      </c>
      <c r="I15" s="1165">
        <f t="shared" si="20"/>
        <v>0.24043433298862471</v>
      </c>
      <c r="J15" s="1166">
        <f t="shared" si="20"/>
        <v>0.4626277774515426</v>
      </c>
      <c r="K15" s="1165">
        <f t="shared" si="20"/>
        <v>0.3687161317215506</v>
      </c>
      <c r="L15" s="1166">
        <f t="shared" si="20"/>
        <v>0.42233120649293721</v>
      </c>
      <c r="M15" s="1165">
        <f t="shared" si="20"/>
        <v>0.24765878393811569</v>
      </c>
      <c r="N15" s="1166">
        <f t="shared" si="20"/>
        <v>0.20422844090083991</v>
      </c>
      <c r="O15" s="1165">
        <f t="shared" si="20"/>
        <v>0.12682736315371934</v>
      </c>
      <c r="P15" s="1166">
        <f t="shared" si="20"/>
        <v>0.16761478890381443</v>
      </c>
      <c r="Q15" s="1165">
        <f t="shared" si="20"/>
        <v>0.19615148830347917</v>
      </c>
      <c r="R15" s="1166">
        <f t="shared" si="20"/>
        <v>0.25571950306146873</v>
      </c>
      <c r="S15" s="1165">
        <f>+S9/Q9-1</f>
        <v>0.24498943285106578</v>
      </c>
      <c r="T15" s="1166">
        <f t="shared" ref="T15:T18" si="21">+T9/R9-1</f>
        <v>5.2731319789463216E-2</v>
      </c>
      <c r="U15" s="1165">
        <f t="shared" ref="U15:W18" si="22">+U9/S9-1</f>
        <v>0.11933459594857609</v>
      </c>
      <c r="V15" s="1166">
        <f t="shared" ref="V15:V18" si="23">+V9/T9-1</f>
        <v>0.2125615772178604</v>
      </c>
      <c r="W15" s="1165">
        <f t="shared" si="22"/>
        <v>0.22521117608836905</v>
      </c>
      <c r="X15" s="1165"/>
      <c r="Y15" s="1165"/>
      <c r="Z15" s="1165"/>
      <c r="AA15" s="1165"/>
      <c r="AB15" s="1165"/>
      <c r="AC15" s="1165"/>
      <c r="AD15" s="1165"/>
      <c r="AE15" s="1165"/>
      <c r="AF15" s="1165"/>
      <c r="AG15" s="1165"/>
      <c r="AH15" s="1165"/>
      <c r="AI15" s="1165"/>
      <c r="AJ15" s="1165"/>
      <c r="AK15" s="1165"/>
      <c r="AL15" s="1165"/>
      <c r="AM15" s="1165"/>
      <c r="AN15" s="1165"/>
      <c r="AO15" s="1165"/>
      <c r="AP15" s="1165"/>
      <c r="AQ15" s="1165"/>
      <c r="AR15" s="1165"/>
      <c r="AS15" s="1165">
        <f t="shared" ref="AS15:AZ15" si="24">+AS9/AR9-1</f>
        <v>0.18623216660168151</v>
      </c>
      <c r="AT15" s="1165">
        <f t="shared" si="24"/>
        <v>0.21141082422745794</v>
      </c>
      <c r="AU15" s="1165">
        <f t="shared" si="24"/>
        <v>0.11308697633483966</v>
      </c>
      <c r="AV15" s="1165">
        <f t="shared" si="24"/>
        <v>0.29627974423241588</v>
      </c>
      <c r="AW15" s="1165">
        <f t="shared" si="24"/>
        <v>0.3590521263027957</v>
      </c>
      <c r="AX15" s="1165">
        <f t="shared" si="24"/>
        <v>0.39948625975458985</v>
      </c>
      <c r="AY15" s="1165">
        <f t="shared" si="24"/>
        <v>0.2223048967997332</v>
      </c>
      <c r="AZ15" s="1165">
        <f t="shared" si="24"/>
        <v>0.15028622391836399</v>
      </c>
      <c r="BA15" s="1165">
        <f>+BA9/AZ9-1</f>
        <v>0.23092811202328156</v>
      </c>
      <c r="BB15" s="1165">
        <f t="shared" ref="BB15:BB18" si="25">+BB9/BA9-1</f>
        <v>0.13048589255593646</v>
      </c>
      <c r="BC15" s="1165">
        <f t="shared" ref="BC15:BC18" si="26">+BC9/BB9-1</f>
        <v>0.17103908581853844</v>
      </c>
    </row>
    <row r="16" spans="1:72" ht="12" x14ac:dyDescent="0.3">
      <c r="A16" s="1184" t="str">
        <f t="shared" ref="A16:A18" si="27">+A10</f>
        <v>Hardware</v>
      </c>
      <c r="B16" s="1165"/>
      <c r="C16" s="1165"/>
      <c r="D16" s="1165"/>
      <c r="E16" s="1165"/>
      <c r="F16" s="1165"/>
      <c r="G16" s="1165">
        <f t="shared" ref="G16:S16" si="28">+G10/E10-1</f>
        <v>0.14477870330925335</v>
      </c>
      <c r="H16" s="1166">
        <f t="shared" si="28"/>
        <v>0.14789299326755212</v>
      </c>
      <c r="I16" s="1165">
        <f t="shared" si="28"/>
        <v>0.30403800475059373</v>
      </c>
      <c r="J16" s="1166">
        <f t="shared" si="28"/>
        <v>0.25483478563094297</v>
      </c>
      <c r="K16" s="1165">
        <f t="shared" si="28"/>
        <v>0.22476624165148751</v>
      </c>
      <c r="L16" s="1166">
        <f t="shared" si="28"/>
        <v>0.24268982708819697</v>
      </c>
      <c r="M16" s="1165">
        <f t="shared" si="28"/>
        <v>0.1115561746786371</v>
      </c>
      <c r="N16" s="1166">
        <f t="shared" si="28"/>
        <v>-6.8365624950249115E-2</v>
      </c>
      <c r="O16" s="1165">
        <f t="shared" si="28"/>
        <v>0.3107946588648749</v>
      </c>
      <c r="P16" s="1166">
        <f t="shared" si="28"/>
        <v>0.16371248531453575</v>
      </c>
      <c r="Q16" s="1165">
        <f t="shared" si="28"/>
        <v>0.56384118893943369</v>
      </c>
      <c r="R16" s="1166">
        <f t="shared" si="28"/>
        <v>0.2871481225862349</v>
      </c>
      <c r="S16" s="1165">
        <f t="shared" si="28"/>
        <v>-0.27206191107136879</v>
      </c>
      <c r="T16" s="1166">
        <f t="shared" si="21"/>
        <v>-0.19209158790008363</v>
      </c>
      <c r="U16" s="1165">
        <f t="shared" si="22"/>
        <v>-0.1762807101440611</v>
      </c>
      <c r="V16" s="1166">
        <f t="shared" si="23"/>
        <v>3.4017736104834828E-2</v>
      </c>
      <c r="W16" s="1165">
        <f t="shared" si="22"/>
        <v>0.18505079825834536</v>
      </c>
      <c r="X16" s="1165"/>
      <c r="Y16" s="1165"/>
      <c r="Z16" s="1165"/>
      <c r="AA16" s="1165"/>
      <c r="AB16" s="1165"/>
      <c r="AC16" s="1165"/>
      <c r="AD16" s="1165"/>
      <c r="AE16" s="1165"/>
      <c r="AF16" s="1165"/>
      <c r="AG16" s="1165"/>
      <c r="AH16" s="1165"/>
      <c r="AI16" s="1165"/>
      <c r="AJ16" s="1165"/>
      <c r="AK16" s="1165"/>
      <c r="AL16" s="1165"/>
      <c r="AM16" s="1165"/>
      <c r="AN16" s="1165"/>
      <c r="AO16" s="1165"/>
      <c r="AP16" s="1165"/>
      <c r="AQ16" s="1165"/>
      <c r="AR16" s="1165"/>
      <c r="AS16" s="1165">
        <f t="shared" ref="AS16:BA16" si="29">+AS10/AR10-1</f>
        <v>0.31906312390293579</v>
      </c>
      <c r="AT16" s="1165">
        <f t="shared" si="29"/>
        <v>0.13692695265280408</v>
      </c>
      <c r="AU16" s="1165">
        <f t="shared" si="29"/>
        <v>0.11993566977149372</v>
      </c>
      <c r="AV16" s="1165">
        <f t="shared" si="29"/>
        <v>0.14652242592503928</v>
      </c>
      <c r="AW16" s="1165">
        <f t="shared" si="29"/>
        <v>0.27643133489200644</v>
      </c>
      <c r="AX16" s="1165">
        <f t="shared" si="29"/>
        <v>0.23466720453994117</v>
      </c>
      <c r="AY16" s="1165">
        <f t="shared" si="29"/>
        <v>1.1757927107916455E-2</v>
      </c>
      <c r="AZ16" s="1165">
        <f t="shared" si="29"/>
        <v>0.23567250058368239</v>
      </c>
      <c r="BA16" s="1165">
        <f t="shared" si="29"/>
        <v>0.43075021410723924</v>
      </c>
      <c r="BB16" s="1165">
        <f t="shared" si="25"/>
        <v>-0.23745650985324107</v>
      </c>
      <c r="BC16" s="1165">
        <f t="shared" si="26"/>
        <v>-7.9864820245887369E-2</v>
      </c>
    </row>
    <row r="17" spans="1:55" s="1181" customFormat="1" ht="13.5" x14ac:dyDescent="0.45">
      <c r="A17" s="1184" t="str">
        <f t="shared" si="27"/>
        <v>Services</v>
      </c>
      <c r="B17" s="1182"/>
      <c r="C17" s="1182"/>
      <c r="D17" s="1182"/>
      <c r="E17" s="1182"/>
      <c r="F17" s="1182"/>
      <c r="G17" s="1182">
        <f t="shared" ref="G17:S17" si="30">+G11/E11-1</f>
        <v>0.33430318459754971</v>
      </c>
      <c r="H17" s="1183">
        <f t="shared" si="30"/>
        <v>0.24082998197198746</v>
      </c>
      <c r="I17" s="1182">
        <f t="shared" si="30"/>
        <v>0.16183986371379899</v>
      </c>
      <c r="J17" s="1183">
        <f t="shared" si="30"/>
        <v>0.15747195484835363</v>
      </c>
      <c r="K17" s="1182">
        <f t="shared" si="30"/>
        <v>0.13903225806451602</v>
      </c>
      <c r="L17" s="1183">
        <f t="shared" si="30"/>
        <v>0.14067082664478026</v>
      </c>
      <c r="M17" s="1182">
        <f t="shared" si="30"/>
        <v>0.20780875878581906</v>
      </c>
      <c r="N17" s="1183">
        <f t="shared" si="30"/>
        <v>0.37331231218521177</v>
      </c>
      <c r="O17" s="1182">
        <f t="shared" si="30"/>
        <v>0.22860644817479336</v>
      </c>
      <c r="P17" s="1183">
        <f t="shared" si="30"/>
        <v>0.13771583107967578</v>
      </c>
      <c r="Q17" s="1182">
        <f t="shared" si="30"/>
        <v>0.27115394624980493</v>
      </c>
      <c r="R17" s="1183">
        <f t="shared" si="30"/>
        <v>0.25571063841314312</v>
      </c>
      <c r="S17" s="1182">
        <f t="shared" si="30"/>
        <v>0.31498454252001284</v>
      </c>
      <c r="T17" s="1183">
        <f t="shared" si="21"/>
        <v>0.12865247920958711</v>
      </c>
      <c r="U17" s="1182">
        <f t="shared" si="22"/>
        <v>0.13345027661584141</v>
      </c>
      <c r="V17" s="1183">
        <f t="shared" si="23"/>
        <v>0.23186016619121985</v>
      </c>
      <c r="W17" s="1182">
        <f t="shared" si="22"/>
        <v>8.8369963369963278E-2</v>
      </c>
      <c r="X17" s="1182"/>
      <c r="Y17" s="1182"/>
      <c r="Z17" s="1182"/>
      <c r="AA17" s="1182"/>
      <c r="AB17" s="1182"/>
      <c r="AC17" s="1182"/>
      <c r="AD17" s="1182"/>
      <c r="AE17" s="1182"/>
      <c r="AF17" s="1182"/>
      <c r="AG17" s="1182"/>
      <c r="AH17" s="1182"/>
      <c r="AI17" s="1182"/>
      <c r="AJ17" s="1182"/>
      <c r="AK17" s="1182"/>
      <c r="AL17" s="1182"/>
      <c r="AM17" s="1182"/>
      <c r="AN17" s="1182"/>
      <c r="AO17" s="1182"/>
      <c r="AP17" s="1182"/>
      <c r="AQ17" s="1182"/>
      <c r="AR17" s="1182"/>
      <c r="AS17" s="1182">
        <f t="shared" ref="AS17:BA17" si="31">+AS11/AR11-1</f>
        <v>0.52019462624870827</v>
      </c>
      <c r="AT17" s="1182">
        <f t="shared" si="31"/>
        <v>0.20053816739838548</v>
      </c>
      <c r="AU17" s="1182">
        <f t="shared" si="31"/>
        <v>0.19949274507490866</v>
      </c>
      <c r="AV17" s="1182">
        <f t="shared" si="31"/>
        <v>0.28127182069413181</v>
      </c>
      <c r="AW17" s="1182">
        <f t="shared" si="31"/>
        <v>0.15973933267322171</v>
      </c>
      <c r="AX17" s="1182">
        <f t="shared" si="31"/>
        <v>0.13963677759246007</v>
      </c>
      <c r="AY17" s="1182">
        <f t="shared" si="31"/>
        <v>0.29864684360299676</v>
      </c>
      <c r="AZ17" s="1182">
        <f t="shared" si="31"/>
        <v>0.17585213805933453</v>
      </c>
      <c r="BA17" s="1182">
        <f t="shared" si="31"/>
        <v>0.26248112665771628</v>
      </c>
      <c r="BB17" s="1182">
        <f t="shared" si="25"/>
        <v>0.21090335077556177</v>
      </c>
      <c r="BC17" s="1182">
        <f t="shared" si="26"/>
        <v>0.18468615270559718</v>
      </c>
    </row>
    <row r="18" spans="1:55" ht="12" x14ac:dyDescent="0.3">
      <c r="A18" s="797" t="str">
        <f t="shared" si="27"/>
        <v>Total Gross Invoiced Income</v>
      </c>
      <c r="B18" s="1165"/>
      <c r="C18" s="1165"/>
      <c r="D18" s="1165"/>
      <c r="E18" s="1165"/>
      <c r="F18" s="1165"/>
      <c r="G18" s="1165">
        <f t="shared" ref="G18:S18" si="32">+G12/E12-1</f>
        <v>0.28886784676641986</v>
      </c>
      <c r="H18" s="1166">
        <f t="shared" si="32"/>
        <v>0.19887527722040343</v>
      </c>
      <c r="I18" s="1165">
        <f t="shared" si="32"/>
        <v>0.24947145877378452</v>
      </c>
      <c r="J18" s="1166">
        <f t="shared" si="32"/>
        <v>0.34079227282937596</v>
      </c>
      <c r="K18" s="1165">
        <f t="shared" si="32"/>
        <v>0.28543993231810516</v>
      </c>
      <c r="L18" s="1166">
        <f t="shared" si="32"/>
        <v>0.32434567657904023</v>
      </c>
      <c r="M18" s="1165">
        <f t="shared" si="32"/>
        <v>0.19739171641250763</v>
      </c>
      <c r="N18" s="1166">
        <f t="shared" si="32"/>
        <v>0.13910441171363797</v>
      </c>
      <c r="O18" s="1165">
        <f t="shared" si="32"/>
        <v>0.19663278010009289</v>
      </c>
      <c r="P18" s="1166">
        <f t="shared" si="32"/>
        <v>0.16239524687278495</v>
      </c>
      <c r="Q18" s="1165">
        <f t="shared" si="32"/>
        <v>0.33017882078418404</v>
      </c>
      <c r="R18" s="1166">
        <f t="shared" si="32"/>
        <v>0.26373704600121406</v>
      </c>
      <c r="S18" s="1165">
        <f t="shared" si="32"/>
        <v>4.8679102267812357E-2</v>
      </c>
      <c r="T18" s="1166">
        <f t="shared" si="21"/>
        <v>-6.8485231204362673E-4</v>
      </c>
      <c r="U18" s="1165">
        <f t="shared" si="22"/>
        <v>4.0150552222390612E-2</v>
      </c>
      <c r="V18" s="1166">
        <f t="shared" si="23"/>
        <v>0.17832306834229272</v>
      </c>
      <c r="W18" s="1165">
        <f t="shared" si="22"/>
        <v>0.19279778393351821</v>
      </c>
      <c r="X18" s="1165"/>
      <c r="Y18" s="1165"/>
      <c r="Z18" s="1165"/>
      <c r="AA18" s="1165"/>
      <c r="AB18" s="1165"/>
      <c r="AC18" s="1165"/>
      <c r="AD18" s="1165"/>
      <c r="AE18" s="1165"/>
      <c r="AF18" s="1165"/>
      <c r="AG18" s="1165"/>
      <c r="AH18" s="1165"/>
      <c r="AI18" s="1165"/>
      <c r="AJ18" s="1165"/>
      <c r="AK18" s="1165"/>
      <c r="AL18" s="1165">
        <f t="shared" ref="AL18" si="33">+AL12/AK12-1</f>
        <v>0.3249894419237136</v>
      </c>
      <c r="AM18" s="1165">
        <f t="shared" ref="AM18" si="34">+AM12/AL12-1</f>
        <v>0.15451020311505337</v>
      </c>
      <c r="AN18" s="1165">
        <f t="shared" ref="AN18" si="35">+AN12/AM12-1</f>
        <v>9.9093934994790356E-2</v>
      </c>
      <c r="AO18" s="1165">
        <f t="shared" ref="AO18" si="36">+AO12/AN12-1</f>
        <v>0.28853265495371216</v>
      </c>
      <c r="AP18" s="1165">
        <f t="shared" ref="AP18" si="37">+AP12/AO12-1</f>
        <v>0.50412357271269048</v>
      </c>
      <c r="AQ18" s="1165">
        <f t="shared" ref="AQ18" si="38">+AQ12/AP12-1</f>
        <v>0.38693658356361027</v>
      </c>
      <c r="AR18" s="1165">
        <f t="shared" ref="AR18" si="39">+AR12/AQ12-1</f>
        <v>0.30159133416357853</v>
      </c>
      <c r="AS18" s="1165">
        <f t="shared" ref="AS18:BA18" si="40">+AS12/AR12-1</f>
        <v>0.27552582904618017</v>
      </c>
      <c r="AT18" s="1165">
        <f t="shared" si="40"/>
        <v>0.18083903034289017</v>
      </c>
      <c r="AU18" s="1165">
        <f t="shared" si="40"/>
        <v>0.12794673233973763</v>
      </c>
      <c r="AV18" s="1165">
        <f t="shared" si="40"/>
        <v>0.23817172875477199</v>
      </c>
      <c r="AW18" s="1165">
        <f t="shared" si="40"/>
        <v>0.29933476358761624</v>
      </c>
      <c r="AX18" s="1165">
        <f t="shared" si="40"/>
        <v>0.30728738127243038</v>
      </c>
      <c r="AY18" s="1165">
        <f t="shared" si="40"/>
        <v>0.16415593636497361</v>
      </c>
      <c r="AZ18" s="1165">
        <f t="shared" si="40"/>
        <v>0.17753043237388622</v>
      </c>
      <c r="BA18" s="1165">
        <f t="shared" si="40"/>
        <v>0.29358504777037187</v>
      </c>
      <c r="BB18" s="1165">
        <f t="shared" si="25"/>
        <v>2.211851709466317E-2</v>
      </c>
      <c r="BC18" s="1165">
        <f t="shared" si="26"/>
        <v>0.11283651970347242</v>
      </c>
    </row>
    <row r="19" spans="1:55" x14ac:dyDescent="0.25">
      <c r="E19" s="790"/>
      <c r="H19" s="791"/>
      <c r="J19" s="791"/>
      <c r="L19" s="791"/>
      <c r="N19" s="791"/>
      <c r="P19" s="791"/>
      <c r="R19" s="791"/>
      <c r="T19" s="791"/>
      <c r="V19" s="791"/>
      <c r="AR19" s="787"/>
      <c r="AS19" s="787"/>
      <c r="AT19" s="787"/>
      <c r="AU19" s="787"/>
      <c r="AV19" s="787"/>
      <c r="AW19" s="787"/>
      <c r="AX19" s="787"/>
      <c r="AY19" s="787"/>
      <c r="AZ19" s="787"/>
      <c r="BA19" s="787"/>
      <c r="BB19" s="787"/>
      <c r="BC19" s="787"/>
    </row>
    <row r="20" spans="1:55" ht="12" x14ac:dyDescent="0.3">
      <c r="A20" s="1169" t="s">
        <v>200</v>
      </c>
      <c r="E20" s="790"/>
      <c r="H20" s="791"/>
      <c r="J20" s="791"/>
      <c r="L20" s="791"/>
      <c r="N20" s="791"/>
      <c r="P20" s="791"/>
      <c r="R20" s="791"/>
      <c r="T20" s="791"/>
      <c r="V20" s="791"/>
      <c r="AR20" s="787"/>
      <c r="AS20" s="787"/>
      <c r="AT20" s="787"/>
      <c r="AU20" s="787"/>
      <c r="AV20" s="787"/>
      <c r="AW20" s="787"/>
      <c r="AX20" s="787"/>
      <c r="AY20" s="787"/>
      <c r="AZ20" s="787"/>
      <c r="BA20" s="787"/>
      <c r="BB20" s="787"/>
      <c r="BC20" s="787"/>
    </row>
    <row r="21" spans="1:55" ht="12" x14ac:dyDescent="0.3">
      <c r="A21" s="1184" t="str">
        <f>+A15</f>
        <v>Software</v>
      </c>
      <c r="B21" s="1186"/>
      <c r="C21" s="1186"/>
      <c r="D21" s="1186"/>
      <c r="E21" s="1186"/>
      <c r="F21" s="1186"/>
      <c r="G21" s="1186">
        <f t="shared" ref="G21:R21" si="41">+G9-F9</f>
        <v>12.692999999999984</v>
      </c>
      <c r="H21" s="1187">
        <f t="shared" si="41"/>
        <v>27.980999999999995</v>
      </c>
      <c r="I21" s="1188">
        <f t="shared" si="41"/>
        <v>18.519000000000005</v>
      </c>
      <c r="J21" s="1187">
        <f t="shared" si="41"/>
        <v>83.897999999999939</v>
      </c>
      <c r="K21" s="1188">
        <f t="shared" si="41"/>
        <v>4.5570000000000732</v>
      </c>
      <c r="L21" s="1187">
        <f t="shared" si="41"/>
        <v>132.19299999999998</v>
      </c>
      <c r="M21" s="1188">
        <f t="shared" si="41"/>
        <v>-50.87299999999999</v>
      </c>
      <c r="N21" s="1187">
        <f t="shared" si="41"/>
        <v>144.93</v>
      </c>
      <c r="O21" s="1188">
        <f t="shared" si="41"/>
        <v>-92.972000000000037</v>
      </c>
      <c r="P21" s="1187">
        <f t="shared" si="41"/>
        <v>185.93200000000007</v>
      </c>
      <c r="Q21" s="1188">
        <f t="shared" si="41"/>
        <v>-95.382000000000062</v>
      </c>
      <c r="R21" s="1187">
        <f t="shared" si="41"/>
        <v>260.97700000000009</v>
      </c>
      <c r="S21" s="1186">
        <f>+S9-R9</f>
        <v>-125.69800000000009</v>
      </c>
      <c r="T21" s="1187">
        <f t="shared" ref="T21:T24" si="42">+T9-S9</f>
        <v>168.577</v>
      </c>
      <c r="U21" s="1186">
        <f t="shared" ref="U21:W24" si="43">+U9-T9</f>
        <v>-86.538999999999987</v>
      </c>
      <c r="V21" s="1187">
        <f t="shared" ref="V21:V24" si="44">+V9-U9</f>
        <v>268.5</v>
      </c>
      <c r="W21" s="1186">
        <f t="shared" si="43"/>
        <v>-95.200000000000045</v>
      </c>
      <c r="X21" s="1186"/>
      <c r="Y21" s="1186"/>
      <c r="Z21" s="1186"/>
      <c r="AA21" s="1186"/>
      <c r="AB21" s="1186"/>
      <c r="AC21" s="1186"/>
      <c r="AD21" s="1186"/>
      <c r="AE21" s="1186"/>
      <c r="AF21" s="1186"/>
      <c r="AG21" s="1186"/>
      <c r="AH21" s="1186"/>
      <c r="AI21" s="1186"/>
      <c r="AJ21" s="1186"/>
      <c r="AK21" s="1186"/>
      <c r="AL21" s="1186"/>
      <c r="AM21" s="1186"/>
      <c r="AN21" s="1186"/>
      <c r="AO21" s="1186"/>
      <c r="AP21" s="1186"/>
      <c r="AQ21" s="1186"/>
      <c r="AR21" s="1186"/>
      <c r="AS21" s="1186">
        <f>+AS9-AR9</f>
        <v>37.254999999999995</v>
      </c>
      <c r="AT21" s="1186">
        <f t="shared" ref="AT21:BA21" si="45">+AT9-AS9</f>
        <v>50.168000000000006</v>
      </c>
      <c r="AU21" s="1186">
        <f t="shared" si="45"/>
        <v>32.509000000000015</v>
      </c>
      <c r="AV21" s="1186">
        <f t="shared" si="45"/>
        <v>94.802999999999997</v>
      </c>
      <c r="AW21" s="1186">
        <f t="shared" si="45"/>
        <v>148.92799999999994</v>
      </c>
      <c r="AX21" s="1186">
        <f t="shared" si="45"/>
        <v>225.19400000000007</v>
      </c>
      <c r="AY21" s="1186">
        <f t="shared" si="45"/>
        <v>175.37699999999995</v>
      </c>
      <c r="AZ21" s="1186">
        <f t="shared" si="45"/>
        <v>144.91800000000012</v>
      </c>
      <c r="BA21" s="1186">
        <f t="shared" si="45"/>
        <v>256.14499999999998</v>
      </c>
      <c r="BB21" s="1186">
        <f t="shared" ref="BB21:BB24" si="46">+BB9-BA9</f>
        <v>178.1579999999999</v>
      </c>
      <c r="BC21" s="1186">
        <f t="shared" ref="BC21:BC24" si="47">+BC9-BB9</f>
        <v>263.99900000000002</v>
      </c>
    </row>
    <row r="22" spans="1:55" ht="12" x14ac:dyDescent="0.3">
      <c r="A22" s="1184" t="str">
        <f t="shared" ref="A22:A24" si="48">+A16</f>
        <v>Hardware</v>
      </c>
      <c r="B22" s="1186"/>
      <c r="C22" s="1186"/>
      <c r="D22" s="1186"/>
      <c r="E22" s="1186"/>
      <c r="F22" s="1186"/>
      <c r="G22" s="1186">
        <f t="shared" ref="G22:S22" si="49">+G10-F10</f>
        <v>-14.065000000000012</v>
      </c>
      <c r="H22" s="1187">
        <f t="shared" si="49"/>
        <v>34.82399999999997</v>
      </c>
      <c r="I22" s="1188">
        <f t="shared" si="49"/>
        <v>3.5760000000000218</v>
      </c>
      <c r="J22" s="1187">
        <f t="shared" si="49"/>
        <v>37.484000000000009</v>
      </c>
      <c r="K22" s="1188">
        <f t="shared" si="49"/>
        <v>-0.46500000000000341</v>
      </c>
      <c r="L22" s="1187">
        <f t="shared" si="49"/>
        <v>49.533000000000015</v>
      </c>
      <c r="M22" s="1188">
        <f t="shared" si="49"/>
        <v>-27.03</v>
      </c>
      <c r="N22" s="1187">
        <f t="shared" si="49"/>
        <v>9.8530000000000086</v>
      </c>
      <c r="O22" s="1188">
        <f t="shared" si="49"/>
        <v>59.833999999999975</v>
      </c>
      <c r="P22" s="1187">
        <f t="shared" si="49"/>
        <v>-21.513000000000034</v>
      </c>
      <c r="Q22" s="1188">
        <f t="shared" si="49"/>
        <v>187.23100000000005</v>
      </c>
      <c r="R22" s="1187">
        <f t="shared" si="49"/>
        <v>-109.01300000000003</v>
      </c>
      <c r="S22" s="1186">
        <f t="shared" si="49"/>
        <v>-16.033999999999992</v>
      </c>
      <c r="T22" s="1187">
        <f t="shared" si="42"/>
        <v>-51.315999999999917</v>
      </c>
      <c r="U22" s="1186">
        <f t="shared" si="43"/>
        <v>-7.6640000000000441</v>
      </c>
      <c r="V22" s="1187">
        <f t="shared" si="44"/>
        <v>17.299999999999955</v>
      </c>
      <c r="W22" s="1186">
        <f t="shared" si="43"/>
        <v>33.700000000000045</v>
      </c>
      <c r="X22" s="1186"/>
      <c r="Y22" s="1186"/>
      <c r="Z22" s="1186"/>
      <c r="AA22" s="1186"/>
      <c r="AB22" s="1186"/>
      <c r="AC22" s="1186"/>
      <c r="AD22" s="1186"/>
      <c r="AE22" s="1186"/>
      <c r="AF22" s="1186"/>
      <c r="AG22" s="1186"/>
      <c r="AH22" s="1186"/>
      <c r="AI22" s="1186"/>
      <c r="AJ22" s="1186"/>
      <c r="AK22" s="1186"/>
      <c r="AL22" s="1186"/>
      <c r="AM22" s="1186"/>
      <c r="AN22" s="1186"/>
      <c r="AO22" s="1186"/>
      <c r="AP22" s="1186"/>
      <c r="AQ22" s="1186"/>
      <c r="AR22" s="1186"/>
      <c r="AS22" s="1186">
        <f t="shared" ref="AS22:BA22" si="50">+AS10-AR10</f>
        <v>47.623999999999995</v>
      </c>
      <c r="AT22" s="1186">
        <f t="shared" si="50"/>
        <v>26.959000000000003</v>
      </c>
      <c r="AU22" s="1186">
        <f t="shared" si="50"/>
        <v>26.847000000000008</v>
      </c>
      <c r="AV22" s="1186">
        <f t="shared" si="50"/>
        <v>36.731999999999971</v>
      </c>
      <c r="AW22" s="1186">
        <f t="shared" si="50"/>
        <v>79.453000000000031</v>
      </c>
      <c r="AX22" s="1186">
        <f t="shared" si="50"/>
        <v>86.093999999999994</v>
      </c>
      <c r="AY22" s="1186">
        <f t="shared" si="50"/>
        <v>5.3260000000000218</v>
      </c>
      <c r="AZ22" s="1186">
        <f t="shared" si="50"/>
        <v>108.00799999999992</v>
      </c>
      <c r="BA22" s="1186">
        <f t="shared" si="50"/>
        <v>243.93600000000004</v>
      </c>
      <c r="BB22" s="1186">
        <f t="shared" si="46"/>
        <v>-192.39699999999993</v>
      </c>
      <c r="BC22" s="1186">
        <f t="shared" si="47"/>
        <v>-49.344000000000051</v>
      </c>
    </row>
    <row r="23" spans="1:55" s="1181" customFormat="1" ht="13.5" x14ac:dyDescent="0.45">
      <c r="A23" s="1184" t="str">
        <f t="shared" si="48"/>
        <v>Services</v>
      </c>
      <c r="B23" s="1189"/>
      <c r="C23" s="1189"/>
      <c r="D23" s="1189"/>
      <c r="E23" s="1189"/>
      <c r="F23" s="1189"/>
      <c r="G23" s="1189">
        <f t="shared" ref="G23:S23" si="51">+G11-F11</f>
        <v>1.0120000000000076</v>
      </c>
      <c r="H23" s="1190">
        <f t="shared" si="51"/>
        <v>12.881</v>
      </c>
      <c r="I23" s="1191">
        <f t="shared" si="51"/>
        <v>-3.3810000000000002</v>
      </c>
      <c r="J23" s="1190">
        <f t="shared" si="51"/>
        <v>14.653000000000006</v>
      </c>
      <c r="K23" s="1191">
        <f t="shared" si="51"/>
        <v>-5.1710000000000065</v>
      </c>
      <c r="L23" s="1190">
        <f t="shared" si="51"/>
        <v>16.825999999999993</v>
      </c>
      <c r="M23" s="1191">
        <f t="shared" si="51"/>
        <v>-0.68299999999999272</v>
      </c>
      <c r="N23" s="1190">
        <f t="shared" si="51"/>
        <v>35.963999999999984</v>
      </c>
      <c r="O23" s="1191">
        <f t="shared" si="51"/>
        <v>-14.514999999999986</v>
      </c>
      <c r="P23" s="1190">
        <f t="shared" si="51"/>
        <v>32.38900000000001</v>
      </c>
      <c r="Q23" s="1191">
        <f t="shared" si="51"/>
        <v>-1.132000000000005</v>
      </c>
      <c r="R23" s="1190">
        <f t="shared" si="51"/>
        <v>38.890999999999963</v>
      </c>
      <c r="S23" s="1189">
        <f t="shared" si="51"/>
        <v>7.2640000000000384</v>
      </c>
      <c r="T23" s="1190">
        <f t="shared" si="42"/>
        <v>16.591000000000008</v>
      </c>
      <c r="U23" s="1189">
        <f t="shared" si="43"/>
        <v>9.1229999999999905</v>
      </c>
      <c r="V23" s="1190">
        <f t="shared" si="44"/>
        <v>39.399999999999949</v>
      </c>
      <c r="W23" s="1189">
        <f t="shared" si="43"/>
        <v>-20.099999999999966</v>
      </c>
      <c r="X23" s="1189"/>
      <c r="Y23" s="1189"/>
      <c r="Z23" s="1189"/>
      <c r="AA23" s="1189"/>
      <c r="AB23" s="1189"/>
      <c r="AC23" s="1189"/>
      <c r="AD23" s="1189"/>
      <c r="AE23" s="1189"/>
      <c r="AF23" s="1189"/>
      <c r="AG23" s="1189"/>
      <c r="AH23" s="1189"/>
      <c r="AI23" s="1189"/>
      <c r="AJ23" s="1189"/>
      <c r="AK23" s="1189"/>
      <c r="AL23" s="1189"/>
      <c r="AM23" s="1189"/>
      <c r="AN23" s="1189"/>
      <c r="AO23" s="1189"/>
      <c r="AP23" s="1189"/>
      <c r="AQ23" s="1189"/>
      <c r="AR23" s="1189"/>
      <c r="AS23" s="1189">
        <f t="shared" ref="AS23:BA23" si="52">+AS11-AR11</f>
        <v>24.161999999999999</v>
      </c>
      <c r="AT23" s="1189">
        <f t="shared" si="52"/>
        <v>14.159999999999997</v>
      </c>
      <c r="AU23" s="1189">
        <f t="shared" si="52"/>
        <v>16.911000000000001</v>
      </c>
      <c r="AV23" s="1189">
        <f t="shared" si="52"/>
        <v>28.600000000000009</v>
      </c>
      <c r="AW23" s="1189">
        <f t="shared" si="52"/>
        <v>20.811000000000007</v>
      </c>
      <c r="AX23" s="1189">
        <f t="shared" si="52"/>
        <v>21.097999999999985</v>
      </c>
      <c r="AY23" s="1189">
        <f t="shared" si="52"/>
        <v>51.424000000000007</v>
      </c>
      <c r="AZ23" s="1189">
        <f t="shared" si="52"/>
        <v>39.323000000000008</v>
      </c>
      <c r="BA23" s="1189">
        <f t="shared" si="52"/>
        <v>69.015999999999963</v>
      </c>
      <c r="BB23" s="1189">
        <f t="shared" si="46"/>
        <v>70.010000000000048</v>
      </c>
      <c r="BC23" s="1189">
        <f t="shared" si="47"/>
        <v>74.236999999999966</v>
      </c>
    </row>
    <row r="24" spans="1:55" ht="12" x14ac:dyDescent="0.3">
      <c r="A24" s="797" t="str">
        <f t="shared" si="48"/>
        <v>Total Gross Invoiced Income</v>
      </c>
      <c r="B24" s="1186"/>
      <c r="C24" s="1186"/>
      <c r="D24" s="1186"/>
      <c r="E24" s="1186"/>
      <c r="F24" s="1186"/>
      <c r="G24" s="1186">
        <f t="shared" ref="G24:S24" si="53">+G12-F12</f>
        <v>-0.36000000000001364</v>
      </c>
      <c r="H24" s="1187">
        <f t="shared" si="53"/>
        <v>75.686000000000035</v>
      </c>
      <c r="I24" s="1188">
        <f t="shared" si="53"/>
        <v>18.713999999999999</v>
      </c>
      <c r="J24" s="1187">
        <f t="shared" si="53"/>
        <v>136.03500000000003</v>
      </c>
      <c r="K24" s="1188">
        <f t="shared" si="53"/>
        <v>-1.0789999999999509</v>
      </c>
      <c r="L24" s="1187">
        <f t="shared" si="53"/>
        <v>198.55199999999991</v>
      </c>
      <c r="M24" s="1188">
        <f t="shared" si="53"/>
        <v>-78.585999999999899</v>
      </c>
      <c r="N24" s="1187">
        <f t="shared" si="53"/>
        <v>190.74699999999996</v>
      </c>
      <c r="O24" s="1188">
        <f t="shared" si="53"/>
        <v>-47.653000000000134</v>
      </c>
      <c r="P24" s="1187">
        <f t="shared" si="53"/>
        <v>196.80800000000011</v>
      </c>
      <c r="Q24" s="1188">
        <f t="shared" si="53"/>
        <v>90.716999999999871</v>
      </c>
      <c r="R24" s="1187">
        <f t="shared" si="53"/>
        <v>190.85500000000025</v>
      </c>
      <c r="S24" s="1186">
        <f t="shared" si="53"/>
        <v>-134.4680000000003</v>
      </c>
      <c r="T24" s="1187">
        <f t="shared" si="42"/>
        <v>133.54400000000032</v>
      </c>
      <c r="U24" s="1186">
        <f t="shared" si="43"/>
        <v>-84.772000000000162</v>
      </c>
      <c r="V24" s="1187">
        <f t="shared" si="44"/>
        <v>325.19999999999982</v>
      </c>
      <c r="W24" s="1186">
        <f t="shared" si="43"/>
        <v>-81.599999999999682</v>
      </c>
      <c r="X24" s="1186"/>
      <c r="Y24" s="1186"/>
      <c r="Z24" s="1186"/>
      <c r="AA24" s="1186"/>
      <c r="AB24" s="1186"/>
      <c r="AC24" s="1186"/>
      <c r="AD24" s="1186"/>
      <c r="AE24" s="1186"/>
      <c r="AF24" s="1186"/>
      <c r="AG24" s="1186"/>
      <c r="AH24" s="1186"/>
      <c r="AI24" s="1186"/>
      <c r="AJ24" s="1186"/>
      <c r="AK24" s="1186"/>
      <c r="AL24" s="1186">
        <f t="shared" ref="AL24" si="54">+AL12-AK12</f>
        <v>21.864601000000008</v>
      </c>
      <c r="AM24" s="1186">
        <f t="shared" ref="AM24" si="55">+AM12-AL12</f>
        <v>13.773422999999994</v>
      </c>
      <c r="AN24" s="1186">
        <f t="shared" ref="AN24" si="56">+AN12-AM12</f>
        <v>10.198342000000011</v>
      </c>
      <c r="AO24" s="1186">
        <f t="shared" ref="AO24" si="57">+AO12-AN12</f>
        <v>32.637153999999981</v>
      </c>
      <c r="AP24" s="1186">
        <f t="shared" ref="AP24" si="58">+AP12-AO12</f>
        <v>73.476717000000008</v>
      </c>
      <c r="AQ24" s="1186">
        <f t="shared" ref="AQ24" si="59">+AQ12-AP12</f>
        <v>84.827379000000008</v>
      </c>
      <c r="AR24" s="1186">
        <f t="shared" ref="AR24" si="60">+AR12-AQ12</f>
        <v>91.700502999999969</v>
      </c>
      <c r="AS24" s="1186">
        <f t="shared" ref="AS24:BA24" si="61">+AS12-AR12</f>
        <v>109.04100000000005</v>
      </c>
      <c r="AT24" s="1186">
        <f t="shared" si="61"/>
        <v>91.286999999999921</v>
      </c>
      <c r="AU24" s="1186">
        <f t="shared" si="61"/>
        <v>76.267000000000166</v>
      </c>
      <c r="AV24" s="1186">
        <f t="shared" si="61"/>
        <v>160.13499999999976</v>
      </c>
      <c r="AW24" s="1186">
        <f t="shared" si="61"/>
        <v>249.19200000000023</v>
      </c>
      <c r="AX24" s="1186">
        <f t="shared" si="61"/>
        <v>332.38599999999997</v>
      </c>
      <c r="AY24" s="1186">
        <f t="shared" si="61"/>
        <v>232.12699999999995</v>
      </c>
      <c r="AZ24" s="1186">
        <f t="shared" si="61"/>
        <v>292.24900000000002</v>
      </c>
      <c r="BA24" s="1186">
        <f t="shared" si="61"/>
        <v>569.09699999999975</v>
      </c>
      <c r="BB24" s="1186">
        <f t="shared" si="46"/>
        <v>55.463000000000193</v>
      </c>
      <c r="BC24" s="1186">
        <f t="shared" si="47"/>
        <v>289.19999999999982</v>
      </c>
    </row>
    <row r="25" spans="1:55" x14ac:dyDescent="0.25">
      <c r="E25" s="790"/>
      <c r="H25" s="791"/>
      <c r="J25" s="791"/>
      <c r="L25" s="791"/>
      <c r="N25" s="791"/>
      <c r="P25" s="791"/>
      <c r="R25" s="791"/>
      <c r="T25" s="791"/>
      <c r="V25" s="791"/>
      <c r="AR25" s="787"/>
      <c r="AS25" s="787"/>
      <c r="AT25" s="787"/>
      <c r="AU25" s="787"/>
      <c r="AV25" s="787"/>
      <c r="AW25" s="787"/>
      <c r="AX25" s="787"/>
      <c r="AY25" s="787"/>
      <c r="AZ25" s="787"/>
      <c r="BA25" s="787"/>
      <c r="BB25" s="787"/>
      <c r="BC25" s="787"/>
    </row>
    <row r="26" spans="1:55" ht="12" x14ac:dyDescent="0.3">
      <c r="A26" s="1169" t="s">
        <v>201</v>
      </c>
      <c r="E26" s="790"/>
      <c r="H26" s="791"/>
      <c r="J26" s="791"/>
      <c r="L26" s="791"/>
      <c r="N26" s="791"/>
      <c r="P26" s="791"/>
      <c r="R26" s="791"/>
      <c r="T26" s="791"/>
      <c r="V26" s="791"/>
      <c r="AR26" s="787"/>
      <c r="AS26" s="787"/>
      <c r="AT26" s="787"/>
      <c r="AU26" s="787"/>
      <c r="AV26" s="787"/>
      <c r="AW26" s="787"/>
      <c r="AX26" s="787"/>
      <c r="AY26" s="787"/>
      <c r="AZ26" s="787"/>
      <c r="BA26" s="787"/>
      <c r="BB26" s="787"/>
      <c r="BC26" s="787"/>
    </row>
    <row r="27" spans="1:55" ht="12" x14ac:dyDescent="0.3">
      <c r="A27" s="1184" t="str">
        <f>+A21</f>
        <v>Software</v>
      </c>
      <c r="B27" s="1186"/>
      <c r="C27" s="1186"/>
      <c r="D27" s="1186"/>
      <c r="E27" s="1186"/>
      <c r="F27" s="1186"/>
      <c r="G27" s="1186">
        <f t="shared" ref="G27:R27" si="62">+G9-E9</f>
        <v>54.129000000000019</v>
      </c>
      <c r="H27" s="1187">
        <f t="shared" si="62"/>
        <v>40.673999999999978</v>
      </c>
      <c r="I27" s="1188">
        <f t="shared" si="62"/>
        <v>46.5</v>
      </c>
      <c r="J27" s="1187">
        <f t="shared" si="62"/>
        <v>102.41699999999994</v>
      </c>
      <c r="K27" s="1188">
        <f t="shared" si="62"/>
        <v>88.455000000000013</v>
      </c>
      <c r="L27" s="1187">
        <f t="shared" si="62"/>
        <v>136.75000000000006</v>
      </c>
      <c r="M27" s="1188">
        <f t="shared" si="62"/>
        <v>81.319999999999993</v>
      </c>
      <c r="N27" s="1187">
        <f t="shared" si="62"/>
        <v>94.057000000000016</v>
      </c>
      <c r="O27" s="1188">
        <f t="shared" si="62"/>
        <v>51.95799999999997</v>
      </c>
      <c r="P27" s="1187">
        <f t="shared" si="62"/>
        <v>92.960000000000036</v>
      </c>
      <c r="Q27" s="1188">
        <f t="shared" si="62"/>
        <v>90.550000000000011</v>
      </c>
      <c r="R27" s="1187">
        <f t="shared" si="62"/>
        <v>165.59500000000003</v>
      </c>
      <c r="S27" s="1186">
        <f>+S9-Q9</f>
        <v>135.279</v>
      </c>
      <c r="T27" s="1187">
        <f t="shared" ref="T27:T30" si="63">+T9-R9</f>
        <v>42.878999999999905</v>
      </c>
      <c r="U27" s="1186">
        <f t="shared" ref="U27:W30" si="64">+U9-S9</f>
        <v>82.038000000000011</v>
      </c>
      <c r="V27" s="1187">
        <f t="shared" ref="V27:V30" si="65">+V9-T9</f>
        <v>181.96100000000001</v>
      </c>
      <c r="W27" s="1186">
        <f t="shared" si="64"/>
        <v>173.29999999999995</v>
      </c>
      <c r="X27" s="1186"/>
      <c r="Y27" s="1186"/>
      <c r="Z27" s="1186"/>
      <c r="AA27" s="1186"/>
      <c r="AB27" s="1186"/>
      <c r="AC27" s="1186"/>
      <c r="AD27" s="1186"/>
      <c r="AE27" s="1186"/>
      <c r="AF27" s="1186"/>
      <c r="AG27" s="1186"/>
      <c r="AH27" s="1186"/>
      <c r="AI27" s="1186"/>
      <c r="AJ27" s="1186"/>
      <c r="AK27" s="1186"/>
      <c r="AL27" s="1186"/>
      <c r="AM27" s="1186"/>
      <c r="AN27" s="1186"/>
      <c r="AO27" s="1186"/>
      <c r="AP27" s="1186"/>
      <c r="AQ27" s="1186"/>
      <c r="AR27" s="1186"/>
      <c r="AS27" s="1186">
        <f>+AS21</f>
        <v>37.254999999999995</v>
      </c>
      <c r="AT27" s="1186">
        <f t="shared" ref="AT27:BA27" si="66">+AT21</f>
        <v>50.168000000000006</v>
      </c>
      <c r="AU27" s="1186">
        <f t="shared" si="66"/>
        <v>32.509000000000015</v>
      </c>
      <c r="AV27" s="1186">
        <f t="shared" si="66"/>
        <v>94.802999999999997</v>
      </c>
      <c r="AW27" s="1186">
        <f t="shared" si="66"/>
        <v>148.92799999999994</v>
      </c>
      <c r="AX27" s="1186">
        <f t="shared" si="66"/>
        <v>225.19400000000007</v>
      </c>
      <c r="AY27" s="1186">
        <f t="shared" si="66"/>
        <v>175.37699999999995</v>
      </c>
      <c r="AZ27" s="1186">
        <f t="shared" si="66"/>
        <v>144.91800000000012</v>
      </c>
      <c r="BA27" s="1186">
        <f t="shared" si="66"/>
        <v>256.14499999999998</v>
      </c>
      <c r="BB27" s="1186">
        <f t="shared" ref="BB27:BC27" si="67">+BB21</f>
        <v>178.1579999999999</v>
      </c>
      <c r="BC27" s="1186">
        <f t="shared" si="67"/>
        <v>263.99900000000002</v>
      </c>
    </row>
    <row r="28" spans="1:55" ht="12" x14ac:dyDescent="0.3">
      <c r="A28" s="1184" t="str">
        <f t="shared" ref="A28:A30" si="68">+A22</f>
        <v>Hardware</v>
      </c>
      <c r="B28" s="1186"/>
      <c r="C28" s="1186"/>
      <c r="D28" s="1186"/>
      <c r="E28" s="1186"/>
      <c r="F28" s="1186"/>
      <c r="G28" s="1186">
        <f t="shared" ref="G28:S28" si="69">+G10-E10</f>
        <v>15.972999999999999</v>
      </c>
      <c r="H28" s="1187">
        <f t="shared" si="69"/>
        <v>20.758999999999958</v>
      </c>
      <c r="I28" s="1188">
        <f t="shared" si="69"/>
        <v>38.399999999999991</v>
      </c>
      <c r="J28" s="1187">
        <f t="shared" si="69"/>
        <v>41.060000000000031</v>
      </c>
      <c r="K28" s="1188">
        <f t="shared" si="69"/>
        <v>37.019000000000005</v>
      </c>
      <c r="L28" s="1187">
        <f t="shared" si="69"/>
        <v>49.068000000000012</v>
      </c>
      <c r="M28" s="1188">
        <f t="shared" si="69"/>
        <v>22.503000000000014</v>
      </c>
      <c r="N28" s="1187">
        <f t="shared" si="69"/>
        <v>-17.176999999999992</v>
      </c>
      <c r="O28" s="1188">
        <f t="shared" si="69"/>
        <v>69.686999999999983</v>
      </c>
      <c r="P28" s="1187">
        <f t="shared" si="69"/>
        <v>38.320999999999941</v>
      </c>
      <c r="Q28" s="1188">
        <f t="shared" si="69"/>
        <v>165.71800000000002</v>
      </c>
      <c r="R28" s="1187">
        <f t="shared" si="69"/>
        <v>78.218000000000018</v>
      </c>
      <c r="S28" s="1186">
        <f t="shared" si="69"/>
        <v>-125.04700000000003</v>
      </c>
      <c r="T28" s="1187">
        <f t="shared" si="63"/>
        <v>-67.349999999999909</v>
      </c>
      <c r="U28" s="1186">
        <f t="shared" si="64"/>
        <v>-58.979999999999961</v>
      </c>
      <c r="V28" s="1187">
        <f t="shared" si="65"/>
        <v>9.6359999999999104</v>
      </c>
      <c r="W28" s="1186">
        <f t="shared" si="64"/>
        <v>51</v>
      </c>
      <c r="X28" s="1186"/>
      <c r="Y28" s="1186"/>
      <c r="Z28" s="1186"/>
      <c r="AA28" s="1186"/>
      <c r="AB28" s="1186"/>
      <c r="AC28" s="1186"/>
      <c r="AD28" s="1186"/>
      <c r="AE28" s="1186"/>
      <c r="AF28" s="1186"/>
      <c r="AG28" s="1186"/>
      <c r="AH28" s="1186"/>
      <c r="AI28" s="1186"/>
      <c r="AJ28" s="1186"/>
      <c r="AK28" s="1186"/>
      <c r="AL28" s="1186"/>
      <c r="AM28" s="1186"/>
      <c r="AN28" s="1186"/>
      <c r="AO28" s="1186"/>
      <c r="AP28" s="1186"/>
      <c r="AQ28" s="1186"/>
      <c r="AR28" s="1186"/>
      <c r="AS28" s="1186">
        <f t="shared" ref="AS28:BA28" si="70">+AS22</f>
        <v>47.623999999999995</v>
      </c>
      <c r="AT28" s="1186">
        <f t="shared" si="70"/>
        <v>26.959000000000003</v>
      </c>
      <c r="AU28" s="1186">
        <f t="shared" si="70"/>
        <v>26.847000000000008</v>
      </c>
      <c r="AV28" s="1186">
        <f t="shared" si="70"/>
        <v>36.731999999999971</v>
      </c>
      <c r="AW28" s="1186">
        <f t="shared" si="70"/>
        <v>79.453000000000031</v>
      </c>
      <c r="AX28" s="1186">
        <f t="shared" si="70"/>
        <v>86.093999999999994</v>
      </c>
      <c r="AY28" s="1186">
        <f t="shared" si="70"/>
        <v>5.3260000000000218</v>
      </c>
      <c r="AZ28" s="1186">
        <f t="shared" si="70"/>
        <v>108.00799999999992</v>
      </c>
      <c r="BA28" s="1186">
        <f t="shared" si="70"/>
        <v>243.93600000000004</v>
      </c>
      <c r="BB28" s="1186">
        <f t="shared" ref="BB28:BC28" si="71">+BB22</f>
        <v>-192.39699999999993</v>
      </c>
      <c r="BC28" s="1186">
        <f t="shared" si="71"/>
        <v>-49.344000000000051</v>
      </c>
    </row>
    <row r="29" spans="1:55" s="1181" customFormat="1" ht="13.5" x14ac:dyDescent="0.45">
      <c r="A29" s="1184" t="str">
        <f t="shared" si="68"/>
        <v>Services</v>
      </c>
      <c r="B29" s="1189"/>
      <c r="C29" s="1189"/>
      <c r="D29" s="1189"/>
      <c r="E29" s="1189"/>
      <c r="F29" s="1189"/>
      <c r="G29" s="1189">
        <f t="shared" ref="G29:S29" si="72">+G11-E11</f>
        <v>14.707000000000001</v>
      </c>
      <c r="H29" s="1190">
        <f t="shared" si="72"/>
        <v>13.893000000000008</v>
      </c>
      <c r="I29" s="1191">
        <f t="shared" si="72"/>
        <v>9.5</v>
      </c>
      <c r="J29" s="1190">
        <f t="shared" si="72"/>
        <v>11.272000000000006</v>
      </c>
      <c r="K29" s="1191">
        <f t="shared" si="72"/>
        <v>9.4819999999999993</v>
      </c>
      <c r="L29" s="1190">
        <f t="shared" si="72"/>
        <v>11.654999999999987</v>
      </c>
      <c r="M29" s="1191">
        <f t="shared" si="72"/>
        <v>16.143000000000001</v>
      </c>
      <c r="N29" s="1190">
        <f t="shared" si="72"/>
        <v>35.280999999999992</v>
      </c>
      <c r="O29" s="1191">
        <f t="shared" si="72"/>
        <v>21.448999999999998</v>
      </c>
      <c r="P29" s="1190">
        <f t="shared" si="72"/>
        <v>17.874000000000024</v>
      </c>
      <c r="Q29" s="1191">
        <f t="shared" si="72"/>
        <v>31.257000000000005</v>
      </c>
      <c r="R29" s="1190">
        <f t="shared" si="72"/>
        <v>37.758999999999958</v>
      </c>
      <c r="S29" s="1189">
        <f t="shared" si="72"/>
        <v>46.155000000000001</v>
      </c>
      <c r="T29" s="1190">
        <f t="shared" si="63"/>
        <v>23.855000000000047</v>
      </c>
      <c r="U29" s="1189">
        <f t="shared" si="64"/>
        <v>25.713999999999999</v>
      </c>
      <c r="V29" s="1190">
        <f t="shared" si="65"/>
        <v>48.522999999999939</v>
      </c>
      <c r="W29" s="1189">
        <f t="shared" si="64"/>
        <v>19.299999999999983</v>
      </c>
      <c r="X29" s="1189"/>
      <c r="Y29" s="1189"/>
      <c r="Z29" s="1189"/>
      <c r="AA29" s="1189"/>
      <c r="AB29" s="1189"/>
      <c r="AC29" s="1189"/>
      <c r="AD29" s="1189"/>
      <c r="AE29" s="1189"/>
      <c r="AF29" s="1189"/>
      <c r="AG29" s="1189"/>
      <c r="AH29" s="1189"/>
      <c r="AI29" s="1189"/>
      <c r="AJ29" s="1189"/>
      <c r="AK29" s="1189"/>
      <c r="AL29" s="1189"/>
      <c r="AM29" s="1189"/>
      <c r="AN29" s="1189"/>
      <c r="AO29" s="1189"/>
      <c r="AP29" s="1189"/>
      <c r="AQ29" s="1189"/>
      <c r="AR29" s="1189"/>
      <c r="AS29" s="1189">
        <f t="shared" ref="AS29:BA29" si="73">+AS23</f>
        <v>24.161999999999999</v>
      </c>
      <c r="AT29" s="1189">
        <f t="shared" si="73"/>
        <v>14.159999999999997</v>
      </c>
      <c r="AU29" s="1189">
        <f t="shared" si="73"/>
        <v>16.911000000000001</v>
      </c>
      <c r="AV29" s="1189">
        <f t="shared" si="73"/>
        <v>28.600000000000009</v>
      </c>
      <c r="AW29" s="1189">
        <f t="shared" si="73"/>
        <v>20.811000000000007</v>
      </c>
      <c r="AX29" s="1189">
        <f t="shared" si="73"/>
        <v>21.097999999999985</v>
      </c>
      <c r="AY29" s="1189">
        <f t="shared" si="73"/>
        <v>51.424000000000007</v>
      </c>
      <c r="AZ29" s="1189">
        <f t="shared" si="73"/>
        <v>39.323000000000008</v>
      </c>
      <c r="BA29" s="1189">
        <f t="shared" si="73"/>
        <v>69.015999999999963</v>
      </c>
      <c r="BB29" s="1189">
        <f t="shared" ref="BB29:BC29" si="74">+BB23</f>
        <v>70.010000000000048</v>
      </c>
      <c r="BC29" s="1189">
        <f t="shared" si="74"/>
        <v>74.236999999999966</v>
      </c>
    </row>
    <row r="30" spans="1:55" ht="12" x14ac:dyDescent="0.3">
      <c r="A30" s="797" t="str">
        <f t="shared" si="68"/>
        <v>Total Gross Invoiced Income</v>
      </c>
      <c r="B30" s="1186"/>
      <c r="C30" s="1186"/>
      <c r="D30" s="1186"/>
      <c r="E30" s="1186"/>
      <c r="F30" s="1186"/>
      <c r="G30" s="1186">
        <f t="shared" ref="G30:S30" si="75">+G12-E12</f>
        <v>84.808999999999969</v>
      </c>
      <c r="H30" s="1187">
        <f t="shared" si="75"/>
        <v>75.326000000000022</v>
      </c>
      <c r="I30" s="1188">
        <f t="shared" si="75"/>
        <v>94.400000000000034</v>
      </c>
      <c r="J30" s="1187">
        <f t="shared" si="75"/>
        <v>154.74900000000002</v>
      </c>
      <c r="K30" s="1188">
        <f t="shared" si="75"/>
        <v>134.95600000000007</v>
      </c>
      <c r="L30" s="1187">
        <f t="shared" si="75"/>
        <v>197.47299999999996</v>
      </c>
      <c r="M30" s="1188">
        <f t="shared" si="75"/>
        <v>119.96600000000001</v>
      </c>
      <c r="N30" s="1187">
        <f t="shared" si="75"/>
        <v>112.16100000000006</v>
      </c>
      <c r="O30" s="1188">
        <f t="shared" si="75"/>
        <v>143.09399999999982</v>
      </c>
      <c r="P30" s="1187">
        <f t="shared" si="75"/>
        <v>149.15499999999997</v>
      </c>
      <c r="Q30" s="1188">
        <f t="shared" si="75"/>
        <v>287.52499999999998</v>
      </c>
      <c r="R30" s="1187">
        <f t="shared" si="75"/>
        <v>281.57200000000012</v>
      </c>
      <c r="S30" s="1186">
        <f t="shared" si="75"/>
        <v>56.386999999999944</v>
      </c>
      <c r="T30" s="1187">
        <f t="shared" si="63"/>
        <v>-0.92399999999997817</v>
      </c>
      <c r="U30" s="1186">
        <f t="shared" si="64"/>
        <v>48.772000000000162</v>
      </c>
      <c r="V30" s="1187">
        <f t="shared" si="65"/>
        <v>240.42799999999966</v>
      </c>
      <c r="W30" s="1186">
        <f t="shared" si="64"/>
        <v>243.60000000000014</v>
      </c>
      <c r="X30" s="1186"/>
      <c r="Y30" s="1186"/>
      <c r="Z30" s="1186"/>
      <c r="AA30" s="1186"/>
      <c r="AB30" s="1186"/>
      <c r="AC30" s="1186"/>
      <c r="AD30" s="1186"/>
      <c r="AE30" s="1186"/>
      <c r="AF30" s="1186"/>
      <c r="AG30" s="1186"/>
      <c r="AH30" s="1186"/>
      <c r="AI30" s="1186"/>
      <c r="AJ30" s="1186"/>
      <c r="AK30" s="1186"/>
      <c r="AL30" s="1186">
        <f t="shared" ref="AL30:AR30" si="76">+AL24</f>
        <v>21.864601000000008</v>
      </c>
      <c r="AM30" s="1186">
        <f t="shared" si="76"/>
        <v>13.773422999999994</v>
      </c>
      <c r="AN30" s="1186">
        <f t="shared" si="76"/>
        <v>10.198342000000011</v>
      </c>
      <c r="AO30" s="1186">
        <f t="shared" si="76"/>
        <v>32.637153999999981</v>
      </c>
      <c r="AP30" s="1186">
        <f t="shared" si="76"/>
        <v>73.476717000000008</v>
      </c>
      <c r="AQ30" s="1186">
        <f t="shared" si="76"/>
        <v>84.827379000000008</v>
      </c>
      <c r="AR30" s="1186">
        <f t="shared" si="76"/>
        <v>91.700502999999969</v>
      </c>
      <c r="AS30" s="1186">
        <f t="shared" ref="AS30:BA30" si="77">+AS24</f>
        <v>109.04100000000005</v>
      </c>
      <c r="AT30" s="1186">
        <f t="shared" si="77"/>
        <v>91.286999999999921</v>
      </c>
      <c r="AU30" s="1186">
        <f t="shared" si="77"/>
        <v>76.267000000000166</v>
      </c>
      <c r="AV30" s="1186">
        <f t="shared" si="77"/>
        <v>160.13499999999976</v>
      </c>
      <c r="AW30" s="1186">
        <f t="shared" si="77"/>
        <v>249.19200000000023</v>
      </c>
      <c r="AX30" s="1186">
        <f t="shared" si="77"/>
        <v>332.38599999999997</v>
      </c>
      <c r="AY30" s="1186">
        <f t="shared" si="77"/>
        <v>232.12699999999995</v>
      </c>
      <c r="AZ30" s="1186">
        <f t="shared" si="77"/>
        <v>292.24900000000002</v>
      </c>
      <c r="BA30" s="1186">
        <f t="shared" si="77"/>
        <v>569.09699999999975</v>
      </c>
      <c r="BB30" s="1186">
        <f t="shared" ref="BB30:BC30" si="78">+BB24</f>
        <v>55.463000000000193</v>
      </c>
      <c r="BC30" s="1186">
        <f t="shared" si="78"/>
        <v>289.19999999999982</v>
      </c>
    </row>
    <row r="31" spans="1:55" x14ac:dyDescent="0.25">
      <c r="E31" s="790"/>
      <c r="H31" s="791"/>
      <c r="J31" s="791"/>
      <c r="L31" s="791"/>
      <c r="N31" s="791"/>
      <c r="P31" s="791"/>
      <c r="R31" s="791"/>
      <c r="T31" s="791"/>
      <c r="V31" s="791"/>
      <c r="AR31" s="787"/>
      <c r="AS31" s="787"/>
      <c r="AT31" s="787"/>
      <c r="AU31" s="787"/>
      <c r="AV31" s="787"/>
      <c r="AW31" s="787"/>
      <c r="AX31" s="787"/>
      <c r="AY31" s="787"/>
      <c r="AZ31" s="787"/>
      <c r="BA31" s="787"/>
      <c r="BB31" s="787"/>
      <c r="BC31" s="787"/>
    </row>
    <row r="32" spans="1:55" ht="12" x14ac:dyDescent="0.3">
      <c r="A32" s="1169" t="s">
        <v>202</v>
      </c>
      <c r="E32" s="790"/>
      <c r="H32" s="791"/>
      <c r="J32" s="791"/>
      <c r="L32" s="791"/>
      <c r="N32" s="791"/>
      <c r="P32" s="791"/>
      <c r="R32" s="791"/>
      <c r="T32" s="791"/>
      <c r="V32" s="791"/>
      <c r="AR32" s="787"/>
      <c r="AS32" s="787"/>
      <c r="AT32" s="787"/>
      <c r="AU32" s="787"/>
      <c r="AV32" s="787"/>
      <c r="AW32" s="787"/>
      <c r="AX32" s="787"/>
      <c r="AY32" s="787"/>
      <c r="AZ32" s="787"/>
      <c r="BA32" s="787"/>
      <c r="BB32" s="787"/>
      <c r="BC32" s="787"/>
    </row>
    <row r="33" spans="1:55" ht="12" x14ac:dyDescent="0.3">
      <c r="A33" s="1184" t="str">
        <f>+A15</f>
        <v>Software</v>
      </c>
      <c r="B33" s="1165"/>
      <c r="C33" s="1165"/>
      <c r="D33" s="1165"/>
      <c r="E33" s="1165"/>
      <c r="F33" s="1165"/>
      <c r="G33" s="1165">
        <f t="shared" ref="G33:R33" si="79">+G9/G12</f>
        <v>0.51109936575052861</v>
      </c>
      <c r="H33" s="1166">
        <f t="shared" si="79"/>
        <v>0.48753099633109148</v>
      </c>
      <c r="I33" s="1165">
        <f t="shared" si="79"/>
        <v>0.50740270727580372</v>
      </c>
      <c r="J33" s="1166">
        <f t="shared" si="79"/>
        <v>0.5318321055786871</v>
      </c>
      <c r="K33" s="1165">
        <f t="shared" si="79"/>
        <v>0.5402743864313968</v>
      </c>
      <c r="L33" s="1166">
        <f t="shared" si="79"/>
        <v>0.57118123595449877</v>
      </c>
      <c r="M33" s="1165">
        <f t="shared" si="79"/>
        <v>0.56295535932677587</v>
      </c>
      <c r="N33" s="1166">
        <f t="shared" si="79"/>
        <v>0.60383638424377961</v>
      </c>
      <c r="O33" s="1165">
        <f t="shared" si="79"/>
        <v>0.53011543196266497</v>
      </c>
      <c r="P33" s="1166">
        <f t="shared" si="79"/>
        <v>0.60654781083977138</v>
      </c>
      <c r="Q33" s="1165">
        <f t="shared" si="79"/>
        <v>0.47670159305420429</v>
      </c>
      <c r="R33" s="1166">
        <f t="shared" si="79"/>
        <v>0.60269968188461864</v>
      </c>
      <c r="S33" s="1165">
        <f>+S9/S12</f>
        <v>0.56593904149735585</v>
      </c>
      <c r="T33" s="1166">
        <f t="shared" ref="T33:U33" si="80">+T9/T12</f>
        <v>0.6349156550013646</v>
      </c>
      <c r="U33" s="1165">
        <f t="shared" si="80"/>
        <v>0.60902255639097747</v>
      </c>
      <c r="V33" s="1166">
        <f t="shared" ref="V33:W33" si="81">+V9/V12</f>
        <v>0.65336438597595525</v>
      </c>
      <c r="W33" s="1165">
        <f t="shared" si="81"/>
        <v>0.62557229115519863</v>
      </c>
      <c r="X33" s="1165"/>
      <c r="Y33" s="1165"/>
      <c r="Z33" s="1165"/>
      <c r="AA33" s="1165"/>
      <c r="AB33" s="1165"/>
      <c r="AC33" s="1165"/>
      <c r="AD33" s="1165"/>
      <c r="AE33" s="1165"/>
      <c r="AF33" s="1165"/>
      <c r="AG33" s="1165"/>
      <c r="AH33" s="1165"/>
      <c r="AI33" s="1165"/>
      <c r="AJ33" s="1165"/>
      <c r="AK33" s="1165"/>
      <c r="AL33" s="1165"/>
      <c r="AM33" s="1165"/>
      <c r="AN33" s="1165"/>
      <c r="AO33" s="1165"/>
      <c r="AP33" s="1165"/>
      <c r="AQ33" s="1165"/>
      <c r="AR33" s="1165">
        <f>+AR9/AR12</f>
        <v>0.50547812288379712</v>
      </c>
      <c r="AS33" s="1165">
        <f t="shared" ref="AS33:BA33" si="82">+AS9/AS12</f>
        <v>0.47009193794733323</v>
      </c>
      <c r="AT33" s="1165">
        <f t="shared" si="82"/>
        <v>0.48226256702075548</v>
      </c>
      <c r="AU33" s="1165">
        <f t="shared" si="82"/>
        <v>0.47590916054263316</v>
      </c>
      <c r="AV33" s="1165">
        <f t="shared" si="82"/>
        <v>0.49824381431039089</v>
      </c>
      <c r="AW33" s="1165">
        <f t="shared" si="82"/>
        <v>0.52114307585066899</v>
      </c>
      <c r="AX33" s="1165">
        <f t="shared" si="82"/>
        <v>0.55789766234060123</v>
      </c>
      <c r="AY33" s="1165">
        <f t="shared" si="82"/>
        <v>0.585764349337349</v>
      </c>
      <c r="AZ33" s="1165">
        <f t="shared" si="82"/>
        <v>0.57221167536782158</v>
      </c>
      <c r="BA33" s="1165">
        <f t="shared" si="82"/>
        <v>0.54449565450081105</v>
      </c>
      <c r="BB33" s="1165">
        <f t="shared" ref="BB33:BC33" si="83">+BB9/BB12</f>
        <v>0.60222434646898171</v>
      </c>
      <c r="BC33" s="1165">
        <f t="shared" si="83"/>
        <v>0.63372133791459229</v>
      </c>
    </row>
    <row r="34" spans="1:55" ht="12" x14ac:dyDescent="0.3">
      <c r="A34" s="1184" t="str">
        <f>+A16</f>
        <v>Hardware</v>
      </c>
      <c r="B34" s="1165"/>
      <c r="C34" s="1165"/>
      <c r="D34" s="1165"/>
      <c r="E34" s="1165"/>
      <c r="F34" s="1165"/>
      <c r="G34" s="1165">
        <f t="shared" ref="G34:R34" si="84">+G10/G12</f>
        <v>0.33377378435517974</v>
      </c>
      <c r="H34" s="1166">
        <f t="shared" si="84"/>
        <v>0.3548314636434507</v>
      </c>
      <c r="I34" s="1165">
        <f t="shared" si="84"/>
        <v>0.34835025380710655</v>
      </c>
      <c r="J34" s="1166">
        <f t="shared" si="84"/>
        <v>0.33208340519188284</v>
      </c>
      <c r="K34" s="1165">
        <f t="shared" si="84"/>
        <v>0.33190787092188306</v>
      </c>
      <c r="L34" s="1166">
        <f t="shared" si="84"/>
        <v>0.31160797114750194</v>
      </c>
      <c r="M34" s="1165">
        <f t="shared" si="84"/>
        <v>0.30811491201310387</v>
      </c>
      <c r="N34" s="1166">
        <f t="shared" si="84"/>
        <v>0.25485345722065744</v>
      </c>
      <c r="O34" s="1165">
        <f t="shared" si="84"/>
        <v>0.33750987579465697</v>
      </c>
      <c r="P34" s="1166">
        <f t="shared" si="84"/>
        <v>0.25514225982180988</v>
      </c>
      <c r="Q34" s="1165">
        <f t="shared" si="84"/>
        <v>0.39679766148310391</v>
      </c>
      <c r="R34" s="1166">
        <f t="shared" si="84"/>
        <v>0.25986884040569341</v>
      </c>
      <c r="S34" s="1165">
        <f>+S10/S12</f>
        <v>0.27543614702221403</v>
      </c>
      <c r="T34" s="1166">
        <f t="shared" ref="T34:U34" si="85">+T10/T12</f>
        <v>0.21009410564040493</v>
      </c>
      <c r="U34" s="1165">
        <f t="shared" si="85"/>
        <v>0.2181242580134547</v>
      </c>
      <c r="V34" s="1166">
        <f t="shared" ref="V34:W34" si="86">+V10/V12</f>
        <v>0.18436457480959276</v>
      </c>
      <c r="W34" s="1165">
        <f t="shared" si="86"/>
        <v>0.21670758410191759</v>
      </c>
      <c r="X34" s="1165"/>
      <c r="Y34" s="1165"/>
      <c r="Z34" s="1165"/>
      <c r="AA34" s="1165"/>
      <c r="AB34" s="1165"/>
      <c r="AC34" s="1165"/>
      <c r="AD34" s="1165"/>
      <c r="AE34" s="1165"/>
      <c r="AF34" s="1165"/>
      <c r="AG34" s="1165"/>
      <c r="AH34" s="1165"/>
      <c r="AI34" s="1165"/>
      <c r="AJ34" s="1165"/>
      <c r="AK34" s="1165"/>
      <c r="AL34" s="1165"/>
      <c r="AM34" s="1165"/>
      <c r="AN34" s="1165"/>
      <c r="AO34" s="1165"/>
      <c r="AP34" s="1165"/>
      <c r="AQ34" s="1165"/>
      <c r="AR34" s="1165">
        <f>+AR10/AR12</f>
        <v>0.37715663186407788</v>
      </c>
      <c r="AS34" s="1165">
        <f t="shared" ref="AS34:BA34" si="87">+AS10/AS12</f>
        <v>0.39003005168414229</v>
      </c>
      <c r="AT34" s="1165">
        <f t="shared" si="87"/>
        <v>0.37552593258668243</v>
      </c>
      <c r="AU34" s="1165">
        <f t="shared" si="87"/>
        <v>0.37285881927743092</v>
      </c>
      <c r="AV34" s="1165">
        <f t="shared" si="87"/>
        <v>0.34525986022587768</v>
      </c>
      <c r="AW34" s="1165">
        <f t="shared" si="87"/>
        <v>0.33917395010345036</v>
      </c>
      <c r="AX34" s="1165">
        <f t="shared" si="87"/>
        <v>0.3203327430724493</v>
      </c>
      <c r="AY34" s="1165">
        <f t="shared" si="87"/>
        <v>0.27839843614744586</v>
      </c>
      <c r="AZ34" s="1165">
        <f t="shared" si="87"/>
        <v>0.29214471430634942</v>
      </c>
      <c r="BA34" s="1165">
        <f t="shared" si="87"/>
        <v>0.32312225103757197</v>
      </c>
      <c r="BB34" s="1165">
        <f t="shared" ref="BB34:BC34" si="88">+BB10/BB12</f>
        <v>0.24106281701131488</v>
      </c>
      <c r="BC34" s="1165">
        <f t="shared" si="88"/>
        <v>0.19931982329429915</v>
      </c>
    </row>
    <row r="35" spans="1:55" s="1181" customFormat="1" ht="13.5" x14ac:dyDescent="0.45">
      <c r="A35" s="1184" t="str">
        <f>+A17</f>
        <v>Services</v>
      </c>
      <c r="B35" s="1182"/>
      <c r="C35" s="1182"/>
      <c r="D35" s="1182"/>
      <c r="E35" s="1182"/>
      <c r="F35" s="1182"/>
      <c r="G35" s="1182">
        <f t="shared" ref="G35:R35" si="89">+G11/G12</f>
        <v>0.15512684989429176</v>
      </c>
      <c r="H35" s="1183">
        <f t="shared" si="89"/>
        <v>0.15763754002545774</v>
      </c>
      <c r="I35" s="1182">
        <f t="shared" si="89"/>
        <v>0.14424703891708968</v>
      </c>
      <c r="J35" s="1183">
        <f t="shared" si="89"/>
        <v>0.13608448922942998</v>
      </c>
      <c r="K35" s="1182">
        <f t="shared" si="89"/>
        <v>0.12781774264672005</v>
      </c>
      <c r="L35" s="1183">
        <f t="shared" si="89"/>
        <v>0.11721079289799927</v>
      </c>
      <c r="M35" s="1182">
        <f t="shared" si="89"/>
        <v>0.1289297286601202</v>
      </c>
      <c r="N35" s="1183">
        <f t="shared" si="89"/>
        <v>0.14131015853556297</v>
      </c>
      <c r="O35" s="1182">
        <f t="shared" si="89"/>
        <v>0.13237469224267814</v>
      </c>
      <c r="P35" s="1183">
        <f t="shared" si="89"/>
        <v>0.13830992933841876</v>
      </c>
      <c r="Q35" s="1182">
        <f t="shared" si="89"/>
        <v>0.12650074546269191</v>
      </c>
      <c r="R35" s="1183">
        <f t="shared" si="89"/>
        <v>0.1374314777096878</v>
      </c>
      <c r="S35" s="1182">
        <f>+S11/S12</f>
        <v>0.1586248114804302</v>
      </c>
      <c r="T35" s="1183">
        <f t="shared" ref="T35:U35" si="90">+T11/T12</f>
        <v>0.15521867991028515</v>
      </c>
      <c r="U35" s="1182">
        <f t="shared" si="90"/>
        <v>0.17285318559556787</v>
      </c>
      <c r="V35" s="1183">
        <f t="shared" ref="V35:W35" si="91">+V11/V12</f>
        <v>0.16227103921445205</v>
      </c>
      <c r="W35" s="1182">
        <f t="shared" si="91"/>
        <v>0.15772012474288366</v>
      </c>
      <c r="X35" s="1182"/>
      <c r="Y35" s="1182"/>
      <c r="Z35" s="1182"/>
      <c r="AA35" s="1182"/>
      <c r="AB35" s="1182"/>
      <c r="AC35" s="1182"/>
      <c r="AD35" s="1182"/>
      <c r="AE35" s="1182"/>
      <c r="AF35" s="1182"/>
      <c r="AG35" s="1182"/>
      <c r="AH35" s="1182"/>
      <c r="AI35" s="1182"/>
      <c r="AJ35" s="1182"/>
      <c r="AK35" s="1182"/>
      <c r="AL35" s="1182"/>
      <c r="AM35" s="1182"/>
      <c r="AN35" s="1182"/>
      <c r="AO35" s="1182"/>
      <c r="AP35" s="1182"/>
      <c r="AQ35" s="1182"/>
      <c r="AR35" s="1182">
        <f>+AR11/AR12</f>
        <v>0.11736524525212505</v>
      </c>
      <c r="AS35" s="1182">
        <f t="shared" ref="AS35:BA35" si="92">+AS11/AS12</f>
        <v>0.13987801036852437</v>
      </c>
      <c r="AT35" s="1182">
        <f t="shared" si="92"/>
        <v>0.14221150039256214</v>
      </c>
      <c r="AU35" s="1182">
        <f t="shared" si="92"/>
        <v>0.15123202017993576</v>
      </c>
      <c r="AV35" s="1182">
        <f t="shared" si="92"/>
        <v>0.15649632546373154</v>
      </c>
      <c r="AW35" s="1182">
        <f t="shared" si="92"/>
        <v>0.13968297404588056</v>
      </c>
      <c r="AX35" s="1182">
        <f t="shared" si="92"/>
        <v>0.12176959458694939</v>
      </c>
      <c r="AY35" s="1182">
        <f t="shared" si="92"/>
        <v>0.13583721451520511</v>
      </c>
      <c r="AZ35" s="1182">
        <f t="shared" si="92"/>
        <v>0.13564361032582903</v>
      </c>
      <c r="BA35" s="1182">
        <f t="shared" si="92"/>
        <v>0.13238209446161711</v>
      </c>
      <c r="BB35" s="1182">
        <f t="shared" ref="BB35:BC35" si="93">+BB11/BB12</f>
        <v>0.15683300819352322</v>
      </c>
      <c r="BC35" s="1182">
        <f t="shared" si="93"/>
        <v>0.16695883879110862</v>
      </c>
    </row>
    <row r="36" spans="1:55" ht="12" x14ac:dyDescent="0.3">
      <c r="A36" s="797" t="str">
        <f>+A18</f>
        <v>Total Gross Invoiced Income</v>
      </c>
      <c r="B36" s="1165"/>
      <c r="C36" s="1165"/>
      <c r="D36" s="1165"/>
      <c r="E36" s="1165"/>
      <c r="F36" s="1165"/>
      <c r="G36" s="1165">
        <f t="shared" ref="G36:R36" si="94">SUM(G33:G35)</f>
        <v>1</v>
      </c>
      <c r="H36" s="1166">
        <f t="shared" si="94"/>
        <v>0.99999999999999989</v>
      </c>
      <c r="I36" s="1165">
        <f t="shared" si="94"/>
        <v>0.99999999999999989</v>
      </c>
      <c r="J36" s="1166">
        <f t="shared" si="94"/>
        <v>0.99999999999999989</v>
      </c>
      <c r="K36" s="1165">
        <f t="shared" si="94"/>
        <v>0.99999999999999989</v>
      </c>
      <c r="L36" s="1166">
        <f t="shared" si="94"/>
        <v>1</v>
      </c>
      <c r="M36" s="1165">
        <f t="shared" si="94"/>
        <v>0.99999999999999989</v>
      </c>
      <c r="N36" s="1166">
        <f t="shared" si="94"/>
        <v>1</v>
      </c>
      <c r="O36" s="1165">
        <f t="shared" si="94"/>
        <v>1</v>
      </c>
      <c r="P36" s="1166">
        <f t="shared" si="94"/>
        <v>1</v>
      </c>
      <c r="Q36" s="1165">
        <f t="shared" si="94"/>
        <v>1</v>
      </c>
      <c r="R36" s="1166">
        <f t="shared" si="94"/>
        <v>0.99999999999999989</v>
      </c>
      <c r="S36" s="1165">
        <f>SUM(S33:S35)</f>
        <v>1.0000000000000002</v>
      </c>
      <c r="T36" s="1166">
        <f t="shared" ref="T36:U36" si="95">SUM(T33:T35)</f>
        <v>1.0002284405520547</v>
      </c>
      <c r="U36" s="1165">
        <f t="shared" si="95"/>
        <v>1</v>
      </c>
      <c r="V36" s="1166">
        <f t="shared" ref="V36:W36" si="96">SUM(V33:V35)</f>
        <v>1</v>
      </c>
      <c r="W36" s="1165">
        <f t="shared" si="96"/>
        <v>0.99999999999999989</v>
      </c>
      <c r="X36" s="1165"/>
      <c r="Y36" s="1165"/>
      <c r="Z36" s="1165"/>
      <c r="AA36" s="1165"/>
      <c r="AB36" s="1165"/>
      <c r="AC36" s="1165"/>
      <c r="AD36" s="1165"/>
      <c r="AE36" s="1165"/>
      <c r="AF36" s="1165"/>
      <c r="AG36" s="1165"/>
      <c r="AH36" s="1165"/>
      <c r="AI36" s="1165"/>
      <c r="AJ36" s="1165"/>
      <c r="AK36" s="1165"/>
      <c r="AL36" s="1165">
        <f t="shared" ref="AL36:AP36" si="97">+AM36</f>
        <v>1</v>
      </c>
      <c r="AM36" s="1165">
        <f t="shared" si="97"/>
        <v>1</v>
      </c>
      <c r="AN36" s="1165">
        <f t="shared" si="97"/>
        <v>1</v>
      </c>
      <c r="AO36" s="1165">
        <f t="shared" si="97"/>
        <v>1</v>
      </c>
      <c r="AP36" s="1165">
        <f t="shared" si="97"/>
        <v>1</v>
      </c>
      <c r="AQ36" s="1165">
        <f>+AR36</f>
        <v>1</v>
      </c>
      <c r="AR36" s="1165">
        <f>SUM(AR33:AR35)</f>
        <v>1</v>
      </c>
      <c r="AS36" s="1165">
        <f t="shared" ref="AS36:BA36" si="98">SUM(AS33:AS35)</f>
        <v>1</v>
      </c>
      <c r="AT36" s="1165">
        <f t="shared" si="98"/>
        <v>1</v>
      </c>
      <c r="AU36" s="1165">
        <f t="shared" si="98"/>
        <v>0.99999999999999978</v>
      </c>
      <c r="AV36" s="1165">
        <f t="shared" si="98"/>
        <v>1</v>
      </c>
      <c r="AW36" s="1165">
        <f t="shared" si="98"/>
        <v>0.99999999999999989</v>
      </c>
      <c r="AX36" s="1165">
        <f t="shared" si="98"/>
        <v>0.99999999999999989</v>
      </c>
      <c r="AY36" s="1165">
        <f t="shared" si="98"/>
        <v>1</v>
      </c>
      <c r="AZ36" s="1165">
        <f t="shared" si="98"/>
        <v>1</v>
      </c>
      <c r="BA36" s="1165">
        <f t="shared" si="98"/>
        <v>1.0000000000000002</v>
      </c>
      <c r="BB36" s="1165">
        <f t="shared" ref="BB36:BC36" si="99">SUM(BB33:BB35)</f>
        <v>1.0001201716738197</v>
      </c>
      <c r="BC36" s="1165">
        <f t="shared" si="99"/>
        <v>1</v>
      </c>
    </row>
    <row r="37" spans="1:55" x14ac:dyDescent="0.25">
      <c r="E37" s="790"/>
      <c r="H37" s="791"/>
      <c r="J37" s="791"/>
      <c r="L37" s="791"/>
      <c r="N37" s="791"/>
      <c r="P37" s="791"/>
      <c r="R37" s="791"/>
      <c r="T37" s="791"/>
      <c r="V37" s="791"/>
      <c r="AR37" s="787"/>
      <c r="AS37" s="787"/>
      <c r="AT37" s="787"/>
      <c r="AU37" s="787"/>
      <c r="AV37" s="787"/>
      <c r="AW37" s="787"/>
      <c r="AX37" s="787"/>
      <c r="AY37" s="787"/>
      <c r="AZ37" s="787"/>
      <c r="BA37" s="787"/>
      <c r="BB37" s="787"/>
      <c r="BC37" s="787"/>
    </row>
    <row r="38" spans="1:55" x14ac:dyDescent="0.25">
      <c r="A38" s="770" t="s">
        <v>194</v>
      </c>
      <c r="C38" s="772"/>
      <c r="D38" s="772"/>
      <c r="E38" s="773"/>
      <c r="F38" s="772"/>
      <c r="G38" s="772"/>
      <c r="H38" s="774"/>
      <c r="I38" s="772"/>
      <c r="J38" s="774"/>
      <c r="K38" s="772"/>
      <c r="L38" s="774"/>
      <c r="M38" s="772"/>
      <c r="N38" s="774"/>
      <c r="O38" s="772"/>
      <c r="P38" s="774"/>
      <c r="Q38" s="772"/>
      <c r="R38" s="774"/>
      <c r="S38" s="772"/>
      <c r="T38" s="774"/>
      <c r="U38" s="772"/>
      <c r="V38" s="774"/>
      <c r="W38" s="772"/>
      <c r="AE38" s="772"/>
      <c r="AF38" s="772"/>
      <c r="AG38" s="772"/>
      <c r="AH38" s="772"/>
      <c r="AI38" s="772"/>
      <c r="AJ38" s="772"/>
      <c r="AK38" s="772"/>
      <c r="AL38" s="772"/>
      <c r="AM38" s="772"/>
      <c r="AN38" s="772"/>
      <c r="AO38" s="772"/>
      <c r="AP38" s="772"/>
      <c r="AQ38" s="772"/>
      <c r="AR38" s="772"/>
      <c r="AS38" s="772"/>
      <c r="AT38" s="772"/>
      <c r="AU38" s="772"/>
      <c r="AV38" s="772"/>
      <c r="AW38" s="772"/>
      <c r="AX38" s="772"/>
      <c r="AY38" s="772"/>
      <c r="AZ38" s="772"/>
      <c r="BA38" s="772"/>
      <c r="BB38" s="772"/>
      <c r="BC38" s="772"/>
    </row>
    <row r="39" spans="1:55" x14ac:dyDescent="0.25">
      <c r="A39" s="760" t="s">
        <v>203</v>
      </c>
      <c r="B39" s="867"/>
      <c r="C39" s="1192"/>
      <c r="D39" s="1192"/>
      <c r="E39" s="1193"/>
      <c r="F39" s="1172"/>
      <c r="G39" s="1172"/>
      <c r="H39" s="1194"/>
      <c r="I39" s="1192"/>
      <c r="J39" s="1194"/>
      <c r="K39" s="1192"/>
      <c r="L39" s="1194"/>
      <c r="M39" s="1192">
        <f>+Canalyst!I66</f>
        <v>337.47199999999998</v>
      </c>
      <c r="N39" s="1194">
        <f>+Canalyst!J66</f>
        <v>332.13499999999999</v>
      </c>
      <c r="O39" s="1192">
        <f>+Canalyst!K66</f>
        <v>446.68</v>
      </c>
      <c r="P39" s="1194">
        <f>+Canalyst!L66</f>
        <v>392.71800000000002</v>
      </c>
      <c r="Q39" s="1192">
        <f>+Canalyst!M66</f>
        <v>643.31200000000001</v>
      </c>
      <c r="R39" s="1194">
        <f>+Canalyst!N66</f>
        <v>525.9430000000001</v>
      </c>
      <c r="S39" s="1192">
        <f>+Canalyst!O66</f>
        <v>584.31799999999998</v>
      </c>
      <c r="T39" s="1194">
        <f t="shared" ref="T39:T42" si="100">+BB39-S39</f>
        <v>519.53300000000013</v>
      </c>
      <c r="U39" s="1192">
        <v>578.87699999999995</v>
      </c>
      <c r="V39" s="1194">
        <f t="shared" ref="V39:V42" si="101">+BC39-U39</f>
        <v>578.13000000000011</v>
      </c>
      <c r="W39" s="1192">
        <v>736.21199999999999</v>
      </c>
      <c r="X39" s="867"/>
      <c r="Y39" s="867"/>
      <c r="Z39" s="867"/>
      <c r="AA39" s="867"/>
      <c r="AB39" s="867"/>
      <c r="AC39" s="867"/>
      <c r="AD39" s="867"/>
      <c r="AE39" s="1192"/>
      <c r="AF39" s="1192"/>
      <c r="AG39" s="1192"/>
      <c r="AH39" s="1192"/>
      <c r="AI39" s="1192"/>
      <c r="AJ39" s="1192"/>
      <c r="AK39" s="1192"/>
      <c r="AL39" s="1192"/>
      <c r="AM39" s="1192"/>
      <c r="AN39" s="1192"/>
      <c r="AO39" s="1192"/>
      <c r="AP39" s="1192"/>
      <c r="AQ39" s="1192"/>
      <c r="AR39" s="1192"/>
      <c r="AS39" s="1192"/>
      <c r="AT39" s="1192"/>
      <c r="AU39" s="1192"/>
      <c r="AV39" s="1192"/>
      <c r="AW39" s="1192"/>
      <c r="AX39" s="1192">
        <f>+Canalyst!AJ66</f>
        <v>607.03200000000004</v>
      </c>
      <c r="AY39" s="1192">
        <f>+Canalyst!AK66</f>
        <v>669.60699999999997</v>
      </c>
      <c r="AZ39" s="1192">
        <f>+Canalyst!AL66</f>
        <v>839.39800000000002</v>
      </c>
      <c r="BA39" s="1192">
        <f>+Canalyst!AM66</f>
        <v>1169.2550000000001</v>
      </c>
      <c r="BB39" s="772">
        <v>1103.8510000000001</v>
      </c>
      <c r="BC39" s="772">
        <v>1157.0070000000001</v>
      </c>
    </row>
    <row r="40" spans="1:55" x14ac:dyDescent="0.25">
      <c r="A40" s="760" t="s">
        <v>204</v>
      </c>
      <c r="B40" s="867"/>
      <c r="C40" s="1192"/>
      <c r="D40" s="1192"/>
      <c r="E40" s="1193"/>
      <c r="F40" s="1172"/>
      <c r="G40" s="1172"/>
      <c r="H40" s="1194"/>
      <c r="I40" s="1192"/>
      <c r="J40" s="1194"/>
      <c r="K40" s="1192"/>
      <c r="L40" s="1194"/>
      <c r="M40" s="1192">
        <f>+Canalyst!I67</f>
        <v>171.42</v>
      </c>
      <c r="N40" s="1194">
        <f>+Canalyst!J67</f>
        <v>166.89200000000002</v>
      </c>
      <c r="O40" s="1192">
        <f>+Canalyst!K67</f>
        <v>155.48099999999999</v>
      </c>
      <c r="P40" s="1194">
        <f>+Canalyst!L67</f>
        <v>180.53199999999998</v>
      </c>
      <c r="Q40" s="1192">
        <f>+Canalyst!M67</f>
        <v>206.495</v>
      </c>
      <c r="R40" s="1194">
        <f>+Canalyst!N67</f>
        <v>220.75400000000002</v>
      </c>
      <c r="S40" s="1192">
        <f>+Canalyst!O67</f>
        <v>259.35199999999998</v>
      </c>
      <c r="T40" s="1194">
        <f t="shared" si="100"/>
        <v>253.48700000000008</v>
      </c>
      <c r="U40" s="1192">
        <v>260.55700000000002</v>
      </c>
      <c r="V40" s="1194">
        <f t="shared" si="101"/>
        <v>336.76300000000003</v>
      </c>
      <c r="W40" s="1192">
        <v>306.07</v>
      </c>
      <c r="X40" s="867"/>
      <c r="Y40" s="867"/>
      <c r="Z40" s="867"/>
      <c r="AA40" s="867"/>
      <c r="AB40" s="867"/>
      <c r="AC40" s="867"/>
      <c r="AD40" s="867"/>
      <c r="AE40" s="1192"/>
      <c r="AF40" s="1192"/>
      <c r="AG40" s="1192"/>
      <c r="AH40" s="1192"/>
      <c r="AI40" s="1192"/>
      <c r="AJ40" s="1192"/>
      <c r="AK40" s="1192"/>
      <c r="AL40" s="1192"/>
      <c r="AM40" s="1192"/>
      <c r="AN40" s="1192"/>
      <c r="AO40" s="1192"/>
      <c r="AP40" s="1192"/>
      <c r="AQ40" s="1192"/>
      <c r="AR40" s="1192"/>
      <c r="AS40" s="1192"/>
      <c r="AT40" s="1192"/>
      <c r="AU40" s="1192"/>
      <c r="AV40" s="1192"/>
      <c r="AW40" s="1192"/>
      <c r="AX40" s="1192">
        <f>+Canalyst!AJ67</f>
        <v>301.99799999999999</v>
      </c>
      <c r="AY40" s="1192">
        <f>+Canalyst!AK67</f>
        <v>338.31200000000001</v>
      </c>
      <c r="AZ40" s="1192">
        <f>+Canalyst!AL67</f>
        <v>336.01299999999998</v>
      </c>
      <c r="BA40" s="1192">
        <f>+Canalyst!AM67</f>
        <v>427.24900000000002</v>
      </c>
      <c r="BB40" s="772">
        <v>512.83900000000006</v>
      </c>
      <c r="BC40" s="772">
        <v>597.32000000000005</v>
      </c>
    </row>
    <row r="41" spans="1:55" ht="13" x14ac:dyDescent="0.25">
      <c r="A41" s="760" t="s">
        <v>205</v>
      </c>
      <c r="B41" s="867"/>
      <c r="C41" s="1195"/>
      <c r="D41" s="1195"/>
      <c r="E41" s="1196"/>
      <c r="F41" s="842"/>
      <c r="G41" s="842"/>
      <c r="H41" s="843"/>
      <c r="I41" s="1195"/>
      <c r="J41" s="843"/>
      <c r="K41" s="1195"/>
      <c r="L41" s="843"/>
      <c r="M41" s="1195">
        <f>+Canalyst!I68</f>
        <v>218.83</v>
      </c>
      <c r="N41" s="843">
        <f>+Canalyst!J68</f>
        <v>419.44200000000001</v>
      </c>
      <c r="O41" s="1195">
        <f>+Canalyst!K68</f>
        <v>268.65499999999997</v>
      </c>
      <c r="P41" s="843">
        <f>+Canalyst!L68</f>
        <v>494.37400000000002</v>
      </c>
      <c r="Q41" s="1195">
        <f>+Canalyst!M68</f>
        <v>308.53399999999999</v>
      </c>
      <c r="R41" s="843">
        <f>+Canalyst!N68</f>
        <v>602.49900000000002</v>
      </c>
      <c r="S41" s="1195">
        <f>+Canalyst!O68</f>
        <v>371.05799999999999</v>
      </c>
      <c r="T41" s="843">
        <f t="shared" si="100"/>
        <v>575.56000000000006</v>
      </c>
      <c r="U41" s="1195">
        <v>424.036</v>
      </c>
      <c r="V41" s="843">
        <f t="shared" si="101"/>
        <v>673.78800000000001</v>
      </c>
      <c r="W41" s="1195">
        <v>464.779</v>
      </c>
      <c r="X41" s="867"/>
      <c r="Y41" s="867"/>
      <c r="Z41" s="867"/>
      <c r="AA41" s="867"/>
      <c r="AB41" s="867"/>
      <c r="AC41" s="867"/>
      <c r="AD41" s="867"/>
      <c r="AE41" s="1195"/>
      <c r="AF41" s="1195"/>
      <c r="AG41" s="1195"/>
      <c r="AH41" s="1195"/>
      <c r="AI41" s="1195"/>
      <c r="AJ41" s="1195"/>
      <c r="AK41" s="1195"/>
      <c r="AL41" s="1195"/>
      <c r="AM41" s="1195"/>
      <c r="AN41" s="1195"/>
      <c r="AO41" s="1195"/>
      <c r="AP41" s="1195"/>
      <c r="AQ41" s="1195"/>
      <c r="AR41" s="1195"/>
      <c r="AS41" s="1195"/>
      <c r="AT41" s="1195"/>
      <c r="AU41" s="1195"/>
      <c r="AV41" s="1195"/>
      <c r="AW41" s="1195"/>
      <c r="AX41" s="1195">
        <f>+Canalyst!AJ68</f>
        <v>505.03399999999999</v>
      </c>
      <c r="AY41" s="1195">
        <f>+Canalyst!AK68</f>
        <v>638.27200000000005</v>
      </c>
      <c r="AZ41" s="1195">
        <f>+Canalyst!AL68</f>
        <v>763.029</v>
      </c>
      <c r="BA41" s="1195">
        <f>+Canalyst!AM68</f>
        <v>911.03300000000002</v>
      </c>
      <c r="BB41" s="780">
        <v>946.61800000000005</v>
      </c>
      <c r="BC41" s="780">
        <v>1097.8240000000001</v>
      </c>
    </row>
    <row r="42" spans="1:55" s="763" customFormat="1" x14ac:dyDescent="0.25">
      <c r="A42" s="786" t="s">
        <v>198</v>
      </c>
      <c r="B42" s="1197"/>
      <c r="C42" s="855"/>
      <c r="D42" s="855"/>
      <c r="E42" s="1198"/>
      <c r="F42" s="844"/>
      <c r="G42" s="844"/>
      <c r="H42" s="845"/>
      <c r="I42" s="855"/>
      <c r="J42" s="845"/>
      <c r="K42" s="855"/>
      <c r="L42" s="845"/>
      <c r="M42" s="855">
        <f t="shared" ref="M42:S42" si="102">SUM(M39:M41)</f>
        <v>727.72199999999998</v>
      </c>
      <c r="N42" s="845">
        <f t="shared" si="102"/>
        <v>918.46900000000005</v>
      </c>
      <c r="O42" s="855">
        <f t="shared" si="102"/>
        <v>870.81600000000003</v>
      </c>
      <c r="P42" s="845">
        <f t="shared" si="102"/>
        <v>1067.624</v>
      </c>
      <c r="Q42" s="855">
        <f t="shared" si="102"/>
        <v>1158.3409999999999</v>
      </c>
      <c r="R42" s="845">
        <f t="shared" si="102"/>
        <v>1349.1960000000001</v>
      </c>
      <c r="S42" s="855">
        <f t="shared" si="102"/>
        <v>1214.7280000000001</v>
      </c>
      <c r="T42" s="845">
        <f t="shared" si="100"/>
        <v>1348.2719999999999</v>
      </c>
      <c r="U42" s="855">
        <f t="shared" ref="U42:W42" si="103">SUM(U39:U41)</f>
        <v>1263.47</v>
      </c>
      <c r="V42" s="845">
        <f t="shared" si="101"/>
        <v>1588.6810000000003</v>
      </c>
      <c r="W42" s="855">
        <f t="shared" si="103"/>
        <v>1507.0609999999999</v>
      </c>
      <c r="X42" s="855"/>
      <c r="Y42" s="855"/>
      <c r="Z42" s="855"/>
      <c r="AA42" s="855"/>
      <c r="AB42" s="855"/>
      <c r="AC42" s="855"/>
      <c r="AD42" s="855"/>
      <c r="AE42" s="855">
        <f t="shared" ref="AE42:AV42" si="104">+AE12</f>
        <v>18.367162</v>
      </c>
      <c r="AF42" s="855">
        <f t="shared" si="104"/>
        <v>31.868970000000001</v>
      </c>
      <c r="AG42" s="855">
        <f t="shared" si="104"/>
        <v>38.608544999999999</v>
      </c>
      <c r="AH42" s="855">
        <f t="shared" si="104"/>
        <v>39.477041</v>
      </c>
      <c r="AI42" s="855">
        <f t="shared" si="104"/>
        <v>51.132738000000003</v>
      </c>
      <c r="AJ42" s="855">
        <f t="shared" si="104"/>
        <v>57.104958000000003</v>
      </c>
      <c r="AK42" s="855">
        <f t="shared" si="104"/>
        <v>67.277880999999994</v>
      </c>
      <c r="AL42" s="855">
        <f t="shared" si="104"/>
        <v>89.142482000000001</v>
      </c>
      <c r="AM42" s="855">
        <f t="shared" si="104"/>
        <v>102.915905</v>
      </c>
      <c r="AN42" s="855">
        <f t="shared" si="104"/>
        <v>113.11424700000001</v>
      </c>
      <c r="AO42" s="855">
        <f t="shared" si="104"/>
        <v>145.75140099999999</v>
      </c>
      <c r="AP42" s="855">
        <f t="shared" si="104"/>
        <v>219.22811799999999</v>
      </c>
      <c r="AQ42" s="855">
        <f t="shared" si="104"/>
        <v>304.055497</v>
      </c>
      <c r="AR42" s="855">
        <f t="shared" si="104"/>
        <v>395.75599999999997</v>
      </c>
      <c r="AS42" s="855">
        <f t="shared" si="104"/>
        <v>504.79700000000003</v>
      </c>
      <c r="AT42" s="855">
        <f t="shared" si="104"/>
        <v>596.08399999999995</v>
      </c>
      <c r="AU42" s="855">
        <f t="shared" si="104"/>
        <v>672.35100000000011</v>
      </c>
      <c r="AV42" s="855">
        <f t="shared" si="104"/>
        <v>832.48599999999988</v>
      </c>
      <c r="AW42" s="855">
        <f>+AW12</f>
        <v>1081.6780000000001</v>
      </c>
      <c r="AX42" s="855">
        <f t="shared" ref="AX42:BA42" si="105">SUM(AX39:AX41)</f>
        <v>1414.0639999999999</v>
      </c>
      <c r="AY42" s="855">
        <f t="shared" si="105"/>
        <v>1646.191</v>
      </c>
      <c r="AZ42" s="855">
        <f t="shared" si="105"/>
        <v>1938.44</v>
      </c>
      <c r="BA42" s="855">
        <f t="shared" si="105"/>
        <v>2507.5370000000003</v>
      </c>
      <c r="BB42" s="787">
        <v>2563</v>
      </c>
      <c r="BC42" s="787">
        <f>+SUM(BC39:BC41)</f>
        <v>2852.1510000000003</v>
      </c>
    </row>
    <row r="43" spans="1:55" x14ac:dyDescent="0.25">
      <c r="E43" s="790"/>
      <c r="H43" s="791"/>
      <c r="J43" s="791"/>
      <c r="L43" s="791"/>
      <c r="N43" s="791"/>
      <c r="P43" s="791"/>
      <c r="R43" s="791"/>
      <c r="T43" s="791"/>
      <c r="V43" s="791"/>
      <c r="AR43" s="787"/>
      <c r="AS43" s="787"/>
      <c r="AT43" s="787"/>
      <c r="AU43" s="787"/>
      <c r="AV43" s="787"/>
      <c r="AW43" s="787"/>
      <c r="AX43" s="787"/>
      <c r="AY43" s="787"/>
      <c r="AZ43" s="787"/>
      <c r="BA43" s="787"/>
      <c r="BB43" s="787"/>
      <c r="BC43" s="787"/>
    </row>
    <row r="44" spans="1:55" ht="12" x14ac:dyDescent="0.3">
      <c r="A44" s="1169" t="s">
        <v>199</v>
      </c>
      <c r="E44" s="790"/>
      <c r="H44" s="791"/>
      <c r="J44" s="791"/>
      <c r="L44" s="791"/>
      <c r="N44" s="791"/>
      <c r="P44" s="791"/>
      <c r="R44" s="791"/>
      <c r="T44" s="791"/>
      <c r="V44" s="791"/>
      <c r="AR44" s="787"/>
      <c r="AS44" s="787"/>
      <c r="AT44" s="787"/>
      <c r="AU44" s="787"/>
      <c r="AV44" s="787"/>
      <c r="AW44" s="787"/>
      <c r="AX44" s="787"/>
      <c r="AY44" s="787"/>
      <c r="AZ44" s="787"/>
      <c r="BA44" s="787"/>
      <c r="BB44" s="787"/>
      <c r="BC44" s="787"/>
    </row>
    <row r="45" spans="1:55" ht="12" x14ac:dyDescent="0.3">
      <c r="A45" s="1184" t="str">
        <f>+A39</f>
        <v>SMB</v>
      </c>
      <c r="B45" s="1165"/>
      <c r="C45" s="1165"/>
      <c r="D45" s="1165"/>
      <c r="E45" s="1165"/>
      <c r="F45" s="1165"/>
      <c r="G45" s="1165"/>
      <c r="H45" s="1166"/>
      <c r="I45" s="1165"/>
      <c r="J45" s="1166"/>
      <c r="K45" s="1165"/>
      <c r="L45" s="1166"/>
      <c r="M45" s="1165"/>
      <c r="N45" s="1166"/>
      <c r="O45" s="1165">
        <f t="shared" ref="O45:O48" si="106">+O39/M39-1</f>
        <v>0.32360610658069411</v>
      </c>
      <c r="P45" s="1166">
        <f t="shared" ref="P45:P48" si="107">+P39/N39-1</f>
        <v>0.18240474505848536</v>
      </c>
      <c r="Q45" s="1165">
        <f t="shared" ref="Q45:Q48" si="108">+Q39/O39-1</f>
        <v>0.4402077549923884</v>
      </c>
      <c r="R45" s="1166">
        <f t="shared" ref="R45:R48" si="109">+R39/P39-1</f>
        <v>0.33923833386806845</v>
      </c>
      <c r="S45" s="1165">
        <f>+S39/Q39-1</f>
        <v>-9.1703559081751984E-2</v>
      </c>
      <c r="T45" s="1166">
        <f t="shared" ref="T45:T48" si="110">+T39/R39-1</f>
        <v>-1.2187632500099799E-2</v>
      </c>
      <c r="U45" s="1165">
        <f>+U39/S39-1</f>
        <v>-9.3117104042662602E-3</v>
      </c>
      <c r="V45" s="1166">
        <f t="shared" ref="V45:V48" si="111">+V39/T39-1</f>
        <v>0.11278783060941255</v>
      </c>
      <c r="W45" s="1165">
        <f>+W39/U39-1</f>
        <v>0.27179348980871598</v>
      </c>
      <c r="X45" s="1165"/>
      <c r="Y45" s="1165"/>
      <c r="Z45" s="1165"/>
      <c r="AA45" s="1165"/>
      <c r="AB45" s="1165"/>
      <c r="AC45" s="1165"/>
      <c r="AD45" s="1165"/>
      <c r="AE45" s="1165"/>
      <c r="AF45" s="1165"/>
      <c r="AG45" s="1165"/>
      <c r="AH45" s="1165"/>
      <c r="AI45" s="1165"/>
      <c r="AJ45" s="1165"/>
      <c r="AK45" s="1165"/>
      <c r="AL45" s="1165"/>
      <c r="AM45" s="1165"/>
      <c r="AN45" s="1165"/>
      <c r="AO45" s="1165"/>
      <c r="AP45" s="1165"/>
      <c r="AQ45" s="1165"/>
      <c r="AR45" s="1165"/>
      <c r="AS45" s="1165"/>
      <c r="AT45" s="1165"/>
      <c r="AU45" s="1165"/>
      <c r="AV45" s="1165"/>
      <c r="AW45" s="1165"/>
      <c r="AX45" s="1165"/>
      <c r="AY45" s="1165">
        <f t="shared" ref="AY45:AZ45" si="112">+AY39/AX39-1</f>
        <v>0.10308352772176743</v>
      </c>
      <c r="AZ45" s="1165">
        <f t="shared" si="112"/>
        <v>0.25356813772854836</v>
      </c>
      <c r="BA45" s="1165">
        <f>+BA39/AZ39-1</f>
        <v>0.39296853220998873</v>
      </c>
      <c r="BB45" s="1165">
        <f t="shared" ref="BB45:BB48" si="113">+BB39/BA39-1</f>
        <v>-5.5936472369158108E-2</v>
      </c>
      <c r="BC45" s="1165">
        <f t="shared" ref="BC45:BC48" si="114">+BC39/BB39-1</f>
        <v>4.8155049911627446E-2</v>
      </c>
    </row>
    <row r="46" spans="1:55" ht="12" x14ac:dyDescent="0.3">
      <c r="A46" s="1184" t="str">
        <f t="shared" ref="A46:A48" si="115">+A40</f>
        <v>Enterprise</v>
      </c>
      <c r="B46" s="1165"/>
      <c r="C46" s="1165"/>
      <c r="D46" s="1165"/>
      <c r="E46" s="1165"/>
      <c r="F46" s="1165"/>
      <c r="G46" s="1165"/>
      <c r="H46" s="1166"/>
      <c r="I46" s="1165"/>
      <c r="J46" s="1166"/>
      <c r="K46" s="1165"/>
      <c r="L46" s="1166"/>
      <c r="M46" s="1165"/>
      <c r="N46" s="1166"/>
      <c r="O46" s="1165">
        <f t="shared" si="106"/>
        <v>-9.2982149107455392E-2</v>
      </c>
      <c r="P46" s="1166">
        <f t="shared" si="107"/>
        <v>8.1729501713682762E-2</v>
      </c>
      <c r="Q46" s="1165">
        <f t="shared" si="108"/>
        <v>0.32810439860819018</v>
      </c>
      <c r="R46" s="1166">
        <f t="shared" si="109"/>
        <v>0.22279706644805386</v>
      </c>
      <c r="S46" s="1165">
        <f t="shared" ref="S46:W48" si="116">+S40/Q40-1</f>
        <v>0.25597229957141798</v>
      </c>
      <c r="T46" s="1166">
        <f t="shared" si="110"/>
        <v>0.14827817389492393</v>
      </c>
      <c r="U46" s="1165">
        <f t="shared" si="116"/>
        <v>4.6461951324840989E-3</v>
      </c>
      <c r="V46" s="1166">
        <f t="shared" si="111"/>
        <v>0.3285217782371479</v>
      </c>
      <c r="W46" s="1165">
        <f t="shared" si="116"/>
        <v>0.17467579070990213</v>
      </c>
      <c r="X46" s="1165"/>
      <c r="Y46" s="1165"/>
      <c r="Z46" s="1165"/>
      <c r="AA46" s="1165"/>
      <c r="AB46" s="1165"/>
      <c r="AC46" s="1165"/>
      <c r="AD46" s="1165"/>
      <c r="AE46" s="1165"/>
      <c r="AF46" s="1165"/>
      <c r="AG46" s="1165"/>
      <c r="AH46" s="1165"/>
      <c r="AI46" s="1165"/>
      <c r="AJ46" s="1165"/>
      <c r="AK46" s="1165"/>
      <c r="AL46" s="1165"/>
      <c r="AM46" s="1165"/>
      <c r="AN46" s="1165"/>
      <c r="AO46" s="1165"/>
      <c r="AP46" s="1165"/>
      <c r="AQ46" s="1165"/>
      <c r="AR46" s="1165"/>
      <c r="AS46" s="1165"/>
      <c r="AT46" s="1165"/>
      <c r="AU46" s="1165"/>
      <c r="AV46" s="1165"/>
      <c r="AW46" s="1165"/>
      <c r="AX46" s="1165"/>
      <c r="AY46" s="1165">
        <f t="shared" ref="AY46:BA46" si="117">+AY40/AX40-1</f>
        <v>0.12024582944257922</v>
      </c>
      <c r="AZ46" s="1165">
        <f t="shared" si="117"/>
        <v>-6.7955023765046141E-3</v>
      </c>
      <c r="BA46" s="1165">
        <f t="shared" si="117"/>
        <v>0.27152520884608644</v>
      </c>
      <c r="BB46" s="1165">
        <f t="shared" si="113"/>
        <v>0.20032814588214376</v>
      </c>
      <c r="BC46" s="1165">
        <f t="shared" si="114"/>
        <v>0.1647320114109887</v>
      </c>
    </row>
    <row r="47" spans="1:55" s="1181" customFormat="1" ht="13.5" x14ac:dyDescent="0.45">
      <c r="A47" s="1184" t="str">
        <f t="shared" si="115"/>
        <v>Public Sector</v>
      </c>
      <c r="B47" s="1182"/>
      <c r="C47" s="1182"/>
      <c r="D47" s="1182"/>
      <c r="E47" s="1182"/>
      <c r="F47" s="1182"/>
      <c r="G47" s="1182"/>
      <c r="H47" s="1183"/>
      <c r="I47" s="1182"/>
      <c r="J47" s="1183"/>
      <c r="K47" s="1182"/>
      <c r="L47" s="1183"/>
      <c r="M47" s="1182"/>
      <c r="N47" s="1183"/>
      <c r="O47" s="1182">
        <f t="shared" si="106"/>
        <v>0.22768815975871659</v>
      </c>
      <c r="P47" s="1183">
        <f t="shared" si="107"/>
        <v>0.17864686893539505</v>
      </c>
      <c r="Q47" s="1182">
        <f t="shared" si="108"/>
        <v>0.14843944836314238</v>
      </c>
      <c r="R47" s="1183">
        <f t="shared" si="109"/>
        <v>0.21871093544563425</v>
      </c>
      <c r="S47" s="1182">
        <f t="shared" si="116"/>
        <v>0.20264865460532722</v>
      </c>
      <c r="T47" s="1183">
        <f t="shared" si="110"/>
        <v>-4.47121074059873E-2</v>
      </c>
      <c r="U47" s="1182">
        <f t="shared" si="116"/>
        <v>0.14277552296406504</v>
      </c>
      <c r="V47" s="1183">
        <f t="shared" si="111"/>
        <v>0.17066509138925556</v>
      </c>
      <c r="W47" s="1182">
        <f t="shared" si="116"/>
        <v>9.6083823071625885E-2</v>
      </c>
      <c r="X47" s="1182"/>
      <c r="Y47" s="1182"/>
      <c r="Z47" s="1182"/>
      <c r="AA47" s="1182"/>
      <c r="AB47" s="1182"/>
      <c r="AC47" s="1182"/>
      <c r="AD47" s="1182"/>
      <c r="AE47" s="1182"/>
      <c r="AF47" s="1182"/>
      <c r="AG47" s="1182"/>
      <c r="AH47" s="1182"/>
      <c r="AI47" s="1182"/>
      <c r="AJ47" s="1182"/>
      <c r="AK47" s="1182"/>
      <c r="AL47" s="1182"/>
      <c r="AM47" s="1182"/>
      <c r="AN47" s="1182"/>
      <c r="AO47" s="1182"/>
      <c r="AP47" s="1182"/>
      <c r="AQ47" s="1182"/>
      <c r="AR47" s="1182"/>
      <c r="AS47" s="1182"/>
      <c r="AT47" s="1182"/>
      <c r="AU47" s="1182"/>
      <c r="AV47" s="1182"/>
      <c r="AW47" s="1182"/>
      <c r="AX47" s="1182"/>
      <c r="AY47" s="1182">
        <f t="shared" ref="AY47:BA47" si="118">+AY41/AX41-1</f>
        <v>0.26381986163307825</v>
      </c>
      <c r="AZ47" s="1182">
        <f t="shared" si="118"/>
        <v>0.19546055600120305</v>
      </c>
      <c r="BA47" s="1182">
        <f t="shared" si="118"/>
        <v>0.19396903656348585</v>
      </c>
      <c r="BB47" s="1182">
        <f t="shared" si="113"/>
        <v>3.9060056002362176E-2</v>
      </c>
      <c r="BC47" s="1182">
        <f t="shared" si="114"/>
        <v>0.15973285950615779</v>
      </c>
    </row>
    <row r="48" spans="1:55" ht="12" x14ac:dyDescent="0.3">
      <c r="A48" s="797" t="str">
        <f t="shared" si="115"/>
        <v>Total Gross Invoiced Income</v>
      </c>
      <c r="B48" s="1165"/>
      <c r="C48" s="1165"/>
      <c r="D48" s="1165"/>
      <c r="E48" s="1165"/>
      <c r="F48" s="1165"/>
      <c r="G48" s="1165"/>
      <c r="H48" s="1166"/>
      <c r="I48" s="1165"/>
      <c r="J48" s="1166"/>
      <c r="K48" s="1165"/>
      <c r="L48" s="1166"/>
      <c r="M48" s="1165"/>
      <c r="N48" s="1166"/>
      <c r="O48" s="1165">
        <f t="shared" si="106"/>
        <v>0.19663278010009333</v>
      </c>
      <c r="P48" s="1166">
        <f t="shared" si="107"/>
        <v>0.16239524687278495</v>
      </c>
      <c r="Q48" s="1165">
        <f t="shared" si="108"/>
        <v>0.33017882078418381</v>
      </c>
      <c r="R48" s="1166">
        <f t="shared" si="109"/>
        <v>0.26373704600121406</v>
      </c>
      <c r="S48" s="1165">
        <f t="shared" si="116"/>
        <v>4.867910226781258E-2</v>
      </c>
      <c r="T48" s="1166">
        <f t="shared" si="110"/>
        <v>-6.8485231204373775E-4</v>
      </c>
      <c r="U48" s="1165">
        <f t="shared" si="116"/>
        <v>4.0125855335515492E-2</v>
      </c>
      <c r="V48" s="1166">
        <f t="shared" si="111"/>
        <v>0.17830897623031583</v>
      </c>
      <c r="W48" s="1165">
        <f t="shared" si="116"/>
        <v>0.19279523850981817</v>
      </c>
      <c r="X48" s="1165"/>
      <c r="Y48" s="1165"/>
      <c r="Z48" s="1165"/>
      <c r="AA48" s="1165"/>
      <c r="AB48" s="1165"/>
      <c r="AC48" s="1165"/>
      <c r="AD48" s="1165"/>
      <c r="AE48" s="1165"/>
      <c r="AF48" s="1165"/>
      <c r="AG48" s="1165"/>
      <c r="AH48" s="1165"/>
      <c r="AI48" s="1165"/>
      <c r="AJ48" s="1165"/>
      <c r="AK48" s="1165"/>
      <c r="AL48" s="1165">
        <f t="shared" ref="AL48" si="119">+AL42/AK42-1</f>
        <v>0.3249894419237136</v>
      </c>
      <c r="AM48" s="1165">
        <f t="shared" ref="AM48" si="120">+AM42/AL42-1</f>
        <v>0.15451020311505337</v>
      </c>
      <c r="AN48" s="1165">
        <f t="shared" ref="AN48" si="121">+AN42/AM42-1</f>
        <v>9.9093934994790356E-2</v>
      </c>
      <c r="AO48" s="1165">
        <f t="shared" ref="AO48" si="122">+AO42/AN42-1</f>
        <v>0.28853265495371216</v>
      </c>
      <c r="AP48" s="1165">
        <f t="shared" ref="AP48" si="123">+AP42/AO42-1</f>
        <v>0.50412357271269048</v>
      </c>
      <c r="AQ48" s="1165">
        <f t="shared" ref="AQ48" si="124">+AQ42/AP42-1</f>
        <v>0.38693658356361027</v>
      </c>
      <c r="AR48" s="1165">
        <f t="shared" ref="AR48" si="125">+AR42/AQ42-1</f>
        <v>0.30159133416357853</v>
      </c>
      <c r="AS48" s="1165">
        <f t="shared" ref="AS48" si="126">+AS42/AR42-1</f>
        <v>0.27552582904618017</v>
      </c>
      <c r="AT48" s="1165">
        <f t="shared" ref="AT48" si="127">+AT42/AS42-1</f>
        <v>0.18083903034289017</v>
      </c>
      <c r="AU48" s="1165">
        <f t="shared" ref="AU48" si="128">+AU42/AT42-1</f>
        <v>0.12794673233973763</v>
      </c>
      <c r="AV48" s="1165">
        <f t="shared" ref="AV48" si="129">+AV42/AU42-1</f>
        <v>0.23817172875477199</v>
      </c>
      <c r="AW48" s="1165">
        <f t="shared" ref="AW48" si="130">+AW42/AV42-1</f>
        <v>0.29933476358761624</v>
      </c>
      <c r="AX48" s="1165">
        <f t="shared" ref="AX48" si="131">+AX42/AW42-1</f>
        <v>0.30728738127243016</v>
      </c>
      <c r="AY48" s="1165">
        <f t="shared" ref="AY48:BA48" si="132">+AY42/AX42-1</f>
        <v>0.16415593636497383</v>
      </c>
      <c r="AZ48" s="1165">
        <f t="shared" si="132"/>
        <v>0.17753043237388622</v>
      </c>
      <c r="BA48" s="1165">
        <f t="shared" si="132"/>
        <v>0.29358504777037209</v>
      </c>
      <c r="BB48" s="1165">
        <f t="shared" si="113"/>
        <v>2.2118517094662948E-2</v>
      </c>
      <c r="BC48" s="1165">
        <f t="shared" si="114"/>
        <v>0.11281740148263775</v>
      </c>
    </row>
    <row r="49" spans="1:55" x14ac:dyDescent="0.25">
      <c r="E49" s="790"/>
      <c r="H49" s="791"/>
      <c r="J49" s="791"/>
      <c r="L49" s="791"/>
      <c r="N49" s="791"/>
      <c r="P49" s="791"/>
      <c r="R49" s="791"/>
      <c r="T49" s="791"/>
      <c r="V49" s="791"/>
      <c r="AR49" s="772"/>
      <c r="AS49" s="772"/>
      <c r="AT49" s="772"/>
      <c r="AU49" s="772"/>
      <c r="AV49" s="772"/>
      <c r="AW49" s="772"/>
      <c r="AX49" s="772"/>
      <c r="AY49" s="772"/>
      <c r="AZ49" s="772"/>
      <c r="BA49" s="772"/>
      <c r="BB49" s="772"/>
      <c r="BC49" s="772"/>
    </row>
    <row r="50" spans="1:55" ht="12" x14ac:dyDescent="0.3">
      <c r="A50" s="1169" t="s">
        <v>200</v>
      </c>
      <c r="E50" s="790"/>
      <c r="H50" s="791"/>
      <c r="J50" s="791"/>
      <c r="L50" s="791"/>
      <c r="N50" s="791"/>
      <c r="P50" s="791"/>
      <c r="R50" s="791"/>
      <c r="T50" s="791"/>
      <c r="V50" s="791"/>
      <c r="AR50" s="772"/>
      <c r="AS50" s="772"/>
      <c r="AT50" s="772"/>
      <c r="AU50" s="772"/>
      <c r="AV50" s="772"/>
      <c r="AW50" s="772"/>
      <c r="AX50" s="772"/>
      <c r="AY50" s="772"/>
      <c r="AZ50" s="772"/>
      <c r="BA50" s="772"/>
      <c r="BB50" s="772"/>
      <c r="BC50" s="772"/>
    </row>
    <row r="51" spans="1:55" ht="12" x14ac:dyDescent="0.3">
      <c r="A51" s="1184" t="str">
        <f>+A45</f>
        <v>SMB</v>
      </c>
      <c r="B51" s="1186"/>
      <c r="C51" s="1186"/>
      <c r="D51" s="1186"/>
      <c r="E51" s="1186"/>
      <c r="F51" s="1186"/>
      <c r="G51" s="1186"/>
      <c r="H51" s="1187"/>
      <c r="I51" s="1188"/>
      <c r="J51" s="1187"/>
      <c r="K51" s="1188"/>
      <c r="L51" s="1187"/>
      <c r="M51" s="1188"/>
      <c r="N51" s="1187">
        <f t="shared" ref="N51:R51" si="133">+N39-M39</f>
        <v>-5.3369999999999891</v>
      </c>
      <c r="O51" s="1188">
        <f t="shared" si="133"/>
        <v>114.54500000000002</v>
      </c>
      <c r="P51" s="1187">
        <f t="shared" si="133"/>
        <v>-53.961999999999989</v>
      </c>
      <c r="Q51" s="1188">
        <f t="shared" si="133"/>
        <v>250.59399999999999</v>
      </c>
      <c r="R51" s="1187">
        <f t="shared" si="133"/>
        <v>-117.36899999999991</v>
      </c>
      <c r="S51" s="1186">
        <f>+S39-R39</f>
        <v>58.374999999999886</v>
      </c>
      <c r="T51" s="1187">
        <f t="shared" ref="T51:T54" si="134">+T39-S39</f>
        <v>-64.784999999999854</v>
      </c>
      <c r="U51" s="1186">
        <f t="shared" ref="U51:W54" si="135">+U39-T39</f>
        <v>59.343999999999824</v>
      </c>
      <c r="V51" s="1187">
        <f t="shared" ref="V51:V54" si="136">+V39-U39</f>
        <v>-0.74699999999984357</v>
      </c>
      <c r="W51" s="1186">
        <f t="shared" si="135"/>
        <v>158.08199999999988</v>
      </c>
      <c r="X51" s="1186"/>
      <c r="Y51" s="1186"/>
      <c r="Z51" s="1186"/>
      <c r="AA51" s="1186"/>
      <c r="AB51" s="1186"/>
      <c r="AC51" s="1186"/>
      <c r="AD51" s="1186"/>
      <c r="AE51" s="1186"/>
      <c r="AF51" s="1186"/>
      <c r="AG51" s="1186"/>
      <c r="AH51" s="1186"/>
      <c r="AI51" s="1186"/>
      <c r="AJ51" s="1186"/>
      <c r="AK51" s="1186"/>
      <c r="AL51" s="1186"/>
      <c r="AM51" s="1186"/>
      <c r="AN51" s="1186"/>
      <c r="AO51" s="1186"/>
      <c r="AP51" s="1186"/>
      <c r="AQ51" s="1186"/>
      <c r="AR51" s="1186"/>
      <c r="AS51" s="1186"/>
      <c r="AT51" s="1186"/>
      <c r="AU51" s="1186"/>
      <c r="AV51" s="1186"/>
      <c r="AW51" s="1186"/>
      <c r="AX51" s="1186"/>
      <c r="AY51" s="1186">
        <f t="shared" ref="AY51:BA51" si="137">+AY39-AX39</f>
        <v>62.574999999999932</v>
      </c>
      <c r="AZ51" s="1186">
        <f t="shared" si="137"/>
        <v>169.79100000000005</v>
      </c>
      <c r="BA51" s="1186">
        <f t="shared" si="137"/>
        <v>329.85700000000008</v>
      </c>
      <c r="BB51" s="1186">
        <f t="shared" ref="BB51:BB54" si="138">+BB39-BA39</f>
        <v>-65.403999999999996</v>
      </c>
      <c r="BC51" s="1186">
        <f t="shared" ref="BC51:BC54" si="139">+BC39-BB39</f>
        <v>53.155999999999949</v>
      </c>
    </row>
    <row r="52" spans="1:55" ht="12" x14ac:dyDescent="0.3">
      <c r="A52" s="1184" t="str">
        <f t="shared" ref="A52:A54" si="140">+A46</f>
        <v>Enterprise</v>
      </c>
      <c r="B52" s="1186"/>
      <c r="C52" s="1186"/>
      <c r="D52" s="1186"/>
      <c r="E52" s="1186"/>
      <c r="F52" s="1186"/>
      <c r="G52" s="1186"/>
      <c r="H52" s="1187"/>
      <c r="I52" s="1188"/>
      <c r="J52" s="1187"/>
      <c r="K52" s="1188"/>
      <c r="L52" s="1187"/>
      <c r="M52" s="1188"/>
      <c r="N52" s="1187">
        <f t="shared" ref="N52:S52" si="141">+N40-M40</f>
        <v>-4.5279999999999632</v>
      </c>
      <c r="O52" s="1188">
        <f t="shared" si="141"/>
        <v>-11.41100000000003</v>
      </c>
      <c r="P52" s="1187">
        <f t="shared" si="141"/>
        <v>25.050999999999988</v>
      </c>
      <c r="Q52" s="1188">
        <f t="shared" si="141"/>
        <v>25.963000000000022</v>
      </c>
      <c r="R52" s="1187">
        <f t="shared" si="141"/>
        <v>14.259000000000015</v>
      </c>
      <c r="S52" s="1186">
        <f t="shared" si="141"/>
        <v>38.597999999999956</v>
      </c>
      <c r="T52" s="1187">
        <f t="shared" si="134"/>
        <v>-5.8649999999998954</v>
      </c>
      <c r="U52" s="1186">
        <f t="shared" si="135"/>
        <v>7.0699999999999363</v>
      </c>
      <c r="V52" s="1187">
        <f t="shared" si="136"/>
        <v>76.206000000000017</v>
      </c>
      <c r="W52" s="1186">
        <f t="shared" si="135"/>
        <v>-30.69300000000004</v>
      </c>
      <c r="X52" s="1186"/>
      <c r="Y52" s="1186"/>
      <c r="Z52" s="1186"/>
      <c r="AA52" s="1186"/>
      <c r="AB52" s="1186"/>
      <c r="AC52" s="1186"/>
      <c r="AD52" s="1186"/>
      <c r="AE52" s="1186"/>
      <c r="AF52" s="1186"/>
      <c r="AG52" s="1186"/>
      <c r="AH52" s="1186"/>
      <c r="AI52" s="1186"/>
      <c r="AJ52" s="1186"/>
      <c r="AK52" s="1186"/>
      <c r="AL52" s="1186"/>
      <c r="AM52" s="1186"/>
      <c r="AN52" s="1186"/>
      <c r="AO52" s="1186"/>
      <c r="AP52" s="1186"/>
      <c r="AQ52" s="1186"/>
      <c r="AR52" s="1186"/>
      <c r="AS52" s="1186"/>
      <c r="AT52" s="1186"/>
      <c r="AU52" s="1186"/>
      <c r="AV52" s="1186"/>
      <c r="AW52" s="1186"/>
      <c r="AX52" s="1186"/>
      <c r="AY52" s="1186">
        <f t="shared" ref="AY52:BA52" si="142">+AY40-AX40</f>
        <v>36.314000000000021</v>
      </c>
      <c r="AZ52" s="1186">
        <f t="shared" si="142"/>
        <v>-2.299000000000035</v>
      </c>
      <c r="BA52" s="1186">
        <f t="shared" si="142"/>
        <v>91.236000000000047</v>
      </c>
      <c r="BB52" s="1186">
        <f t="shared" si="138"/>
        <v>85.590000000000032</v>
      </c>
      <c r="BC52" s="1186">
        <f t="shared" si="139"/>
        <v>84.480999999999995</v>
      </c>
    </row>
    <row r="53" spans="1:55" s="1181" customFormat="1" ht="13.5" x14ac:dyDescent="0.45">
      <c r="A53" s="1184" t="str">
        <f t="shared" si="140"/>
        <v>Public Sector</v>
      </c>
      <c r="B53" s="1189"/>
      <c r="C53" s="1189"/>
      <c r="D53" s="1189"/>
      <c r="E53" s="1189"/>
      <c r="F53" s="1189"/>
      <c r="G53" s="1189"/>
      <c r="H53" s="1190"/>
      <c r="I53" s="1191"/>
      <c r="J53" s="1190"/>
      <c r="K53" s="1191"/>
      <c r="L53" s="1190"/>
      <c r="M53" s="1191"/>
      <c r="N53" s="1190">
        <f t="shared" ref="N53:S53" si="143">+N41-M41</f>
        <v>200.61199999999999</v>
      </c>
      <c r="O53" s="1191">
        <f t="shared" si="143"/>
        <v>-150.78700000000003</v>
      </c>
      <c r="P53" s="1190">
        <f t="shared" si="143"/>
        <v>225.71900000000005</v>
      </c>
      <c r="Q53" s="1191">
        <f t="shared" si="143"/>
        <v>-185.84000000000003</v>
      </c>
      <c r="R53" s="1190">
        <f t="shared" si="143"/>
        <v>293.96500000000003</v>
      </c>
      <c r="S53" s="1189">
        <f t="shared" si="143"/>
        <v>-231.44100000000003</v>
      </c>
      <c r="T53" s="1190">
        <f t="shared" si="134"/>
        <v>204.50200000000007</v>
      </c>
      <c r="U53" s="1189">
        <f t="shared" si="135"/>
        <v>-151.52400000000006</v>
      </c>
      <c r="V53" s="1190">
        <f t="shared" si="136"/>
        <v>249.75200000000001</v>
      </c>
      <c r="W53" s="1189">
        <f t="shared" si="135"/>
        <v>-209.00900000000001</v>
      </c>
      <c r="X53" s="1189"/>
      <c r="Y53" s="1189"/>
      <c r="Z53" s="1189"/>
      <c r="AA53" s="1189"/>
      <c r="AB53" s="1189"/>
      <c r="AC53" s="1189"/>
      <c r="AD53" s="1189"/>
      <c r="AE53" s="1189"/>
      <c r="AF53" s="1189"/>
      <c r="AG53" s="1189"/>
      <c r="AH53" s="1189"/>
      <c r="AI53" s="1189"/>
      <c r="AJ53" s="1189"/>
      <c r="AK53" s="1189"/>
      <c r="AL53" s="1189"/>
      <c r="AM53" s="1189"/>
      <c r="AN53" s="1189"/>
      <c r="AO53" s="1189"/>
      <c r="AP53" s="1189"/>
      <c r="AQ53" s="1189"/>
      <c r="AR53" s="1189"/>
      <c r="AS53" s="1189"/>
      <c r="AT53" s="1189"/>
      <c r="AU53" s="1189"/>
      <c r="AV53" s="1189"/>
      <c r="AW53" s="1189"/>
      <c r="AX53" s="1189"/>
      <c r="AY53" s="1189">
        <f t="shared" ref="AY53:BA53" si="144">+AY41-AX41</f>
        <v>133.23800000000006</v>
      </c>
      <c r="AZ53" s="1189">
        <f t="shared" si="144"/>
        <v>124.75699999999995</v>
      </c>
      <c r="BA53" s="1189">
        <f t="shared" si="144"/>
        <v>148.00400000000002</v>
      </c>
      <c r="BB53" s="1189">
        <f t="shared" si="138"/>
        <v>35.585000000000036</v>
      </c>
      <c r="BC53" s="1189">
        <f t="shared" si="139"/>
        <v>151.20600000000002</v>
      </c>
    </row>
    <row r="54" spans="1:55" ht="12" x14ac:dyDescent="0.3">
      <c r="A54" s="797" t="str">
        <f t="shared" si="140"/>
        <v>Total Gross Invoiced Income</v>
      </c>
      <c r="B54" s="1186"/>
      <c r="C54" s="1186"/>
      <c r="D54" s="1186"/>
      <c r="E54" s="1186"/>
      <c r="F54" s="1186"/>
      <c r="G54" s="1186"/>
      <c r="H54" s="1187"/>
      <c r="I54" s="1188"/>
      <c r="J54" s="1187"/>
      <c r="K54" s="1188"/>
      <c r="L54" s="1187"/>
      <c r="M54" s="1188"/>
      <c r="N54" s="1187">
        <f t="shared" ref="N54:S54" si="145">+N42-M42</f>
        <v>190.74700000000007</v>
      </c>
      <c r="O54" s="1188">
        <f t="shared" si="145"/>
        <v>-47.65300000000002</v>
      </c>
      <c r="P54" s="1187">
        <f t="shared" si="145"/>
        <v>196.80799999999999</v>
      </c>
      <c r="Q54" s="1188">
        <f t="shared" si="145"/>
        <v>90.716999999999871</v>
      </c>
      <c r="R54" s="1187">
        <f t="shared" si="145"/>
        <v>190.85500000000025</v>
      </c>
      <c r="S54" s="1186">
        <f t="shared" si="145"/>
        <v>-134.46800000000007</v>
      </c>
      <c r="T54" s="1187">
        <f t="shared" si="134"/>
        <v>133.54399999999987</v>
      </c>
      <c r="U54" s="1186">
        <f t="shared" si="135"/>
        <v>-84.801999999999907</v>
      </c>
      <c r="V54" s="1187">
        <f t="shared" si="136"/>
        <v>325.21100000000024</v>
      </c>
      <c r="W54" s="1186">
        <f t="shared" si="135"/>
        <v>-81.620000000000346</v>
      </c>
      <c r="X54" s="1186"/>
      <c r="Y54" s="1186"/>
      <c r="Z54" s="1186"/>
      <c r="AA54" s="1186"/>
      <c r="AB54" s="1186"/>
      <c r="AC54" s="1186"/>
      <c r="AD54" s="1186"/>
      <c r="AE54" s="1186"/>
      <c r="AF54" s="1186"/>
      <c r="AG54" s="1186"/>
      <c r="AH54" s="1186"/>
      <c r="AI54" s="1186"/>
      <c r="AJ54" s="1186"/>
      <c r="AK54" s="1186"/>
      <c r="AL54" s="1186">
        <f t="shared" ref="AL54" si="146">+AL42-AK42</f>
        <v>21.864601000000008</v>
      </c>
      <c r="AM54" s="1186">
        <f t="shared" ref="AM54" si="147">+AM42-AL42</f>
        <v>13.773422999999994</v>
      </c>
      <c r="AN54" s="1186">
        <f t="shared" ref="AN54" si="148">+AN42-AM42</f>
        <v>10.198342000000011</v>
      </c>
      <c r="AO54" s="1186">
        <f t="shared" ref="AO54" si="149">+AO42-AN42</f>
        <v>32.637153999999981</v>
      </c>
      <c r="AP54" s="1186">
        <f t="shared" ref="AP54" si="150">+AP42-AO42</f>
        <v>73.476717000000008</v>
      </c>
      <c r="AQ54" s="1186">
        <f t="shared" ref="AQ54" si="151">+AQ42-AP42</f>
        <v>84.827379000000008</v>
      </c>
      <c r="AR54" s="1186">
        <f t="shared" ref="AR54" si="152">+AR42-AQ42</f>
        <v>91.700502999999969</v>
      </c>
      <c r="AS54" s="1186">
        <f t="shared" ref="AS54" si="153">+AS42-AR42</f>
        <v>109.04100000000005</v>
      </c>
      <c r="AT54" s="1186">
        <f t="shared" ref="AT54" si="154">+AT42-AS42</f>
        <v>91.286999999999921</v>
      </c>
      <c r="AU54" s="1186">
        <f t="shared" ref="AU54" si="155">+AU42-AT42</f>
        <v>76.267000000000166</v>
      </c>
      <c r="AV54" s="1186">
        <f t="shared" ref="AV54" si="156">+AV42-AU42</f>
        <v>160.13499999999976</v>
      </c>
      <c r="AW54" s="1186">
        <f t="shared" ref="AW54" si="157">+AW42-AV42</f>
        <v>249.19200000000023</v>
      </c>
      <c r="AX54" s="1186">
        <f t="shared" ref="AX54" si="158">+AX42-AW42</f>
        <v>332.38599999999974</v>
      </c>
      <c r="AY54" s="1186">
        <f t="shared" ref="AY54:BA54" si="159">+AY42-AX42</f>
        <v>232.12700000000018</v>
      </c>
      <c r="AZ54" s="1186">
        <f t="shared" si="159"/>
        <v>292.24900000000002</v>
      </c>
      <c r="BA54" s="1186">
        <f t="shared" si="159"/>
        <v>569.09700000000021</v>
      </c>
      <c r="BB54" s="1186">
        <f t="shared" si="138"/>
        <v>55.462999999999738</v>
      </c>
      <c r="BC54" s="1186">
        <f t="shared" si="139"/>
        <v>289.15100000000029</v>
      </c>
    </row>
    <row r="55" spans="1:55" x14ac:dyDescent="0.25">
      <c r="E55" s="790"/>
      <c r="H55" s="791"/>
      <c r="J55" s="791"/>
      <c r="L55" s="791"/>
      <c r="N55" s="791"/>
      <c r="P55" s="791"/>
      <c r="R55" s="791"/>
      <c r="T55" s="791"/>
      <c r="V55" s="791"/>
      <c r="AR55" s="772"/>
      <c r="AS55" s="772"/>
      <c r="AT55" s="772"/>
      <c r="AU55" s="772"/>
      <c r="AV55" s="772"/>
      <c r="AW55" s="772"/>
      <c r="AX55" s="772"/>
      <c r="AY55" s="772"/>
      <c r="AZ55" s="772"/>
      <c r="BA55" s="772"/>
      <c r="BB55" s="772"/>
      <c r="BC55" s="772"/>
    </row>
    <row r="56" spans="1:55" ht="12" x14ac:dyDescent="0.3">
      <c r="A56" s="1169" t="s">
        <v>201</v>
      </c>
      <c r="E56" s="790"/>
      <c r="H56" s="791"/>
      <c r="J56" s="791"/>
      <c r="L56" s="791"/>
      <c r="N56" s="791"/>
      <c r="P56" s="791"/>
      <c r="R56" s="791"/>
      <c r="T56" s="791"/>
      <c r="V56" s="791"/>
      <c r="AR56" s="772"/>
      <c r="AS56" s="772"/>
      <c r="AT56" s="772"/>
      <c r="AU56" s="772"/>
      <c r="AV56" s="772"/>
      <c r="AW56" s="772"/>
      <c r="AX56" s="772"/>
      <c r="AY56" s="772"/>
      <c r="AZ56" s="772"/>
      <c r="BA56" s="772"/>
      <c r="BB56" s="772"/>
      <c r="BC56" s="772"/>
    </row>
    <row r="57" spans="1:55" ht="12" x14ac:dyDescent="0.3">
      <c r="A57" s="1184" t="str">
        <f>+A51</f>
        <v>SMB</v>
      </c>
      <c r="B57" s="1186"/>
      <c r="C57" s="1186"/>
      <c r="D57" s="1186"/>
      <c r="E57" s="1186"/>
      <c r="F57" s="1186"/>
      <c r="G57" s="1186"/>
      <c r="H57" s="1187"/>
      <c r="I57" s="1188"/>
      <c r="J57" s="1187"/>
      <c r="K57" s="1188"/>
      <c r="L57" s="1187"/>
      <c r="M57" s="1188"/>
      <c r="N57" s="1187"/>
      <c r="O57" s="1188">
        <f t="shared" ref="O57:O60" si="160">+O39-M39</f>
        <v>109.20800000000003</v>
      </c>
      <c r="P57" s="1187">
        <f t="shared" ref="P57:P60" si="161">+P39-N39</f>
        <v>60.583000000000027</v>
      </c>
      <c r="Q57" s="1188">
        <f t="shared" ref="Q57:Q60" si="162">+Q39-O39</f>
        <v>196.63200000000001</v>
      </c>
      <c r="R57" s="1187">
        <f t="shared" ref="R57:R60" si="163">+R39-P39</f>
        <v>133.22500000000008</v>
      </c>
      <c r="S57" s="1186">
        <f>+S39-Q39</f>
        <v>-58.994000000000028</v>
      </c>
      <c r="T57" s="1187">
        <f t="shared" ref="T57:T60" si="164">+T39-R39</f>
        <v>-6.4099999999999682</v>
      </c>
      <c r="U57" s="1186">
        <f t="shared" ref="U57:W60" si="165">+U39-S39</f>
        <v>-5.4410000000000309</v>
      </c>
      <c r="V57" s="1187">
        <f t="shared" ref="V57:V60" si="166">+V39-T39</f>
        <v>58.59699999999998</v>
      </c>
      <c r="W57" s="1186">
        <f t="shared" si="165"/>
        <v>157.33500000000004</v>
      </c>
      <c r="X57" s="1186"/>
      <c r="Y57" s="1186"/>
      <c r="Z57" s="1186"/>
      <c r="AA57" s="1186"/>
      <c r="AB57" s="1186"/>
      <c r="AC57" s="1186"/>
      <c r="AD57" s="1186"/>
      <c r="AE57" s="1186"/>
      <c r="AF57" s="1186"/>
      <c r="AG57" s="1186"/>
      <c r="AH57" s="1186"/>
      <c r="AI57" s="1186"/>
      <c r="AJ57" s="1186"/>
      <c r="AK57" s="1186"/>
      <c r="AL57" s="1186"/>
      <c r="AM57" s="1186"/>
      <c r="AN57" s="1186"/>
      <c r="AO57" s="1186"/>
      <c r="AP57" s="1186"/>
      <c r="AQ57" s="1186"/>
      <c r="AR57" s="1186"/>
      <c r="AS57" s="1186"/>
      <c r="AT57" s="1186"/>
      <c r="AU57" s="1186"/>
      <c r="AV57" s="1186"/>
      <c r="AW57" s="1186"/>
      <c r="AX57" s="1186"/>
      <c r="AY57" s="1186">
        <f t="shared" ref="AY57:BA57" si="167">+AY51</f>
        <v>62.574999999999932</v>
      </c>
      <c r="AZ57" s="1186">
        <f t="shared" si="167"/>
        <v>169.79100000000005</v>
      </c>
      <c r="BA57" s="1186">
        <f t="shared" si="167"/>
        <v>329.85700000000008</v>
      </c>
      <c r="BB57" s="1186">
        <f t="shared" ref="BB57:BC57" si="168">+BB51</f>
        <v>-65.403999999999996</v>
      </c>
      <c r="BC57" s="1186">
        <f t="shared" si="168"/>
        <v>53.155999999999949</v>
      </c>
    </row>
    <row r="58" spans="1:55" ht="12" x14ac:dyDescent="0.3">
      <c r="A58" s="1184" t="str">
        <f t="shared" ref="A58:A60" si="169">+A52</f>
        <v>Enterprise</v>
      </c>
      <c r="B58" s="1186"/>
      <c r="C58" s="1186"/>
      <c r="D58" s="1186"/>
      <c r="E58" s="1186"/>
      <c r="F58" s="1186"/>
      <c r="G58" s="1186"/>
      <c r="H58" s="1187"/>
      <c r="I58" s="1188"/>
      <c r="J58" s="1187"/>
      <c r="K58" s="1188"/>
      <c r="L58" s="1187"/>
      <c r="M58" s="1188"/>
      <c r="N58" s="1187"/>
      <c r="O58" s="1188">
        <f t="shared" si="160"/>
        <v>-15.938999999999993</v>
      </c>
      <c r="P58" s="1187">
        <f t="shared" si="161"/>
        <v>13.639999999999958</v>
      </c>
      <c r="Q58" s="1188">
        <f t="shared" si="162"/>
        <v>51.01400000000001</v>
      </c>
      <c r="R58" s="1187">
        <f t="shared" si="163"/>
        <v>40.222000000000037</v>
      </c>
      <c r="S58" s="1186">
        <f t="shared" ref="S58:S60" si="170">+S40-Q40</f>
        <v>52.856999999999971</v>
      </c>
      <c r="T58" s="1187">
        <f t="shared" si="164"/>
        <v>32.733000000000061</v>
      </c>
      <c r="U58" s="1186">
        <f t="shared" si="165"/>
        <v>1.2050000000000409</v>
      </c>
      <c r="V58" s="1187">
        <f t="shared" si="166"/>
        <v>83.275999999999954</v>
      </c>
      <c r="W58" s="1186">
        <f t="shared" si="165"/>
        <v>45.512999999999977</v>
      </c>
      <c r="X58" s="1186"/>
      <c r="Y58" s="1186"/>
      <c r="Z58" s="1186"/>
      <c r="AA58" s="1186"/>
      <c r="AB58" s="1186"/>
      <c r="AC58" s="1186"/>
      <c r="AD58" s="1186"/>
      <c r="AE58" s="1186"/>
      <c r="AF58" s="1186"/>
      <c r="AG58" s="1186"/>
      <c r="AH58" s="1186"/>
      <c r="AI58" s="1186"/>
      <c r="AJ58" s="1186"/>
      <c r="AK58" s="1186"/>
      <c r="AL58" s="1186"/>
      <c r="AM58" s="1186"/>
      <c r="AN58" s="1186"/>
      <c r="AO58" s="1186"/>
      <c r="AP58" s="1186"/>
      <c r="AQ58" s="1186"/>
      <c r="AR58" s="1186"/>
      <c r="AS58" s="1186"/>
      <c r="AT58" s="1186"/>
      <c r="AU58" s="1186"/>
      <c r="AV58" s="1186"/>
      <c r="AW58" s="1186"/>
      <c r="AX58" s="1186"/>
      <c r="AY58" s="1186">
        <f t="shared" ref="AY58:BA58" si="171">+AY52</f>
        <v>36.314000000000021</v>
      </c>
      <c r="AZ58" s="1186">
        <f t="shared" si="171"/>
        <v>-2.299000000000035</v>
      </c>
      <c r="BA58" s="1186">
        <f t="shared" si="171"/>
        <v>91.236000000000047</v>
      </c>
      <c r="BB58" s="1186">
        <f t="shared" ref="BB58:BC58" si="172">+BB52</f>
        <v>85.590000000000032</v>
      </c>
      <c r="BC58" s="1186">
        <f t="shared" si="172"/>
        <v>84.480999999999995</v>
      </c>
    </row>
    <row r="59" spans="1:55" s="1181" customFormat="1" ht="13.5" x14ac:dyDescent="0.45">
      <c r="A59" s="1184" t="str">
        <f t="shared" si="169"/>
        <v>Public Sector</v>
      </c>
      <c r="B59" s="1189"/>
      <c r="C59" s="1189"/>
      <c r="D59" s="1189"/>
      <c r="E59" s="1189"/>
      <c r="F59" s="1189"/>
      <c r="G59" s="1189"/>
      <c r="H59" s="1190"/>
      <c r="I59" s="1191"/>
      <c r="J59" s="1190"/>
      <c r="K59" s="1191"/>
      <c r="L59" s="1190"/>
      <c r="M59" s="1191"/>
      <c r="N59" s="1190"/>
      <c r="O59" s="1191">
        <f t="shared" si="160"/>
        <v>49.82499999999996</v>
      </c>
      <c r="P59" s="1190">
        <f t="shared" si="161"/>
        <v>74.932000000000016</v>
      </c>
      <c r="Q59" s="1191">
        <f t="shared" si="162"/>
        <v>39.879000000000019</v>
      </c>
      <c r="R59" s="1190">
        <f t="shared" si="163"/>
        <v>108.125</v>
      </c>
      <c r="S59" s="1189">
        <f t="shared" si="170"/>
        <v>62.524000000000001</v>
      </c>
      <c r="T59" s="1190">
        <f t="shared" si="164"/>
        <v>-26.938999999999965</v>
      </c>
      <c r="U59" s="1189">
        <f t="shared" si="165"/>
        <v>52.978000000000009</v>
      </c>
      <c r="V59" s="1190">
        <f t="shared" si="166"/>
        <v>98.227999999999952</v>
      </c>
      <c r="W59" s="1189">
        <f t="shared" si="165"/>
        <v>40.742999999999995</v>
      </c>
      <c r="X59" s="1189"/>
      <c r="Y59" s="1189"/>
      <c r="Z59" s="1189"/>
      <c r="AA59" s="1189"/>
      <c r="AB59" s="1189"/>
      <c r="AC59" s="1189"/>
      <c r="AD59" s="1189"/>
      <c r="AE59" s="1189"/>
      <c r="AF59" s="1189"/>
      <c r="AG59" s="1189"/>
      <c r="AH59" s="1189"/>
      <c r="AI59" s="1189"/>
      <c r="AJ59" s="1189"/>
      <c r="AK59" s="1189"/>
      <c r="AL59" s="1189"/>
      <c r="AM59" s="1189"/>
      <c r="AN59" s="1189"/>
      <c r="AO59" s="1189"/>
      <c r="AP59" s="1189"/>
      <c r="AQ59" s="1189"/>
      <c r="AR59" s="1189"/>
      <c r="AS59" s="1189"/>
      <c r="AT59" s="1189"/>
      <c r="AU59" s="1189"/>
      <c r="AV59" s="1189"/>
      <c r="AW59" s="1189"/>
      <c r="AX59" s="1189"/>
      <c r="AY59" s="1189">
        <f t="shared" ref="AY59:BA59" si="173">+AY53</f>
        <v>133.23800000000006</v>
      </c>
      <c r="AZ59" s="1189">
        <f t="shared" si="173"/>
        <v>124.75699999999995</v>
      </c>
      <c r="BA59" s="1189">
        <f t="shared" si="173"/>
        <v>148.00400000000002</v>
      </c>
      <c r="BB59" s="1189">
        <f t="shared" ref="BB59:BC59" si="174">+BB53</f>
        <v>35.585000000000036</v>
      </c>
      <c r="BC59" s="1189">
        <f t="shared" si="174"/>
        <v>151.20600000000002</v>
      </c>
    </row>
    <row r="60" spans="1:55" ht="12" x14ac:dyDescent="0.3">
      <c r="A60" s="797" t="str">
        <f t="shared" si="169"/>
        <v>Total Gross Invoiced Income</v>
      </c>
      <c r="B60" s="1186"/>
      <c r="C60" s="1186"/>
      <c r="D60" s="1186"/>
      <c r="E60" s="1186"/>
      <c r="F60" s="1186"/>
      <c r="G60" s="1186"/>
      <c r="H60" s="1187"/>
      <c r="I60" s="1188"/>
      <c r="J60" s="1187"/>
      <c r="K60" s="1188"/>
      <c r="L60" s="1187"/>
      <c r="M60" s="1188"/>
      <c r="N60" s="1187"/>
      <c r="O60" s="1188">
        <f t="shared" si="160"/>
        <v>143.09400000000005</v>
      </c>
      <c r="P60" s="1187">
        <f t="shared" si="161"/>
        <v>149.15499999999997</v>
      </c>
      <c r="Q60" s="1188">
        <f t="shared" si="162"/>
        <v>287.52499999999986</v>
      </c>
      <c r="R60" s="1187">
        <f t="shared" si="163"/>
        <v>281.57200000000012</v>
      </c>
      <c r="S60" s="1186">
        <f t="shared" si="170"/>
        <v>56.387000000000171</v>
      </c>
      <c r="T60" s="1187">
        <f t="shared" si="164"/>
        <v>-0.92400000000020555</v>
      </c>
      <c r="U60" s="1186">
        <f t="shared" si="165"/>
        <v>48.741999999999962</v>
      </c>
      <c r="V60" s="1187">
        <f t="shared" si="166"/>
        <v>240.40900000000033</v>
      </c>
      <c r="W60" s="1186">
        <f t="shared" si="165"/>
        <v>243.59099999999989</v>
      </c>
      <c r="X60" s="1165"/>
      <c r="Y60" s="1186"/>
      <c r="Z60" s="1186"/>
      <c r="AA60" s="1186"/>
      <c r="AB60" s="1186"/>
      <c r="AC60" s="1186"/>
      <c r="AD60" s="1186"/>
      <c r="AE60" s="1186"/>
      <c r="AF60" s="1186"/>
      <c r="AG60" s="1186"/>
      <c r="AH60" s="1186"/>
      <c r="AI60" s="1186"/>
      <c r="AJ60" s="1186"/>
      <c r="AK60" s="1186"/>
      <c r="AL60" s="1186">
        <f t="shared" ref="AL60:AX60" si="175">+AL54</f>
        <v>21.864601000000008</v>
      </c>
      <c r="AM60" s="1186">
        <f t="shared" si="175"/>
        <v>13.773422999999994</v>
      </c>
      <c r="AN60" s="1186">
        <f t="shared" si="175"/>
        <v>10.198342000000011</v>
      </c>
      <c r="AO60" s="1186">
        <f t="shared" si="175"/>
        <v>32.637153999999981</v>
      </c>
      <c r="AP60" s="1186">
        <f t="shared" si="175"/>
        <v>73.476717000000008</v>
      </c>
      <c r="AQ60" s="1186">
        <f t="shared" si="175"/>
        <v>84.827379000000008</v>
      </c>
      <c r="AR60" s="1186">
        <f t="shared" si="175"/>
        <v>91.700502999999969</v>
      </c>
      <c r="AS60" s="1186">
        <f t="shared" si="175"/>
        <v>109.04100000000005</v>
      </c>
      <c r="AT60" s="1186">
        <f t="shared" si="175"/>
        <v>91.286999999999921</v>
      </c>
      <c r="AU60" s="1186">
        <f t="shared" si="175"/>
        <v>76.267000000000166</v>
      </c>
      <c r="AV60" s="1186">
        <f t="shared" si="175"/>
        <v>160.13499999999976</v>
      </c>
      <c r="AW60" s="1186">
        <f t="shared" si="175"/>
        <v>249.19200000000023</v>
      </c>
      <c r="AX60" s="1186">
        <f t="shared" si="175"/>
        <v>332.38599999999974</v>
      </c>
      <c r="AY60" s="1186">
        <f t="shared" ref="AY60:BA60" si="176">+AY54</f>
        <v>232.12700000000018</v>
      </c>
      <c r="AZ60" s="1186">
        <f t="shared" si="176"/>
        <v>292.24900000000002</v>
      </c>
      <c r="BA60" s="1186">
        <f t="shared" si="176"/>
        <v>569.09700000000021</v>
      </c>
      <c r="BB60" s="1186">
        <f t="shared" ref="BB60:BC60" si="177">+BB54</f>
        <v>55.462999999999738</v>
      </c>
      <c r="BC60" s="1186">
        <f t="shared" si="177"/>
        <v>289.15100000000029</v>
      </c>
    </row>
    <row r="61" spans="1:55" x14ac:dyDescent="0.25">
      <c r="E61" s="790"/>
      <c r="H61" s="791"/>
      <c r="J61" s="791"/>
      <c r="L61" s="791"/>
      <c r="N61" s="791"/>
      <c r="P61" s="791"/>
      <c r="R61" s="791"/>
      <c r="T61" s="791"/>
      <c r="V61" s="791"/>
      <c r="AR61" s="772"/>
      <c r="AS61" s="772"/>
      <c r="AT61" s="772"/>
      <c r="AU61" s="772"/>
      <c r="AV61" s="772"/>
      <c r="AW61" s="772"/>
      <c r="AX61" s="772"/>
      <c r="AY61" s="772"/>
      <c r="AZ61" s="772"/>
      <c r="BA61" s="772"/>
      <c r="BB61" s="772"/>
      <c r="BC61" s="772"/>
    </row>
    <row r="62" spans="1:55" ht="12" x14ac:dyDescent="0.3">
      <c r="A62" s="1169" t="s">
        <v>202</v>
      </c>
      <c r="E62" s="790"/>
      <c r="H62" s="791"/>
      <c r="J62" s="791"/>
      <c r="L62" s="791"/>
      <c r="N62" s="791"/>
      <c r="P62" s="791"/>
      <c r="R62" s="791"/>
      <c r="T62" s="791"/>
      <c r="V62" s="791"/>
      <c r="AR62" s="772"/>
      <c r="AS62" s="772"/>
      <c r="AT62" s="772"/>
      <c r="AU62" s="772"/>
      <c r="AV62" s="772"/>
      <c r="AW62" s="772"/>
      <c r="AX62" s="772"/>
      <c r="AY62" s="772"/>
      <c r="AZ62" s="772"/>
      <c r="BA62" s="772"/>
      <c r="BB62" s="772"/>
      <c r="BC62" s="772"/>
    </row>
    <row r="63" spans="1:55" ht="12" x14ac:dyDescent="0.3">
      <c r="A63" s="1184" t="str">
        <f>+A45</f>
        <v>SMB</v>
      </c>
      <c r="B63" s="1165"/>
      <c r="C63" s="1165"/>
      <c r="D63" s="1165"/>
      <c r="E63" s="1165"/>
      <c r="F63" s="1165"/>
      <c r="G63" s="1165"/>
      <c r="H63" s="1166"/>
      <c r="I63" s="1165"/>
      <c r="J63" s="1166"/>
      <c r="K63" s="1165"/>
      <c r="L63" s="1166"/>
      <c r="M63" s="1165">
        <f t="shared" ref="M63:R63" si="178">+M39/M42</f>
        <v>0.463737526143225</v>
      </c>
      <c r="N63" s="1166">
        <f t="shared" si="178"/>
        <v>0.3616180840071902</v>
      </c>
      <c r="O63" s="1165">
        <f t="shared" si="178"/>
        <v>0.51294418108992024</v>
      </c>
      <c r="P63" s="1166">
        <f t="shared" si="178"/>
        <v>0.3678429859201367</v>
      </c>
      <c r="Q63" s="1165">
        <f t="shared" si="178"/>
        <v>0.55537359033307121</v>
      </c>
      <c r="R63" s="1166">
        <f t="shared" si="178"/>
        <v>0.38981956661596984</v>
      </c>
      <c r="S63" s="1165">
        <f>+S39/S42</f>
        <v>0.48102785150255856</v>
      </c>
      <c r="T63" s="1166">
        <f t="shared" ref="T63:U63" si="179">+T39/T42</f>
        <v>0.38533248483985438</v>
      </c>
      <c r="U63" s="1165">
        <f t="shared" si="179"/>
        <v>0.45816442020784026</v>
      </c>
      <c r="V63" s="1166">
        <f t="shared" ref="V63:W63" si="180">+V39/V42</f>
        <v>0.36390565506857575</v>
      </c>
      <c r="W63" s="1165">
        <f t="shared" si="180"/>
        <v>0.48850842799329292</v>
      </c>
      <c r="X63" s="1165"/>
      <c r="Y63" s="1165"/>
      <c r="Z63" s="1165"/>
      <c r="AA63" s="1165"/>
      <c r="AB63" s="1165"/>
      <c r="AC63" s="1165"/>
      <c r="AD63" s="1165"/>
      <c r="AE63" s="1165"/>
      <c r="AF63" s="1165"/>
      <c r="AG63" s="1165"/>
      <c r="AH63" s="1165"/>
      <c r="AI63" s="1165"/>
      <c r="AJ63" s="1165"/>
      <c r="AK63" s="1165"/>
      <c r="AL63" s="1165"/>
      <c r="AM63" s="1165"/>
      <c r="AN63" s="1165"/>
      <c r="AO63" s="1165"/>
      <c r="AP63" s="1165"/>
      <c r="AQ63" s="1165"/>
      <c r="AR63" s="1165"/>
      <c r="AS63" s="1165"/>
      <c r="AT63" s="1165"/>
      <c r="AU63" s="1165"/>
      <c r="AV63" s="1165"/>
      <c r="AW63" s="1165"/>
      <c r="AX63" s="1165">
        <f t="shared" ref="AX63:BA63" si="181">+AX39/AX42</f>
        <v>0.42928184297174676</v>
      </c>
      <c r="AY63" s="1165">
        <f t="shared" si="181"/>
        <v>0.40676142683321675</v>
      </c>
      <c r="AZ63" s="1165">
        <f t="shared" si="181"/>
        <v>0.43302758919543549</v>
      </c>
      <c r="BA63" s="1165">
        <f t="shared" si="181"/>
        <v>0.46629621018553263</v>
      </c>
      <c r="BB63" s="1165">
        <f t="shared" ref="BB63:BC63" si="182">+BB39/BB42</f>
        <v>0.43068708544674217</v>
      </c>
      <c r="BC63" s="1165">
        <f t="shared" si="182"/>
        <v>0.40566120096726993</v>
      </c>
    </row>
    <row r="64" spans="1:55" ht="12" x14ac:dyDescent="0.3">
      <c r="A64" s="1184" t="str">
        <f>+A46</f>
        <v>Enterprise</v>
      </c>
      <c r="B64" s="1165"/>
      <c r="C64" s="1165"/>
      <c r="D64" s="1165"/>
      <c r="E64" s="1165"/>
      <c r="F64" s="1165"/>
      <c r="G64" s="1165"/>
      <c r="H64" s="1166"/>
      <c r="I64" s="1165"/>
      <c r="J64" s="1166"/>
      <c r="K64" s="1165"/>
      <c r="L64" s="1166"/>
      <c r="M64" s="1165">
        <f t="shared" ref="M64:R64" si="183">+M40/M42</f>
        <v>0.23555698467271841</v>
      </c>
      <c r="N64" s="1166">
        <f t="shared" si="183"/>
        <v>0.18170673152822797</v>
      </c>
      <c r="O64" s="1165">
        <f t="shared" si="183"/>
        <v>0.17854632896042333</v>
      </c>
      <c r="P64" s="1166">
        <f t="shared" si="183"/>
        <v>0.16909698545555363</v>
      </c>
      <c r="Q64" s="1165">
        <f t="shared" si="183"/>
        <v>0.17826788484565428</v>
      </c>
      <c r="R64" s="1166">
        <f t="shared" si="183"/>
        <v>0.16361892564164138</v>
      </c>
      <c r="S64" s="1165">
        <f>+S40/S42</f>
        <v>0.21350623349424724</v>
      </c>
      <c r="T64" s="1166">
        <f t="shared" ref="T64:U64" si="184">+T40/T42</f>
        <v>0.18800879941139481</v>
      </c>
      <c r="U64" s="1165">
        <f t="shared" si="184"/>
        <v>0.20622333731707124</v>
      </c>
      <c r="V64" s="1166">
        <f t="shared" ref="V64:W64" si="185">+V40/V42</f>
        <v>0.21197647608298958</v>
      </c>
      <c r="W64" s="1165">
        <f t="shared" si="185"/>
        <v>0.20309065127423509</v>
      </c>
      <c r="X64" s="1165"/>
      <c r="Y64" s="1165"/>
      <c r="Z64" s="1165"/>
      <c r="AA64" s="1165"/>
      <c r="AB64" s="1165"/>
      <c r="AC64" s="1165"/>
      <c r="AD64" s="1165"/>
      <c r="AE64" s="1165"/>
      <c r="AF64" s="1165"/>
      <c r="AG64" s="1165"/>
      <c r="AH64" s="1165"/>
      <c r="AI64" s="1165"/>
      <c r="AJ64" s="1165"/>
      <c r="AK64" s="1165"/>
      <c r="AL64" s="1165"/>
      <c r="AM64" s="1165"/>
      <c r="AN64" s="1165"/>
      <c r="AO64" s="1165"/>
      <c r="AP64" s="1165"/>
      <c r="AQ64" s="1165"/>
      <c r="AR64" s="1165"/>
      <c r="AS64" s="1165"/>
      <c r="AT64" s="1165"/>
      <c r="AU64" s="1165"/>
      <c r="AV64" s="1165"/>
      <c r="AW64" s="1165"/>
      <c r="AX64" s="1165">
        <f t="shared" ref="AX64:BA64" si="186">+AX40/AX42</f>
        <v>0.21356741986218447</v>
      </c>
      <c r="AY64" s="1165">
        <f t="shared" si="186"/>
        <v>0.20551199708903767</v>
      </c>
      <c r="AZ64" s="1165">
        <f t="shared" si="186"/>
        <v>0.17334196570438082</v>
      </c>
      <c r="BA64" s="1165">
        <f t="shared" si="186"/>
        <v>0.1703859205267958</v>
      </c>
      <c r="BB64" s="1165">
        <f t="shared" ref="BB64:BC64" si="187">+BB40/BB42</f>
        <v>0.20009325009754197</v>
      </c>
      <c r="BC64" s="1165">
        <f t="shared" si="187"/>
        <v>0.20942790195890751</v>
      </c>
    </row>
    <row r="65" spans="1:55" s="1181" customFormat="1" ht="13.5" x14ac:dyDescent="0.45">
      <c r="A65" s="1184" t="str">
        <f>+A47</f>
        <v>Public Sector</v>
      </c>
      <c r="B65" s="1182"/>
      <c r="C65" s="1182"/>
      <c r="D65" s="1182"/>
      <c r="E65" s="1182"/>
      <c r="F65" s="1182"/>
      <c r="G65" s="1182"/>
      <c r="H65" s="1183"/>
      <c r="I65" s="1182"/>
      <c r="J65" s="1183"/>
      <c r="K65" s="1182"/>
      <c r="L65" s="1183"/>
      <c r="M65" s="1182">
        <f t="shared" ref="M65:R65" si="188">+M41/M42</f>
        <v>0.3007054891840566</v>
      </c>
      <c r="N65" s="1183">
        <f t="shared" si="188"/>
        <v>0.45667518446458183</v>
      </c>
      <c r="O65" s="1182">
        <f t="shared" si="188"/>
        <v>0.30850948994965638</v>
      </c>
      <c r="P65" s="1183">
        <f t="shared" si="188"/>
        <v>0.46306002862430967</v>
      </c>
      <c r="Q65" s="1182">
        <f t="shared" si="188"/>
        <v>0.26635852482127459</v>
      </c>
      <c r="R65" s="1183">
        <f t="shared" si="188"/>
        <v>0.44656150774238879</v>
      </c>
      <c r="S65" s="1182">
        <f>+S41/S42</f>
        <v>0.30546591500319409</v>
      </c>
      <c r="T65" s="1183">
        <f t="shared" ref="T65:U65" si="189">+T41/T42</f>
        <v>0.42688715630080581</v>
      </c>
      <c r="U65" s="1182">
        <f t="shared" si="189"/>
        <v>0.33561224247508842</v>
      </c>
      <c r="V65" s="1183">
        <f t="shared" ref="V65:W65" si="190">+V41/V42</f>
        <v>0.42411786884843455</v>
      </c>
      <c r="W65" s="1182">
        <f t="shared" si="190"/>
        <v>0.30840092073247205</v>
      </c>
      <c r="X65" s="1182"/>
      <c r="Y65" s="1182"/>
      <c r="Z65" s="1182"/>
      <c r="AA65" s="1182"/>
      <c r="AB65" s="1182"/>
      <c r="AC65" s="1182"/>
      <c r="AD65" s="1182"/>
      <c r="AE65" s="1182"/>
      <c r="AF65" s="1182"/>
      <c r="AG65" s="1182"/>
      <c r="AH65" s="1182"/>
      <c r="AI65" s="1182"/>
      <c r="AJ65" s="1182"/>
      <c r="AK65" s="1182"/>
      <c r="AL65" s="1182"/>
      <c r="AM65" s="1182"/>
      <c r="AN65" s="1182"/>
      <c r="AO65" s="1182"/>
      <c r="AP65" s="1182"/>
      <c r="AQ65" s="1182"/>
      <c r="AR65" s="1182"/>
      <c r="AS65" s="1182"/>
      <c r="AT65" s="1182"/>
      <c r="AU65" s="1182"/>
      <c r="AV65" s="1182"/>
      <c r="AW65" s="1182"/>
      <c r="AX65" s="1182">
        <f t="shared" ref="AX65:BA65" si="191">+AX41/AX42</f>
        <v>0.35715073716606888</v>
      </c>
      <c r="AY65" s="1182">
        <f t="shared" si="191"/>
        <v>0.38772657607774558</v>
      </c>
      <c r="AZ65" s="1182">
        <f t="shared" si="191"/>
        <v>0.39363044510018363</v>
      </c>
      <c r="BA65" s="1182">
        <f t="shared" si="191"/>
        <v>0.36331786928767151</v>
      </c>
      <c r="BB65" s="1182">
        <f t="shared" ref="BB65:BC65" si="192">+BB41/BB42</f>
        <v>0.36933983612953575</v>
      </c>
      <c r="BC65" s="1182">
        <f t="shared" si="192"/>
        <v>0.38491089707382253</v>
      </c>
    </row>
    <row r="66" spans="1:55" ht="12" x14ac:dyDescent="0.3">
      <c r="A66" s="797" t="str">
        <f>+A48</f>
        <v>Total Gross Invoiced Income</v>
      </c>
      <c r="B66" s="1165"/>
      <c r="C66" s="1165"/>
      <c r="D66" s="1165"/>
      <c r="E66" s="1165"/>
      <c r="F66" s="1165"/>
      <c r="G66" s="1165"/>
      <c r="H66" s="1166"/>
      <c r="I66" s="1165"/>
      <c r="J66" s="1166"/>
      <c r="K66" s="1165"/>
      <c r="L66" s="1166"/>
      <c r="M66" s="1165">
        <f t="shared" ref="M66" si="193">SUM(M63:M65)</f>
        <v>1</v>
      </c>
      <c r="N66" s="1166">
        <f t="shared" ref="N66" si="194">SUM(N63:N65)</f>
        <v>1</v>
      </c>
      <c r="O66" s="1165">
        <f t="shared" ref="O66" si="195">SUM(O63:O65)</f>
        <v>1</v>
      </c>
      <c r="P66" s="1166">
        <f t="shared" ref="P66" si="196">SUM(P63:P65)</f>
        <v>1</v>
      </c>
      <c r="Q66" s="1165">
        <f t="shared" ref="Q66" si="197">SUM(Q63:Q65)</f>
        <v>1</v>
      </c>
      <c r="R66" s="1166">
        <f t="shared" ref="R66" si="198">SUM(R63:R65)</f>
        <v>1</v>
      </c>
      <c r="S66" s="1165">
        <f>SUM(S63:S65)</f>
        <v>0.99999999999999989</v>
      </c>
      <c r="T66" s="1166">
        <f t="shared" ref="T66:U66" si="199">SUM(T63:T65)</f>
        <v>1.000228440552055</v>
      </c>
      <c r="U66" s="1165">
        <f t="shared" si="199"/>
        <v>1</v>
      </c>
      <c r="V66" s="1166">
        <f t="shared" ref="V66:W66" si="200">SUM(V63:V65)</f>
        <v>1</v>
      </c>
      <c r="W66" s="1165">
        <f t="shared" si="200"/>
        <v>1</v>
      </c>
      <c r="Y66" s="1165"/>
      <c r="Z66" s="1165"/>
      <c r="AA66" s="1165"/>
      <c r="AB66" s="1165"/>
      <c r="AC66" s="1165"/>
      <c r="AD66" s="1165"/>
      <c r="AE66" s="1165"/>
      <c r="AF66" s="1165"/>
      <c r="AG66" s="1165"/>
      <c r="AH66" s="1165"/>
      <c r="AI66" s="1165"/>
      <c r="AJ66" s="1165"/>
      <c r="AK66" s="1165"/>
      <c r="AL66" s="1165">
        <f t="shared" ref="AL66:AV66" si="201">+AM66</f>
        <v>1.0000000000000002</v>
      </c>
      <c r="AM66" s="1165">
        <f t="shared" si="201"/>
        <v>1.0000000000000002</v>
      </c>
      <c r="AN66" s="1165">
        <f t="shared" si="201"/>
        <v>1.0000000000000002</v>
      </c>
      <c r="AO66" s="1165">
        <f t="shared" si="201"/>
        <v>1.0000000000000002</v>
      </c>
      <c r="AP66" s="1165">
        <f t="shared" si="201"/>
        <v>1.0000000000000002</v>
      </c>
      <c r="AQ66" s="1165">
        <f t="shared" si="201"/>
        <v>1.0000000000000002</v>
      </c>
      <c r="AR66" s="1165">
        <f t="shared" si="201"/>
        <v>1.0000000000000002</v>
      </c>
      <c r="AS66" s="1165">
        <f t="shared" si="201"/>
        <v>1.0000000000000002</v>
      </c>
      <c r="AT66" s="1165">
        <f t="shared" si="201"/>
        <v>1.0000000000000002</v>
      </c>
      <c r="AU66" s="1165">
        <f t="shared" si="201"/>
        <v>1.0000000000000002</v>
      </c>
      <c r="AV66" s="1165">
        <f t="shared" si="201"/>
        <v>1.0000000000000002</v>
      </c>
      <c r="AW66" s="1165">
        <f>+AX66</f>
        <v>1.0000000000000002</v>
      </c>
      <c r="AX66" s="1165">
        <f t="shared" ref="AX66" si="202">SUM(AX63:AX65)</f>
        <v>1.0000000000000002</v>
      </c>
      <c r="AY66" s="1165">
        <f t="shared" ref="AY66" si="203">SUM(AY63:AY65)</f>
        <v>1</v>
      </c>
      <c r="AZ66" s="1165">
        <f t="shared" ref="AZ66" si="204">SUM(AZ63:AZ65)</f>
        <v>0.99999999999999989</v>
      </c>
      <c r="BA66" s="1165">
        <f t="shared" ref="BA66:BB66" si="205">SUM(BA63:BA65)</f>
        <v>1</v>
      </c>
      <c r="BB66" s="1165">
        <f t="shared" si="205"/>
        <v>1.0001201716738199</v>
      </c>
      <c r="BC66" s="1165">
        <f t="shared" ref="BC66" si="206">SUM(BC63:BC65)</f>
        <v>1</v>
      </c>
    </row>
    <row r="67" spans="1:55" x14ac:dyDescent="0.25">
      <c r="E67" s="790"/>
      <c r="H67" s="791"/>
      <c r="J67" s="791"/>
      <c r="L67" s="791"/>
      <c r="N67" s="791"/>
      <c r="P67" s="791"/>
      <c r="R67" s="791"/>
      <c r="T67" s="791"/>
      <c r="V67" s="791"/>
      <c r="AR67" s="787"/>
      <c r="AS67" s="787"/>
      <c r="AT67" s="787"/>
      <c r="AU67" s="787"/>
      <c r="AV67" s="787"/>
      <c r="AW67" s="787"/>
      <c r="AX67" s="787"/>
      <c r="AY67" s="787"/>
      <c r="AZ67" s="787"/>
      <c r="BA67" s="787"/>
      <c r="BB67" s="787"/>
      <c r="BC67" s="787"/>
    </row>
    <row r="68" spans="1:55" hidden="1" outlineLevel="1" x14ac:dyDescent="0.25">
      <c r="A68" s="770" t="s">
        <v>39</v>
      </c>
      <c r="C68" s="772"/>
      <c r="D68" s="772"/>
      <c r="E68" s="773"/>
      <c r="F68" s="772"/>
      <c r="G68" s="772"/>
      <c r="H68" s="774"/>
      <c r="I68" s="772"/>
      <c r="J68" s="774"/>
      <c r="K68" s="772"/>
      <c r="L68" s="774"/>
      <c r="M68" s="772"/>
      <c r="N68" s="774"/>
      <c r="O68" s="772"/>
      <c r="P68" s="774"/>
      <c r="Q68" s="772"/>
      <c r="R68" s="774"/>
      <c r="S68" s="772"/>
      <c r="T68" s="774"/>
      <c r="U68" s="772"/>
      <c r="V68" s="774"/>
      <c r="W68" s="772"/>
      <c r="AE68" s="772"/>
      <c r="AF68" s="772"/>
      <c r="AG68" s="772"/>
      <c r="AH68" s="772"/>
      <c r="AI68" s="772"/>
      <c r="AJ68" s="772"/>
      <c r="AK68" s="772"/>
      <c r="AL68" s="772"/>
      <c r="AM68" s="772"/>
      <c r="AN68" s="772"/>
      <c r="AO68" s="772"/>
      <c r="AP68" s="772"/>
      <c r="AQ68" s="772"/>
      <c r="AR68" s="772"/>
      <c r="AS68" s="772"/>
      <c r="AT68" s="772"/>
      <c r="AU68" s="772"/>
      <c r="AV68" s="772"/>
      <c r="AW68" s="772"/>
      <c r="AX68" s="772"/>
      <c r="AY68" s="772"/>
      <c r="AZ68" s="772"/>
      <c r="BA68" s="772"/>
      <c r="BB68" s="772"/>
      <c r="BC68" s="772"/>
    </row>
    <row r="69" spans="1:55" hidden="1" outlineLevel="1" x14ac:dyDescent="0.25">
      <c r="A69" s="760" t="s">
        <v>195</v>
      </c>
      <c r="C69" s="772"/>
      <c r="D69" s="772"/>
      <c r="E69" s="773"/>
      <c r="F69" s="772"/>
      <c r="G69" s="772"/>
      <c r="H69" s="774"/>
      <c r="I69" s="772">
        <f>+Canalyst!E21</f>
        <v>168.34899999999999</v>
      </c>
      <c r="J69" s="839">
        <f>+Canalyst!F21</f>
        <v>210.46199999999999</v>
      </c>
      <c r="K69" s="840">
        <f>+Canalyst!G21</f>
        <v>200.93</v>
      </c>
      <c r="L69" s="841">
        <f>+Canalyst!H21</f>
        <v>275.53100000000001</v>
      </c>
      <c r="M69" s="840">
        <f>+Canalyst!I21</f>
        <v>252.92699999999999</v>
      </c>
      <c r="N69" s="841">
        <f>+Canalyst!J21</f>
        <v>266.59299999999996</v>
      </c>
      <c r="O69" s="840">
        <f>+Canalyst!K21</f>
        <v>240.09399999999999</v>
      </c>
      <c r="P69" s="841">
        <f>+Canalyst!L21</f>
        <v>260.964</v>
      </c>
      <c r="Q69" s="840">
        <f>+Canalyst!M21</f>
        <v>66.608999999999995</v>
      </c>
      <c r="R69" s="841">
        <f>+Canalyst!N21</f>
        <v>83.391000000000005</v>
      </c>
      <c r="S69" s="840">
        <f>+Canalyst!O21</f>
        <v>83.661000000000001</v>
      </c>
      <c r="T69" s="841">
        <f>+Canalyst!P21</f>
        <v>126.85296000000001</v>
      </c>
      <c r="U69" s="840">
        <v>96.141999999999996</v>
      </c>
      <c r="V69" s="841"/>
      <c r="W69" s="840">
        <v>105.9</v>
      </c>
      <c r="AE69" s="772"/>
      <c r="AF69" s="772"/>
      <c r="AG69" s="772"/>
      <c r="AH69" s="772"/>
      <c r="AI69" s="772"/>
      <c r="AJ69" s="772"/>
      <c r="AK69" s="772"/>
      <c r="AL69" s="772"/>
      <c r="AM69" s="772"/>
      <c r="AN69" s="772"/>
      <c r="AO69" s="772"/>
      <c r="AP69" s="772"/>
      <c r="AQ69" s="772"/>
      <c r="AR69" s="772"/>
      <c r="AS69" s="772"/>
      <c r="AT69" s="772"/>
      <c r="AU69" s="772"/>
      <c r="AV69" s="772"/>
      <c r="AW69" s="840">
        <f>+Canalyst!AI21</f>
        <v>378.81099999999998</v>
      </c>
      <c r="AX69" s="840">
        <f>+Canalyst!AJ21</f>
        <v>476.46100000000001</v>
      </c>
      <c r="AY69" s="840">
        <f>+Canalyst!AK21</f>
        <v>519.52</v>
      </c>
      <c r="AZ69" s="840">
        <f>+Canalyst!AL21</f>
        <v>501.05799999999999</v>
      </c>
      <c r="BA69" s="840">
        <f>+Canalyst!AM21</f>
        <v>150</v>
      </c>
      <c r="BB69" s="772"/>
      <c r="BC69" s="772"/>
    </row>
    <row r="70" spans="1:55" hidden="1" outlineLevel="1" x14ac:dyDescent="0.25">
      <c r="A70" s="760" t="s">
        <v>196</v>
      </c>
      <c r="C70" s="772"/>
      <c r="D70" s="772"/>
      <c r="E70" s="773"/>
      <c r="F70" s="772"/>
      <c r="G70" s="772"/>
      <c r="H70" s="774"/>
      <c r="I70" s="772">
        <f>+Canalyst!E22</f>
        <v>156.363</v>
      </c>
      <c r="J70" s="839">
        <f>+Canalyst!F22</f>
        <v>192.75600000000003</v>
      </c>
      <c r="K70" s="840">
        <f>+Canalyst!G22</f>
        <v>194.97</v>
      </c>
      <c r="L70" s="841">
        <f>+Canalyst!H22</f>
        <v>235.96299999999999</v>
      </c>
      <c r="M70" s="840">
        <f>+Canalyst!I22</f>
        <v>218.85599999999999</v>
      </c>
      <c r="N70" s="841">
        <f>+Canalyst!J22</f>
        <v>223.49299999999999</v>
      </c>
      <c r="O70" s="840">
        <f>+Canalyst!K22</f>
        <v>289.17</v>
      </c>
      <c r="P70" s="841">
        <f>+Canalyst!L22</f>
        <v>267.30199999999996</v>
      </c>
      <c r="Q70" s="840">
        <f>+Canalyst!M22</f>
        <v>451.51</v>
      </c>
      <c r="R70" s="841">
        <f>+Canalyst!N22</f>
        <v>346.38700000000006</v>
      </c>
      <c r="S70" s="840">
        <f>+Canalyst!O22</f>
        <v>330.89100000000002</v>
      </c>
      <c r="T70" s="841">
        <f>+Canalyst!P22</f>
        <v>266.46663999999998</v>
      </c>
      <c r="U70" s="840">
        <v>273.10199999999998</v>
      </c>
      <c r="V70" s="841"/>
      <c r="W70" s="840">
        <v>324.60000000000002</v>
      </c>
      <c r="AE70" s="772"/>
      <c r="AF70" s="772"/>
      <c r="AG70" s="772"/>
      <c r="AH70" s="772"/>
      <c r="AI70" s="772"/>
      <c r="AJ70" s="772"/>
      <c r="AK70" s="772"/>
      <c r="AL70" s="772"/>
      <c r="AM70" s="772"/>
      <c r="AN70" s="772"/>
      <c r="AO70" s="772"/>
      <c r="AP70" s="772"/>
      <c r="AQ70" s="772"/>
      <c r="AR70" s="772"/>
      <c r="AS70" s="772"/>
      <c r="AT70" s="772"/>
      <c r="AU70" s="772"/>
      <c r="AV70" s="772"/>
      <c r="AW70" s="840">
        <f>+Canalyst!AI22</f>
        <v>349.11900000000003</v>
      </c>
      <c r="AX70" s="840">
        <f>+Canalyst!AJ22</f>
        <v>430.93299999999999</v>
      </c>
      <c r="AY70" s="840">
        <f>+Canalyst!AK22</f>
        <v>442.34899999999999</v>
      </c>
      <c r="AZ70" s="840">
        <f>+Canalyst!AL22</f>
        <v>556.47199999999998</v>
      </c>
      <c r="BA70" s="840">
        <f>+Canalyst!AM22</f>
        <v>797.89700000000005</v>
      </c>
      <c r="BB70" s="772"/>
      <c r="BC70" s="772"/>
    </row>
    <row r="71" spans="1:55" ht="13" hidden="1" outlineLevel="1" x14ac:dyDescent="0.25">
      <c r="A71" s="760" t="s">
        <v>197</v>
      </c>
      <c r="C71" s="780"/>
      <c r="D71" s="780"/>
      <c r="E71" s="781"/>
      <c r="F71" s="780"/>
      <c r="G71" s="780"/>
      <c r="H71" s="782"/>
      <c r="I71" s="780">
        <f>+Canalyst!E23</f>
        <v>33.591999999999999</v>
      </c>
      <c r="J71" s="782">
        <f>+Canalyst!F23</f>
        <v>35.686000000000007</v>
      </c>
      <c r="K71" s="842">
        <f>+Canalyst!G23</f>
        <v>38.07</v>
      </c>
      <c r="L71" s="843">
        <f>+Canalyst!H23</f>
        <v>46.384999999999998</v>
      </c>
      <c r="M71" s="842">
        <f>+Canalyst!I23</f>
        <v>52.365000000000002</v>
      </c>
      <c r="N71" s="843">
        <f>+Canalyst!J23</f>
        <v>62.892999999999994</v>
      </c>
      <c r="O71" s="842">
        <f>+Canalyst!K23</f>
        <v>47.723999999999997</v>
      </c>
      <c r="P71" s="843">
        <f>+Canalyst!L23</f>
        <v>51.413000000000004</v>
      </c>
      <c r="Q71" s="842">
        <f>+Canalyst!M23</f>
        <v>59.701000000000001</v>
      </c>
      <c r="R71" s="843">
        <f>+Canalyst!N23</f>
        <v>70.348000000000013</v>
      </c>
      <c r="S71" s="842">
        <f>+Canalyst!O23</f>
        <v>97.852999999999994</v>
      </c>
      <c r="T71" s="843">
        <f>+Canalyst!P23</f>
        <v>108.47186999999998</v>
      </c>
      <c r="U71" s="842">
        <v>97.908000000000001</v>
      </c>
      <c r="V71" s="843"/>
      <c r="W71" s="842">
        <v>115.1</v>
      </c>
      <c r="AE71" s="780"/>
      <c r="AF71" s="780"/>
      <c r="AG71" s="780"/>
      <c r="AH71" s="780"/>
      <c r="AI71" s="780"/>
      <c r="AJ71" s="780"/>
      <c r="AK71" s="780"/>
      <c r="AL71" s="780"/>
      <c r="AM71" s="780"/>
      <c r="AN71" s="780"/>
      <c r="AO71" s="780"/>
      <c r="AP71" s="780"/>
      <c r="AQ71" s="780"/>
      <c r="AR71" s="780"/>
      <c r="AS71" s="780"/>
      <c r="AT71" s="780"/>
      <c r="AU71" s="780"/>
      <c r="AV71" s="780"/>
      <c r="AW71" s="842">
        <f>+Canalyst!AI23</f>
        <v>69.278000000000006</v>
      </c>
      <c r="AX71" s="842">
        <f>+Canalyst!AJ23</f>
        <v>84.454999999999998</v>
      </c>
      <c r="AY71" s="842">
        <f>+Canalyst!AK23</f>
        <v>115.258</v>
      </c>
      <c r="AZ71" s="842">
        <f>+Canalyst!AL23</f>
        <v>99.137</v>
      </c>
      <c r="BA71" s="842">
        <f>+Canalyst!AM23</f>
        <v>130.04900000000001</v>
      </c>
      <c r="BB71" s="780"/>
      <c r="BC71" s="780"/>
    </row>
    <row r="72" spans="1:55" s="763" customFormat="1" hidden="1" outlineLevel="1" x14ac:dyDescent="0.25">
      <c r="A72" s="786" t="s">
        <v>206</v>
      </c>
      <c r="C72" s="787"/>
      <c r="D72" s="787"/>
      <c r="E72" s="788"/>
      <c r="F72" s="787"/>
      <c r="G72" s="787"/>
      <c r="H72" s="789"/>
      <c r="I72" s="787">
        <f>+Canalyst!E24</f>
        <v>358.30399999999997</v>
      </c>
      <c r="J72" s="789">
        <f>+Canalyst!F24</f>
        <v>438.904</v>
      </c>
      <c r="K72" s="844">
        <f>+Canalyst!G24</f>
        <v>433.96999999999997</v>
      </c>
      <c r="L72" s="845">
        <f>+Canalyst!H24</f>
        <v>557.87900000000002</v>
      </c>
      <c r="M72" s="844">
        <f>+Canalyst!I24</f>
        <v>524.14800000000002</v>
      </c>
      <c r="N72" s="845">
        <f>+Canalyst!J24</f>
        <v>552.97899999999993</v>
      </c>
      <c r="O72" s="844">
        <f>+Canalyst!K24</f>
        <v>576.98800000000006</v>
      </c>
      <c r="P72" s="845">
        <f>+Canalyst!L24</f>
        <v>579.67899999999997</v>
      </c>
      <c r="Q72" s="844">
        <f>+Canalyst!M24</f>
        <v>577.82000000000005</v>
      </c>
      <c r="R72" s="845">
        <f>+Canalyst!N24</f>
        <v>500.12600000000009</v>
      </c>
      <c r="S72" s="844">
        <f>+Canalyst!O24</f>
        <v>512.40499999999997</v>
      </c>
      <c r="T72" s="845">
        <f>+Canalyst!P24</f>
        <v>501.79146999999995</v>
      </c>
      <c r="U72" s="844">
        <f>+SUM(U69:U71)</f>
        <v>467.15199999999999</v>
      </c>
      <c r="V72" s="845"/>
      <c r="W72" s="844">
        <f>+SUM(W69:W71)</f>
        <v>545.6</v>
      </c>
      <c r="X72" s="760"/>
      <c r="Y72" s="760"/>
      <c r="Z72" s="760"/>
      <c r="AA72" s="760"/>
      <c r="AB72" s="760"/>
      <c r="AC72" s="760"/>
      <c r="AD72" s="760"/>
      <c r="AE72" s="787"/>
      <c r="AF72" s="787"/>
      <c r="AG72" s="787"/>
      <c r="AH72" s="787"/>
      <c r="AI72" s="787"/>
      <c r="AJ72" s="787"/>
      <c r="AK72" s="787"/>
      <c r="AL72" s="787"/>
      <c r="AM72" s="787"/>
      <c r="AN72" s="787"/>
      <c r="AO72" s="787"/>
      <c r="AP72" s="787"/>
      <c r="AQ72" s="787"/>
      <c r="AR72" s="787"/>
      <c r="AS72" s="787"/>
      <c r="AT72" s="787"/>
      <c r="AU72" s="787"/>
      <c r="AV72" s="787"/>
      <c r="AW72" s="844">
        <f>+Canalyst!AI24</f>
        <v>797.20800000000008</v>
      </c>
      <c r="AX72" s="844">
        <f>+Canalyst!AJ24</f>
        <v>991.84900000000005</v>
      </c>
      <c r="AY72" s="844">
        <f>+Canalyst!AK24</f>
        <v>1077.127</v>
      </c>
      <c r="AZ72" s="844">
        <f>+Canalyst!AL24</f>
        <v>1156.6669999999999</v>
      </c>
      <c r="BA72" s="844">
        <f>+Canalyst!AM24</f>
        <v>1077.9460000000001</v>
      </c>
      <c r="BB72" s="787"/>
      <c r="BC72" s="787"/>
    </row>
    <row r="73" spans="1:55" s="763" customFormat="1" hidden="1" outlineLevel="1" x14ac:dyDescent="0.25">
      <c r="A73" s="786"/>
      <c r="C73" s="787"/>
      <c r="D73" s="787"/>
      <c r="E73" s="788"/>
      <c r="F73" s="787"/>
      <c r="G73" s="787"/>
      <c r="H73" s="789"/>
      <c r="I73" s="787"/>
      <c r="J73" s="789"/>
      <c r="K73" s="844"/>
      <c r="L73" s="845"/>
      <c r="M73" s="844"/>
      <c r="N73" s="845"/>
      <c r="O73" s="844"/>
      <c r="P73" s="845"/>
      <c r="Q73" s="844"/>
      <c r="R73" s="845"/>
      <c r="S73" s="844"/>
      <c r="T73" s="845"/>
      <c r="U73" s="844"/>
      <c r="V73" s="845"/>
      <c r="W73" s="844"/>
      <c r="X73" s="760"/>
      <c r="Y73" s="760"/>
      <c r="Z73" s="760"/>
      <c r="AA73" s="760"/>
      <c r="AB73" s="760"/>
      <c r="AC73" s="760"/>
      <c r="AD73" s="760"/>
      <c r="AE73" s="787"/>
      <c r="AF73" s="787"/>
      <c r="AG73" s="787"/>
      <c r="AH73" s="787"/>
      <c r="AI73" s="787"/>
      <c r="AJ73" s="787"/>
      <c r="AK73" s="787"/>
      <c r="AL73" s="787"/>
      <c r="AM73" s="787"/>
      <c r="AN73" s="787"/>
      <c r="AO73" s="787"/>
      <c r="AP73" s="787"/>
      <c r="AQ73" s="787"/>
      <c r="AR73" s="787"/>
      <c r="AS73" s="787"/>
      <c r="AT73" s="787"/>
      <c r="AU73" s="787"/>
      <c r="AV73" s="787"/>
      <c r="AW73" s="844"/>
      <c r="AX73" s="844"/>
      <c r="AY73" s="844"/>
      <c r="AZ73" s="844"/>
      <c r="BA73" s="844"/>
      <c r="BB73" s="787"/>
      <c r="BC73" s="787"/>
    </row>
    <row r="74" spans="1:55" ht="12" hidden="1" outlineLevel="1" x14ac:dyDescent="0.3">
      <c r="A74" s="1169" t="s">
        <v>199</v>
      </c>
      <c r="E74" s="790"/>
      <c r="H74" s="791"/>
      <c r="J74" s="791"/>
      <c r="L74" s="791"/>
      <c r="N74" s="791"/>
      <c r="P74" s="791"/>
      <c r="R74" s="791"/>
      <c r="T74" s="791"/>
      <c r="V74" s="791"/>
      <c r="AR74" s="787"/>
      <c r="AS74" s="787"/>
      <c r="AT74" s="787"/>
      <c r="AU74" s="787"/>
      <c r="AV74" s="787"/>
      <c r="AW74" s="787"/>
      <c r="AX74" s="787"/>
      <c r="AY74" s="787"/>
      <c r="AZ74" s="787"/>
      <c r="BA74" s="787"/>
      <c r="BB74" s="787"/>
      <c r="BC74" s="787"/>
    </row>
    <row r="75" spans="1:55" ht="12" hidden="1" outlineLevel="1" x14ac:dyDescent="0.3">
      <c r="A75" s="1184" t="str">
        <f>+A69</f>
        <v>Software</v>
      </c>
      <c r="B75" s="1165"/>
      <c r="C75" s="1165"/>
      <c r="D75" s="1165"/>
      <c r="E75" s="1165"/>
      <c r="F75" s="1165"/>
      <c r="G75" s="1165"/>
      <c r="H75" s="1166"/>
      <c r="I75" s="1165"/>
      <c r="J75" s="1166"/>
      <c r="K75" s="1165">
        <f t="shared" ref="K75:K78" si="207">+K69/I69-1</f>
        <v>0.19353248311543303</v>
      </c>
      <c r="L75" s="1166">
        <f t="shared" ref="L75:L78" si="208">+L69/J69-1</f>
        <v>0.3091722021077441</v>
      </c>
      <c r="M75" s="1165">
        <f t="shared" ref="M75:M78" si="209">+M69/K69-1</f>
        <v>0.25878166525655688</v>
      </c>
      <c r="N75" s="1166">
        <f t="shared" ref="N75:N78" si="210">+N69/L69-1</f>
        <v>-3.2439181072184464E-2</v>
      </c>
      <c r="O75" s="1165">
        <f t="shared" ref="O75:O78" si="211">+O69/M69-1</f>
        <v>-5.0737959964732848E-2</v>
      </c>
      <c r="P75" s="1166">
        <f t="shared" ref="P75:P78" si="212">+P69/N69-1</f>
        <v>-2.1114582903526968E-2</v>
      </c>
      <c r="Q75" s="1165">
        <f t="shared" ref="Q75:Q78" si="213">+Q69/O69-1</f>
        <v>-0.72257115962914531</v>
      </c>
      <c r="R75" s="1166">
        <f t="shared" ref="R75:R78" si="214">+R69/P69-1</f>
        <v>-0.68045017703591304</v>
      </c>
      <c r="S75" s="1165">
        <f>+S69/Q69-1</f>
        <v>0.25600144124667845</v>
      </c>
      <c r="T75" s="1166">
        <f t="shared" ref="T75:T78" si="215">+T69/R69-1</f>
        <v>0.5211828614598697</v>
      </c>
      <c r="U75" s="1165">
        <f t="shared" ref="U75:W78" si="216">+U69/S69-1</f>
        <v>0.14918540299542182</v>
      </c>
      <c r="V75" s="1166"/>
      <c r="W75" s="1165">
        <f t="shared" si="216"/>
        <v>0.10149570427076626</v>
      </c>
      <c r="X75" s="1165"/>
      <c r="Y75" s="1165"/>
      <c r="Z75" s="1165"/>
      <c r="AA75" s="1165"/>
      <c r="AB75" s="1165"/>
      <c r="AC75" s="1165"/>
      <c r="AD75" s="1165"/>
      <c r="AE75" s="1165"/>
      <c r="AF75" s="1165"/>
      <c r="AG75" s="1165"/>
      <c r="AH75" s="1165"/>
      <c r="AI75" s="1165"/>
      <c r="AJ75" s="1165"/>
      <c r="AK75" s="1165"/>
      <c r="AL75" s="1165"/>
      <c r="AM75" s="1165"/>
      <c r="AN75" s="1165"/>
      <c r="AO75" s="1165"/>
      <c r="AP75" s="1165"/>
      <c r="AQ75" s="1165"/>
      <c r="AR75" s="1165"/>
      <c r="AS75" s="1165"/>
      <c r="AT75" s="1165"/>
      <c r="AU75" s="1165"/>
      <c r="AV75" s="1165"/>
      <c r="AW75" s="1165"/>
      <c r="AX75" s="1165">
        <f t="shared" ref="AX75:AZ75" si="217">+AX69/AW69-1</f>
        <v>0.25778026509261887</v>
      </c>
      <c r="AY75" s="1165">
        <f t="shared" si="217"/>
        <v>9.0372559349033654E-2</v>
      </c>
      <c r="AZ75" s="1165">
        <f t="shared" si="217"/>
        <v>-3.553664921465971E-2</v>
      </c>
      <c r="BA75" s="1165">
        <f>+BA69/AZ69-1</f>
        <v>-0.70063345959948742</v>
      </c>
      <c r="BB75" s="1165"/>
      <c r="BC75" s="1165"/>
    </row>
    <row r="76" spans="1:55" ht="12" hidden="1" outlineLevel="1" x14ac:dyDescent="0.3">
      <c r="A76" s="1184" t="str">
        <f t="shared" ref="A76:A78" si="218">+A70</f>
        <v>Hardware</v>
      </c>
      <c r="B76" s="1165"/>
      <c r="C76" s="1165"/>
      <c r="D76" s="1165"/>
      <c r="E76" s="1165"/>
      <c r="F76" s="1165"/>
      <c r="G76" s="1165"/>
      <c r="H76" s="1166"/>
      <c r="I76" s="1165"/>
      <c r="J76" s="1166"/>
      <c r="K76" s="1165">
        <f t="shared" si="207"/>
        <v>0.24690623740910578</v>
      </c>
      <c r="L76" s="1166">
        <f t="shared" si="208"/>
        <v>0.22415385253896103</v>
      </c>
      <c r="M76" s="1165">
        <f t="shared" si="209"/>
        <v>0.12251115556239411</v>
      </c>
      <c r="N76" s="1166">
        <f t="shared" si="210"/>
        <v>-5.2847268427677174E-2</v>
      </c>
      <c r="O76" s="1165">
        <f t="shared" si="211"/>
        <v>0.32127974558613892</v>
      </c>
      <c r="P76" s="1166">
        <f t="shared" si="212"/>
        <v>0.1960195621339369</v>
      </c>
      <c r="Q76" s="1165">
        <f t="shared" si="213"/>
        <v>0.56139986858941104</v>
      </c>
      <c r="R76" s="1166">
        <f t="shared" si="214"/>
        <v>0.29586385436697116</v>
      </c>
      <c r="S76" s="1165">
        <f t="shared" ref="S76:S78" si="219">+S70/Q70-1</f>
        <v>-0.26714579965006302</v>
      </c>
      <c r="T76" s="1166">
        <f t="shared" si="215"/>
        <v>-0.23072563346776886</v>
      </c>
      <c r="U76" s="1165">
        <f t="shared" si="216"/>
        <v>-0.17464663590124863</v>
      </c>
      <c r="V76" s="1166"/>
      <c r="W76" s="1165">
        <f t="shared" si="216"/>
        <v>0.18856690906694218</v>
      </c>
      <c r="X76" s="1165"/>
      <c r="Y76" s="1165"/>
      <c r="Z76" s="1165"/>
      <c r="AA76" s="1165"/>
      <c r="AB76" s="1165"/>
      <c r="AC76" s="1165"/>
      <c r="AD76" s="1165"/>
      <c r="AE76" s="1165"/>
      <c r="AF76" s="1165"/>
      <c r="AG76" s="1165"/>
      <c r="AH76" s="1165"/>
      <c r="AI76" s="1165"/>
      <c r="AJ76" s="1165"/>
      <c r="AK76" s="1165"/>
      <c r="AL76" s="1165"/>
      <c r="AM76" s="1165"/>
      <c r="AN76" s="1165"/>
      <c r="AO76" s="1165"/>
      <c r="AP76" s="1165"/>
      <c r="AQ76" s="1165"/>
      <c r="AR76" s="1165"/>
      <c r="AS76" s="1165"/>
      <c r="AT76" s="1165"/>
      <c r="AU76" s="1165"/>
      <c r="AV76" s="1165"/>
      <c r="AW76" s="1165"/>
      <c r="AX76" s="1165">
        <f t="shared" ref="AX76:BA76" si="220">+AX70/AW70-1</f>
        <v>0.2343441634514305</v>
      </c>
      <c r="AY76" s="1165">
        <f t="shared" si="220"/>
        <v>2.6491357125121517E-2</v>
      </c>
      <c r="AZ76" s="1165">
        <f t="shared" si="220"/>
        <v>0.25799312307702738</v>
      </c>
      <c r="BA76" s="1165">
        <f t="shared" si="220"/>
        <v>0.43384932215816807</v>
      </c>
      <c r="BB76" s="1165"/>
      <c r="BC76" s="1165"/>
    </row>
    <row r="77" spans="1:55" s="1181" customFormat="1" ht="13.5" hidden="1" outlineLevel="1" x14ac:dyDescent="0.45">
      <c r="A77" s="1184" t="str">
        <f t="shared" si="218"/>
        <v>Services</v>
      </c>
      <c r="B77" s="1182"/>
      <c r="C77" s="1182"/>
      <c r="D77" s="1182"/>
      <c r="E77" s="1182"/>
      <c r="F77" s="1182"/>
      <c r="G77" s="1182"/>
      <c r="H77" s="1183"/>
      <c r="I77" s="1182"/>
      <c r="J77" s="1183"/>
      <c r="K77" s="1182">
        <f t="shared" si="207"/>
        <v>0.13330554894022395</v>
      </c>
      <c r="L77" s="1183">
        <f t="shared" si="208"/>
        <v>0.29980944908367402</v>
      </c>
      <c r="M77" s="1182">
        <f t="shared" si="209"/>
        <v>0.37549251379038617</v>
      </c>
      <c r="N77" s="1183">
        <f t="shared" si="210"/>
        <v>0.35589091301067155</v>
      </c>
      <c r="O77" s="1182">
        <f t="shared" si="211"/>
        <v>-8.8627900315096042E-2</v>
      </c>
      <c r="P77" s="1183">
        <f t="shared" si="212"/>
        <v>-0.18253223729190837</v>
      </c>
      <c r="Q77" s="1182">
        <f t="shared" si="213"/>
        <v>0.25096387561813782</v>
      </c>
      <c r="R77" s="1183">
        <f t="shared" si="214"/>
        <v>0.36829206620893573</v>
      </c>
      <c r="S77" s="1182">
        <f t="shared" si="219"/>
        <v>0.63905127217299529</v>
      </c>
      <c r="T77" s="1183">
        <f t="shared" si="215"/>
        <v>0.54193253539546205</v>
      </c>
      <c r="U77" s="1182">
        <f t="shared" si="216"/>
        <v>5.6206759118282434E-4</v>
      </c>
      <c r="V77" s="1183"/>
      <c r="W77" s="1182">
        <f t="shared" si="216"/>
        <v>0.17559341422559949</v>
      </c>
      <c r="X77" s="1182"/>
      <c r="Y77" s="1182"/>
      <c r="Z77" s="1182"/>
      <c r="AA77" s="1182"/>
      <c r="AB77" s="1182"/>
      <c r="AC77" s="1182"/>
      <c r="AD77" s="1182"/>
      <c r="AE77" s="1182"/>
      <c r="AF77" s="1182"/>
      <c r="AG77" s="1182"/>
      <c r="AH77" s="1182"/>
      <c r="AI77" s="1182"/>
      <c r="AJ77" s="1182"/>
      <c r="AK77" s="1182"/>
      <c r="AL77" s="1182"/>
      <c r="AM77" s="1182"/>
      <c r="AN77" s="1182"/>
      <c r="AO77" s="1182"/>
      <c r="AP77" s="1182"/>
      <c r="AQ77" s="1182"/>
      <c r="AR77" s="1182"/>
      <c r="AS77" s="1182"/>
      <c r="AT77" s="1182"/>
      <c r="AU77" s="1182"/>
      <c r="AV77" s="1182"/>
      <c r="AW77" s="1182"/>
      <c r="AX77" s="1182">
        <f t="shared" ref="AX77:BA77" si="221">+AX71/AW71-1</f>
        <v>0.21907387626663577</v>
      </c>
      <c r="AY77" s="1182">
        <f t="shared" si="221"/>
        <v>0.36472677757385585</v>
      </c>
      <c r="AZ77" s="1182">
        <f t="shared" si="221"/>
        <v>-0.13986881604747603</v>
      </c>
      <c r="BA77" s="1182">
        <f t="shared" si="221"/>
        <v>0.31181092831132684</v>
      </c>
      <c r="BB77" s="1182"/>
      <c r="BC77" s="1182"/>
    </row>
    <row r="78" spans="1:55" s="763" customFormat="1" hidden="1" outlineLevel="1" x14ac:dyDescent="0.25">
      <c r="A78" s="1185" t="str">
        <f t="shared" si="218"/>
        <v>Total Net Revenue</v>
      </c>
      <c r="B78" s="1175"/>
      <c r="C78" s="1175"/>
      <c r="D78" s="1175"/>
      <c r="E78" s="1175"/>
      <c r="F78" s="1175"/>
      <c r="G78" s="1175"/>
      <c r="H78" s="1176"/>
      <c r="I78" s="1175"/>
      <c r="J78" s="1176"/>
      <c r="K78" s="1175">
        <f t="shared" si="207"/>
        <v>0.21117821737965525</v>
      </c>
      <c r="L78" s="1176">
        <f t="shared" si="208"/>
        <v>0.27107294533656567</v>
      </c>
      <c r="M78" s="1175">
        <f t="shared" si="209"/>
        <v>0.20779777403968036</v>
      </c>
      <c r="N78" s="1176">
        <f t="shared" si="210"/>
        <v>-8.7832666223321976E-3</v>
      </c>
      <c r="O78" s="1175">
        <f t="shared" si="211"/>
        <v>0.10081122125811803</v>
      </c>
      <c r="P78" s="1176">
        <f t="shared" si="212"/>
        <v>4.8283931216194453E-2</v>
      </c>
      <c r="Q78" s="1175">
        <f t="shared" si="213"/>
        <v>1.441971063522951E-3</v>
      </c>
      <c r="R78" s="1176">
        <f t="shared" si="214"/>
        <v>-0.13723629802011095</v>
      </c>
      <c r="S78" s="1175">
        <f t="shared" si="219"/>
        <v>-0.11320999619258609</v>
      </c>
      <c r="T78" s="1176">
        <f t="shared" si="215"/>
        <v>3.3301008145945055E-3</v>
      </c>
      <c r="U78" s="1175">
        <f t="shared" si="216"/>
        <v>-8.8314907153521083E-2</v>
      </c>
      <c r="V78" s="1176"/>
      <c r="W78" s="1175">
        <f t="shared" si="216"/>
        <v>0.16792821180258244</v>
      </c>
      <c r="X78" s="1175"/>
      <c r="Y78" s="1175"/>
      <c r="Z78" s="1175"/>
      <c r="AA78" s="1175"/>
      <c r="AB78" s="1175"/>
      <c r="AC78" s="1175"/>
      <c r="AD78" s="1175"/>
      <c r="AE78" s="1175"/>
      <c r="AF78" s="1175"/>
      <c r="AG78" s="1175"/>
      <c r="AH78" s="1175"/>
      <c r="AI78" s="1175"/>
      <c r="AJ78" s="1175"/>
      <c r="AK78" s="1175"/>
      <c r="AL78" s="1175"/>
      <c r="AM78" s="1175"/>
      <c r="AN78" s="1175"/>
      <c r="AO78" s="1175"/>
      <c r="AP78" s="1175"/>
      <c r="AQ78" s="1175"/>
      <c r="AR78" s="1175"/>
      <c r="AS78" s="1175"/>
      <c r="AT78" s="1175"/>
      <c r="AU78" s="1175"/>
      <c r="AV78" s="1175"/>
      <c r="AW78" s="1175"/>
      <c r="AX78" s="1175">
        <f t="shared" ref="AX78:BA78" si="222">+AX72/AW72-1</f>
        <v>0.24415334517465959</v>
      </c>
      <c r="AY78" s="1175">
        <f t="shared" si="222"/>
        <v>8.5978813307267421E-2</v>
      </c>
      <c r="AZ78" s="1175">
        <f t="shared" si="222"/>
        <v>7.3844588428291225E-2</v>
      </c>
      <c r="BA78" s="1175">
        <f t="shared" si="222"/>
        <v>-6.8058481827526718E-2</v>
      </c>
      <c r="BB78" s="1175"/>
      <c r="BC78" s="1175"/>
    </row>
    <row r="79" spans="1:55" hidden="1" outlineLevel="1" x14ac:dyDescent="0.25">
      <c r="E79" s="790"/>
      <c r="H79" s="791"/>
      <c r="J79" s="791"/>
      <c r="L79" s="791"/>
      <c r="N79" s="791"/>
      <c r="P79" s="791"/>
      <c r="R79" s="791"/>
      <c r="T79" s="791"/>
      <c r="V79" s="791"/>
      <c r="AR79" s="787"/>
      <c r="AS79" s="787"/>
      <c r="AT79" s="787"/>
      <c r="AU79" s="787"/>
      <c r="AV79" s="787"/>
      <c r="AW79" s="787"/>
      <c r="AX79" s="787"/>
      <c r="AY79" s="787"/>
      <c r="AZ79" s="787"/>
      <c r="BA79" s="787"/>
      <c r="BB79" s="787"/>
      <c r="BC79" s="787"/>
    </row>
    <row r="80" spans="1:55" ht="12" hidden="1" outlineLevel="1" x14ac:dyDescent="0.3">
      <c r="A80" s="1169" t="s">
        <v>200</v>
      </c>
      <c r="E80" s="790"/>
      <c r="H80" s="791"/>
      <c r="J80" s="791"/>
      <c r="L80" s="791"/>
      <c r="N80" s="791"/>
      <c r="P80" s="791"/>
      <c r="R80" s="791"/>
      <c r="T80" s="791"/>
      <c r="V80" s="791"/>
      <c r="AR80" s="787"/>
      <c r="AS80" s="787"/>
      <c r="AT80" s="787"/>
      <c r="AU80" s="787"/>
      <c r="AV80" s="787"/>
      <c r="AW80" s="787"/>
      <c r="AX80" s="787"/>
      <c r="AY80" s="787"/>
      <c r="AZ80" s="787"/>
      <c r="BA80" s="787"/>
      <c r="BB80" s="787"/>
      <c r="BC80" s="787"/>
    </row>
    <row r="81" spans="1:55" ht="12" hidden="1" outlineLevel="1" x14ac:dyDescent="0.3">
      <c r="A81" s="1184" t="str">
        <f>+A75</f>
        <v>Software</v>
      </c>
      <c r="B81" s="1186"/>
      <c r="C81" s="1186"/>
      <c r="D81" s="1186"/>
      <c r="E81" s="1186"/>
      <c r="F81" s="1186"/>
      <c r="G81" s="1186"/>
      <c r="H81" s="1187"/>
      <c r="I81" s="1188"/>
      <c r="J81" s="1187">
        <f t="shared" ref="J81:R81" si="223">+J69-I69</f>
        <v>42.113</v>
      </c>
      <c r="K81" s="1188">
        <f t="shared" si="223"/>
        <v>-9.5319999999999823</v>
      </c>
      <c r="L81" s="1187">
        <f t="shared" si="223"/>
        <v>74.600999999999999</v>
      </c>
      <c r="M81" s="1188">
        <f t="shared" si="223"/>
        <v>-22.604000000000013</v>
      </c>
      <c r="N81" s="1187">
        <f t="shared" si="223"/>
        <v>13.665999999999968</v>
      </c>
      <c r="O81" s="1188">
        <f t="shared" si="223"/>
        <v>-26.498999999999967</v>
      </c>
      <c r="P81" s="1187">
        <f t="shared" si="223"/>
        <v>20.870000000000005</v>
      </c>
      <c r="Q81" s="1188">
        <f t="shared" si="223"/>
        <v>-194.35500000000002</v>
      </c>
      <c r="R81" s="1187">
        <f t="shared" si="223"/>
        <v>16.782000000000011</v>
      </c>
      <c r="S81" s="1186">
        <f>+S69-R69</f>
        <v>0.26999999999999602</v>
      </c>
      <c r="T81" s="1187">
        <f t="shared" ref="T81:T84" si="224">+T69-S69</f>
        <v>43.191960000000009</v>
      </c>
      <c r="U81" s="1186">
        <f t="shared" ref="U81:W84" si="225">+U69-T69</f>
        <v>-30.710960000000014</v>
      </c>
      <c r="V81" s="1187"/>
      <c r="W81" s="1186">
        <f t="shared" si="225"/>
        <v>105.9</v>
      </c>
      <c r="X81" s="1186"/>
      <c r="Y81" s="1186"/>
      <c r="Z81" s="1186"/>
      <c r="AA81" s="1186"/>
      <c r="AB81" s="1186"/>
      <c r="AC81" s="1186"/>
      <c r="AD81" s="1186"/>
      <c r="AE81" s="1186"/>
      <c r="AF81" s="1186"/>
      <c r="AG81" s="1186"/>
      <c r="AH81" s="1186"/>
      <c r="AI81" s="1186"/>
      <c r="AJ81" s="1186"/>
      <c r="AK81" s="1186"/>
      <c r="AL81" s="1186"/>
      <c r="AM81" s="1186"/>
      <c r="AN81" s="1186"/>
      <c r="AO81" s="1186"/>
      <c r="AP81" s="1186"/>
      <c r="AQ81" s="1186"/>
      <c r="AR81" s="1186"/>
      <c r="AS81" s="1186"/>
      <c r="AT81" s="1186"/>
      <c r="AU81" s="1186"/>
      <c r="AV81" s="1186"/>
      <c r="AW81" s="1186"/>
      <c r="AX81" s="1186">
        <f t="shared" ref="AX81:BA81" si="226">+AX69-AW69</f>
        <v>97.650000000000034</v>
      </c>
      <c r="AY81" s="1186">
        <f t="shared" si="226"/>
        <v>43.058999999999969</v>
      </c>
      <c r="AZ81" s="1186">
        <f t="shared" si="226"/>
        <v>-18.461999999999989</v>
      </c>
      <c r="BA81" s="1186">
        <f t="shared" si="226"/>
        <v>-351.05799999999999</v>
      </c>
      <c r="BB81" s="1165"/>
      <c r="BC81" s="1165"/>
    </row>
    <row r="82" spans="1:55" ht="12" hidden="1" outlineLevel="1" x14ac:dyDescent="0.3">
      <c r="A82" s="1184" t="str">
        <f t="shared" ref="A82:A84" si="227">+A76</f>
        <v>Hardware</v>
      </c>
      <c r="B82" s="1186"/>
      <c r="C82" s="1186"/>
      <c r="D82" s="1186"/>
      <c r="E82" s="1186"/>
      <c r="F82" s="1186"/>
      <c r="G82" s="1186"/>
      <c r="H82" s="1187"/>
      <c r="I82" s="1188"/>
      <c r="J82" s="1187">
        <f t="shared" ref="J82:S82" si="228">+J70-I70</f>
        <v>36.393000000000029</v>
      </c>
      <c r="K82" s="1188">
        <f t="shared" si="228"/>
        <v>2.2139999999999702</v>
      </c>
      <c r="L82" s="1187">
        <f t="shared" si="228"/>
        <v>40.992999999999995</v>
      </c>
      <c r="M82" s="1188">
        <f t="shared" si="228"/>
        <v>-17.106999999999999</v>
      </c>
      <c r="N82" s="1187">
        <f t="shared" si="228"/>
        <v>4.6370000000000005</v>
      </c>
      <c r="O82" s="1188">
        <f t="shared" si="228"/>
        <v>65.677000000000021</v>
      </c>
      <c r="P82" s="1187">
        <f t="shared" si="228"/>
        <v>-21.868000000000052</v>
      </c>
      <c r="Q82" s="1188">
        <f t="shared" si="228"/>
        <v>184.20800000000003</v>
      </c>
      <c r="R82" s="1187">
        <f t="shared" si="228"/>
        <v>-105.12299999999993</v>
      </c>
      <c r="S82" s="1186">
        <f t="shared" si="228"/>
        <v>-15.496000000000038</v>
      </c>
      <c r="T82" s="1187">
        <f t="shared" si="224"/>
        <v>-64.424360000000036</v>
      </c>
      <c r="U82" s="1186">
        <f t="shared" si="225"/>
        <v>6.6353599999999915</v>
      </c>
      <c r="V82" s="1187"/>
      <c r="W82" s="1186">
        <f t="shared" si="225"/>
        <v>324.60000000000002</v>
      </c>
      <c r="X82" s="1186"/>
      <c r="Y82" s="1186"/>
      <c r="Z82" s="1186"/>
      <c r="AA82" s="1186"/>
      <c r="AB82" s="1186"/>
      <c r="AC82" s="1186"/>
      <c r="AD82" s="1186"/>
      <c r="AE82" s="1186"/>
      <c r="AF82" s="1186"/>
      <c r="AG82" s="1186"/>
      <c r="AH82" s="1186"/>
      <c r="AI82" s="1186"/>
      <c r="AJ82" s="1186"/>
      <c r="AK82" s="1186"/>
      <c r="AL82" s="1186"/>
      <c r="AM82" s="1186"/>
      <c r="AN82" s="1186"/>
      <c r="AO82" s="1186"/>
      <c r="AP82" s="1186"/>
      <c r="AQ82" s="1186"/>
      <c r="AR82" s="1186"/>
      <c r="AS82" s="1186"/>
      <c r="AT82" s="1186"/>
      <c r="AU82" s="1186"/>
      <c r="AV82" s="1186"/>
      <c r="AW82" s="1186"/>
      <c r="AX82" s="1186">
        <f t="shared" ref="AX82:BA82" si="229">+AX70-AW70</f>
        <v>81.813999999999965</v>
      </c>
      <c r="AY82" s="1186">
        <f t="shared" si="229"/>
        <v>11.415999999999997</v>
      </c>
      <c r="AZ82" s="1186">
        <f t="shared" si="229"/>
        <v>114.12299999999999</v>
      </c>
      <c r="BA82" s="1186">
        <f t="shared" si="229"/>
        <v>241.42500000000007</v>
      </c>
      <c r="BB82" s="1165"/>
      <c r="BC82" s="1165"/>
    </row>
    <row r="83" spans="1:55" s="1181" customFormat="1" ht="13.5" hidden="1" outlineLevel="1" x14ac:dyDescent="0.45">
      <c r="A83" s="1184" t="str">
        <f t="shared" si="227"/>
        <v>Services</v>
      </c>
      <c r="B83" s="1189"/>
      <c r="C83" s="1189"/>
      <c r="D83" s="1189"/>
      <c r="E83" s="1189"/>
      <c r="F83" s="1189"/>
      <c r="G83" s="1189"/>
      <c r="H83" s="1190"/>
      <c r="I83" s="1191"/>
      <c r="J83" s="1190">
        <f t="shared" ref="J83:S83" si="230">+J71-I71</f>
        <v>2.0940000000000083</v>
      </c>
      <c r="K83" s="1191">
        <f t="shared" si="230"/>
        <v>2.3839999999999932</v>
      </c>
      <c r="L83" s="1190">
        <f t="shared" si="230"/>
        <v>8.3149999999999977</v>
      </c>
      <c r="M83" s="1191">
        <f t="shared" si="230"/>
        <v>5.980000000000004</v>
      </c>
      <c r="N83" s="1190">
        <f t="shared" si="230"/>
        <v>10.527999999999992</v>
      </c>
      <c r="O83" s="1191">
        <f t="shared" si="230"/>
        <v>-15.168999999999997</v>
      </c>
      <c r="P83" s="1190">
        <f t="shared" si="230"/>
        <v>3.6890000000000072</v>
      </c>
      <c r="Q83" s="1191">
        <f t="shared" si="230"/>
        <v>8.2879999999999967</v>
      </c>
      <c r="R83" s="1190">
        <f t="shared" si="230"/>
        <v>10.647000000000013</v>
      </c>
      <c r="S83" s="1189">
        <f t="shared" si="230"/>
        <v>27.504999999999981</v>
      </c>
      <c r="T83" s="1190">
        <f t="shared" si="224"/>
        <v>10.618869999999987</v>
      </c>
      <c r="U83" s="1189">
        <f t="shared" si="225"/>
        <v>-10.56386999999998</v>
      </c>
      <c r="V83" s="1190"/>
      <c r="W83" s="1189">
        <f t="shared" si="225"/>
        <v>115.1</v>
      </c>
      <c r="X83" s="1189"/>
      <c r="Y83" s="1189"/>
      <c r="Z83" s="1189"/>
      <c r="AA83" s="1189"/>
      <c r="AB83" s="1189"/>
      <c r="AC83" s="1189"/>
      <c r="AD83" s="1189"/>
      <c r="AE83" s="1189"/>
      <c r="AF83" s="1189"/>
      <c r="AG83" s="1189"/>
      <c r="AH83" s="1189"/>
      <c r="AI83" s="1189"/>
      <c r="AJ83" s="1189"/>
      <c r="AK83" s="1189"/>
      <c r="AL83" s="1189"/>
      <c r="AM83" s="1189"/>
      <c r="AN83" s="1189"/>
      <c r="AO83" s="1189"/>
      <c r="AP83" s="1189"/>
      <c r="AQ83" s="1189"/>
      <c r="AR83" s="1189"/>
      <c r="AS83" s="1189"/>
      <c r="AT83" s="1189"/>
      <c r="AU83" s="1189"/>
      <c r="AV83" s="1189"/>
      <c r="AW83" s="1189"/>
      <c r="AX83" s="1189">
        <f t="shared" ref="AX83:BA83" si="231">+AX71-AW71</f>
        <v>15.176999999999992</v>
      </c>
      <c r="AY83" s="1189">
        <f t="shared" si="231"/>
        <v>30.802999999999997</v>
      </c>
      <c r="AZ83" s="1189">
        <f t="shared" si="231"/>
        <v>-16.120999999999995</v>
      </c>
      <c r="BA83" s="1189">
        <f t="shared" si="231"/>
        <v>30.912000000000006</v>
      </c>
      <c r="BB83" s="1182"/>
      <c r="BC83" s="1182"/>
    </row>
    <row r="84" spans="1:55" s="763" customFormat="1" hidden="1" outlineLevel="1" x14ac:dyDescent="0.25">
      <c r="A84" s="1185" t="str">
        <f t="shared" si="227"/>
        <v>Total Net Revenue</v>
      </c>
      <c r="B84" s="1180"/>
      <c r="C84" s="1180"/>
      <c r="D84" s="1180"/>
      <c r="E84" s="1180"/>
      <c r="F84" s="1180"/>
      <c r="G84" s="1180"/>
      <c r="H84" s="1179"/>
      <c r="I84" s="1178"/>
      <c r="J84" s="1179">
        <f t="shared" ref="J84:S84" si="232">+J72-I72</f>
        <v>80.600000000000023</v>
      </c>
      <c r="K84" s="1178">
        <f t="shared" si="232"/>
        <v>-4.9340000000000259</v>
      </c>
      <c r="L84" s="1179">
        <f t="shared" si="232"/>
        <v>123.90900000000005</v>
      </c>
      <c r="M84" s="1178">
        <f t="shared" si="232"/>
        <v>-33.730999999999995</v>
      </c>
      <c r="N84" s="1179">
        <f t="shared" si="232"/>
        <v>28.830999999999904</v>
      </c>
      <c r="O84" s="1178">
        <f t="shared" si="232"/>
        <v>24.009000000000128</v>
      </c>
      <c r="P84" s="1179">
        <f t="shared" si="232"/>
        <v>2.6909999999999172</v>
      </c>
      <c r="Q84" s="1178">
        <f t="shared" si="232"/>
        <v>-1.8589999999999236</v>
      </c>
      <c r="R84" s="1179">
        <f t="shared" si="232"/>
        <v>-77.69399999999996</v>
      </c>
      <c r="S84" s="1180">
        <f t="shared" si="232"/>
        <v>12.278999999999883</v>
      </c>
      <c r="T84" s="1179">
        <f t="shared" si="224"/>
        <v>-10.613530000000026</v>
      </c>
      <c r="U84" s="1180">
        <f t="shared" si="225"/>
        <v>-34.63946999999996</v>
      </c>
      <c r="V84" s="1179"/>
      <c r="W84" s="1180">
        <f t="shared" si="225"/>
        <v>545.6</v>
      </c>
      <c r="X84" s="1180"/>
      <c r="Y84" s="1180"/>
      <c r="Z84" s="1180"/>
      <c r="AA84" s="1180"/>
      <c r="AB84" s="1180"/>
      <c r="AC84" s="1180"/>
      <c r="AD84" s="1180"/>
      <c r="AE84" s="1180"/>
      <c r="AF84" s="1180"/>
      <c r="AG84" s="1180"/>
      <c r="AH84" s="1180"/>
      <c r="AI84" s="1180"/>
      <c r="AJ84" s="1180"/>
      <c r="AK84" s="1180"/>
      <c r="AL84" s="1180"/>
      <c r="AM84" s="1180"/>
      <c r="AN84" s="1180"/>
      <c r="AO84" s="1180"/>
      <c r="AP84" s="1180"/>
      <c r="AQ84" s="1180"/>
      <c r="AR84" s="1180"/>
      <c r="AS84" s="1180"/>
      <c r="AT84" s="1180"/>
      <c r="AU84" s="1180"/>
      <c r="AV84" s="1180"/>
      <c r="AW84" s="1180"/>
      <c r="AX84" s="1180">
        <f t="shared" ref="AX84:BA84" si="233">+AX72-AW72</f>
        <v>194.64099999999996</v>
      </c>
      <c r="AY84" s="1180">
        <f t="shared" si="233"/>
        <v>85.277999999999906</v>
      </c>
      <c r="AZ84" s="1180">
        <f t="shared" si="233"/>
        <v>79.539999999999964</v>
      </c>
      <c r="BA84" s="1180">
        <f t="shared" si="233"/>
        <v>-78.720999999999776</v>
      </c>
      <c r="BB84" s="1175"/>
      <c r="BC84" s="1175"/>
    </row>
    <row r="85" spans="1:55" hidden="1" outlineLevel="1" x14ac:dyDescent="0.25">
      <c r="E85" s="790"/>
      <c r="H85" s="791"/>
      <c r="J85" s="791"/>
      <c r="L85" s="791"/>
      <c r="N85" s="791"/>
      <c r="P85" s="791"/>
      <c r="R85" s="791"/>
      <c r="T85" s="791"/>
      <c r="V85" s="791"/>
      <c r="AR85" s="787"/>
      <c r="AS85" s="787"/>
      <c r="AT85" s="787"/>
      <c r="AU85" s="787"/>
      <c r="AV85" s="787"/>
      <c r="AW85" s="787"/>
      <c r="AX85" s="787"/>
      <c r="AY85" s="787"/>
      <c r="AZ85" s="787"/>
      <c r="BA85" s="787"/>
      <c r="BB85" s="787"/>
      <c r="BC85" s="787"/>
    </row>
    <row r="86" spans="1:55" ht="12" hidden="1" outlineLevel="1" x14ac:dyDescent="0.3">
      <c r="A86" s="1169" t="s">
        <v>201</v>
      </c>
      <c r="E86" s="790"/>
      <c r="H86" s="791"/>
      <c r="J86" s="791"/>
      <c r="L86" s="791"/>
      <c r="N86" s="791"/>
      <c r="P86" s="791"/>
      <c r="R86" s="791"/>
      <c r="T86" s="791"/>
      <c r="V86" s="791"/>
      <c r="AR86" s="787"/>
      <c r="AS86" s="787"/>
      <c r="AT86" s="787"/>
      <c r="AU86" s="787"/>
      <c r="AV86" s="787"/>
      <c r="AW86" s="787"/>
      <c r="AX86" s="787"/>
      <c r="AY86" s="787"/>
      <c r="AZ86" s="787"/>
      <c r="BA86" s="787"/>
      <c r="BB86" s="787"/>
      <c r="BC86" s="787"/>
    </row>
    <row r="87" spans="1:55" ht="12" hidden="1" outlineLevel="1" x14ac:dyDescent="0.3">
      <c r="A87" s="1184" t="str">
        <f>+A81</f>
        <v>Software</v>
      </c>
      <c r="B87" s="1186"/>
      <c r="C87" s="1186"/>
      <c r="D87" s="1186"/>
      <c r="E87" s="1186"/>
      <c r="F87" s="1186"/>
      <c r="G87" s="1186"/>
      <c r="H87" s="1187"/>
      <c r="I87" s="1188"/>
      <c r="J87" s="1187"/>
      <c r="K87" s="1188">
        <f t="shared" ref="K87:K90" si="234">+K69-I69</f>
        <v>32.581000000000017</v>
      </c>
      <c r="L87" s="1187">
        <f t="shared" ref="L87:L90" si="235">+L69-J69</f>
        <v>65.069000000000017</v>
      </c>
      <c r="M87" s="1188">
        <f t="shared" ref="M87:M90" si="236">+M69-K69</f>
        <v>51.996999999999986</v>
      </c>
      <c r="N87" s="1187">
        <f t="shared" ref="N87:N90" si="237">+N69-L69</f>
        <v>-8.938000000000045</v>
      </c>
      <c r="O87" s="1188">
        <f t="shared" ref="O87:O90" si="238">+O69-M69</f>
        <v>-12.832999999999998</v>
      </c>
      <c r="P87" s="1187">
        <f t="shared" ref="P87:P90" si="239">+P69-N69</f>
        <v>-5.6289999999999623</v>
      </c>
      <c r="Q87" s="1188">
        <f t="shared" ref="Q87:Q90" si="240">+Q69-O69</f>
        <v>-173.48500000000001</v>
      </c>
      <c r="R87" s="1187">
        <f t="shared" ref="R87:R90" si="241">+R69-P69</f>
        <v>-177.57299999999998</v>
      </c>
      <c r="S87" s="1186">
        <f>+S69-Q69</f>
        <v>17.052000000000007</v>
      </c>
      <c r="T87" s="1187">
        <f t="shared" ref="T87:T90" si="242">+T69-R69</f>
        <v>43.461960000000005</v>
      </c>
      <c r="U87" s="1186">
        <f t="shared" ref="U87:W90" si="243">+U69-S69</f>
        <v>12.480999999999995</v>
      </c>
      <c r="V87" s="1187"/>
      <c r="W87" s="1186">
        <f t="shared" si="243"/>
        <v>9.7580000000000098</v>
      </c>
      <c r="X87" s="1186"/>
      <c r="Y87" s="1186"/>
      <c r="Z87" s="1186"/>
      <c r="AA87" s="1186"/>
      <c r="AB87" s="1186"/>
      <c r="AC87" s="1186"/>
      <c r="AD87" s="1186"/>
      <c r="AE87" s="1186"/>
      <c r="AF87" s="1186"/>
      <c r="AG87" s="1186"/>
      <c r="AH87" s="1186"/>
      <c r="AI87" s="1186"/>
      <c r="AJ87" s="1186"/>
      <c r="AK87" s="1186"/>
      <c r="AL87" s="1186"/>
      <c r="AM87" s="1186"/>
      <c r="AN87" s="1186"/>
      <c r="AO87" s="1186"/>
      <c r="AP87" s="1186"/>
      <c r="AQ87" s="1186"/>
      <c r="AR87" s="1186"/>
      <c r="AS87" s="1186"/>
      <c r="AT87" s="1186"/>
      <c r="AU87" s="1186"/>
      <c r="AV87" s="1186"/>
      <c r="AW87" s="1186"/>
      <c r="AX87" s="1186">
        <f t="shared" ref="AX87:BA87" si="244">+AX81</f>
        <v>97.650000000000034</v>
      </c>
      <c r="AY87" s="1186">
        <f t="shared" si="244"/>
        <v>43.058999999999969</v>
      </c>
      <c r="AZ87" s="1186">
        <f t="shared" si="244"/>
        <v>-18.461999999999989</v>
      </c>
      <c r="BA87" s="1186">
        <f t="shared" si="244"/>
        <v>-351.05799999999999</v>
      </c>
      <c r="BB87" s="1165"/>
      <c r="BC87" s="1165"/>
    </row>
    <row r="88" spans="1:55" ht="12" hidden="1" outlineLevel="1" x14ac:dyDescent="0.3">
      <c r="A88" s="1184" t="str">
        <f t="shared" ref="A88:A90" si="245">+A82</f>
        <v>Hardware</v>
      </c>
      <c r="B88" s="1186"/>
      <c r="C88" s="1186"/>
      <c r="D88" s="1186"/>
      <c r="E88" s="1186"/>
      <c r="F88" s="1186"/>
      <c r="G88" s="1186"/>
      <c r="H88" s="1187"/>
      <c r="I88" s="1188"/>
      <c r="J88" s="1187"/>
      <c r="K88" s="1188">
        <f t="shared" si="234"/>
        <v>38.606999999999999</v>
      </c>
      <c r="L88" s="1187">
        <f t="shared" si="235"/>
        <v>43.206999999999965</v>
      </c>
      <c r="M88" s="1188">
        <f t="shared" si="236"/>
        <v>23.885999999999996</v>
      </c>
      <c r="N88" s="1187">
        <f t="shared" si="237"/>
        <v>-12.469999999999999</v>
      </c>
      <c r="O88" s="1188">
        <f t="shared" si="238"/>
        <v>70.314000000000021</v>
      </c>
      <c r="P88" s="1187">
        <f t="shared" si="239"/>
        <v>43.808999999999969</v>
      </c>
      <c r="Q88" s="1188">
        <f t="shared" si="240"/>
        <v>162.33999999999997</v>
      </c>
      <c r="R88" s="1187">
        <f t="shared" si="241"/>
        <v>79.085000000000093</v>
      </c>
      <c r="S88" s="1186">
        <f t="shared" ref="S88:S90" si="246">+S70-Q70</f>
        <v>-120.61899999999997</v>
      </c>
      <c r="T88" s="1187">
        <f t="shared" si="242"/>
        <v>-79.920360000000073</v>
      </c>
      <c r="U88" s="1186">
        <f t="shared" si="243"/>
        <v>-57.789000000000044</v>
      </c>
      <c r="V88" s="1187"/>
      <c r="W88" s="1186">
        <f t="shared" si="243"/>
        <v>51.498000000000047</v>
      </c>
      <c r="X88" s="1186"/>
      <c r="Y88" s="1186"/>
      <c r="Z88" s="1186"/>
      <c r="AA88" s="1186"/>
      <c r="AB88" s="1186"/>
      <c r="AC88" s="1186"/>
      <c r="AD88" s="1186"/>
      <c r="AE88" s="1186"/>
      <c r="AF88" s="1186"/>
      <c r="AG88" s="1186"/>
      <c r="AH88" s="1186"/>
      <c r="AI88" s="1186"/>
      <c r="AJ88" s="1186"/>
      <c r="AK88" s="1186"/>
      <c r="AL88" s="1186"/>
      <c r="AM88" s="1186"/>
      <c r="AN88" s="1186"/>
      <c r="AO88" s="1186"/>
      <c r="AP88" s="1186"/>
      <c r="AQ88" s="1186"/>
      <c r="AR88" s="1186"/>
      <c r="AS88" s="1186"/>
      <c r="AT88" s="1186"/>
      <c r="AU88" s="1186"/>
      <c r="AV88" s="1186"/>
      <c r="AW88" s="1186"/>
      <c r="AX88" s="1186">
        <f t="shared" ref="AX88:BA88" si="247">+AX82</f>
        <v>81.813999999999965</v>
      </c>
      <c r="AY88" s="1186">
        <f t="shared" si="247"/>
        <v>11.415999999999997</v>
      </c>
      <c r="AZ88" s="1186">
        <f t="shared" si="247"/>
        <v>114.12299999999999</v>
      </c>
      <c r="BA88" s="1186">
        <f t="shared" si="247"/>
        <v>241.42500000000007</v>
      </c>
      <c r="BB88" s="1165"/>
      <c r="BC88" s="1165"/>
    </row>
    <row r="89" spans="1:55" s="1181" customFormat="1" ht="13.5" hidden="1" outlineLevel="1" x14ac:dyDescent="0.45">
      <c r="A89" s="1184" t="str">
        <f t="shared" si="245"/>
        <v>Services</v>
      </c>
      <c r="B89" s="1189"/>
      <c r="C89" s="1189"/>
      <c r="D89" s="1189"/>
      <c r="E89" s="1189"/>
      <c r="F89" s="1189"/>
      <c r="G89" s="1189"/>
      <c r="H89" s="1190"/>
      <c r="I89" s="1191"/>
      <c r="J89" s="1190"/>
      <c r="K89" s="1191">
        <f t="shared" si="234"/>
        <v>4.4780000000000015</v>
      </c>
      <c r="L89" s="1190">
        <f t="shared" si="235"/>
        <v>10.698999999999991</v>
      </c>
      <c r="M89" s="1191">
        <f t="shared" si="236"/>
        <v>14.295000000000002</v>
      </c>
      <c r="N89" s="1190">
        <f t="shared" si="237"/>
        <v>16.507999999999996</v>
      </c>
      <c r="O89" s="1191">
        <f t="shared" si="238"/>
        <v>-4.6410000000000053</v>
      </c>
      <c r="P89" s="1190">
        <f t="shared" si="239"/>
        <v>-11.47999999999999</v>
      </c>
      <c r="Q89" s="1191">
        <f t="shared" si="240"/>
        <v>11.977000000000004</v>
      </c>
      <c r="R89" s="1190">
        <f t="shared" si="241"/>
        <v>18.935000000000009</v>
      </c>
      <c r="S89" s="1189">
        <f t="shared" si="246"/>
        <v>38.151999999999994</v>
      </c>
      <c r="T89" s="1190">
        <f t="shared" si="242"/>
        <v>38.123869999999968</v>
      </c>
      <c r="U89" s="1189">
        <f t="shared" si="243"/>
        <v>5.5000000000006821E-2</v>
      </c>
      <c r="V89" s="1190"/>
      <c r="W89" s="1189">
        <f t="shared" si="243"/>
        <v>17.191999999999993</v>
      </c>
      <c r="X89" s="1189"/>
      <c r="Y89" s="1189"/>
      <c r="Z89" s="1189"/>
      <c r="AA89" s="1189"/>
      <c r="AB89" s="1189"/>
      <c r="AC89" s="1189"/>
      <c r="AD89" s="1189"/>
      <c r="AE89" s="1189"/>
      <c r="AF89" s="1189"/>
      <c r="AG89" s="1189"/>
      <c r="AH89" s="1189"/>
      <c r="AI89" s="1189"/>
      <c r="AJ89" s="1189"/>
      <c r="AK89" s="1189"/>
      <c r="AL89" s="1189"/>
      <c r="AM89" s="1189"/>
      <c r="AN89" s="1189"/>
      <c r="AO89" s="1189"/>
      <c r="AP89" s="1189"/>
      <c r="AQ89" s="1189"/>
      <c r="AR89" s="1189"/>
      <c r="AS89" s="1189"/>
      <c r="AT89" s="1189"/>
      <c r="AU89" s="1189"/>
      <c r="AV89" s="1189"/>
      <c r="AW89" s="1189"/>
      <c r="AX89" s="1189">
        <f t="shared" ref="AX89:BA89" si="248">+AX83</f>
        <v>15.176999999999992</v>
      </c>
      <c r="AY89" s="1189">
        <f t="shared" si="248"/>
        <v>30.802999999999997</v>
      </c>
      <c r="AZ89" s="1189">
        <f t="shared" si="248"/>
        <v>-16.120999999999995</v>
      </c>
      <c r="BA89" s="1189">
        <f t="shared" si="248"/>
        <v>30.912000000000006</v>
      </c>
      <c r="BB89" s="1182"/>
      <c r="BC89" s="1182"/>
    </row>
    <row r="90" spans="1:55" s="763" customFormat="1" hidden="1" outlineLevel="1" x14ac:dyDescent="0.25">
      <c r="A90" s="1185" t="str">
        <f t="shared" si="245"/>
        <v>Total Net Revenue</v>
      </c>
      <c r="B90" s="1180"/>
      <c r="C90" s="1180"/>
      <c r="D90" s="1180"/>
      <c r="E90" s="1180"/>
      <c r="F90" s="1180"/>
      <c r="G90" s="1180"/>
      <c r="H90" s="1179"/>
      <c r="I90" s="1178"/>
      <c r="J90" s="1179"/>
      <c r="K90" s="1178">
        <f t="shared" si="234"/>
        <v>75.665999999999997</v>
      </c>
      <c r="L90" s="1179">
        <f t="shared" si="235"/>
        <v>118.97500000000002</v>
      </c>
      <c r="M90" s="1178">
        <f t="shared" si="236"/>
        <v>90.178000000000054</v>
      </c>
      <c r="N90" s="1179">
        <f t="shared" si="237"/>
        <v>-4.9000000000000909</v>
      </c>
      <c r="O90" s="1178">
        <f t="shared" si="238"/>
        <v>52.840000000000032</v>
      </c>
      <c r="P90" s="1179">
        <f t="shared" si="239"/>
        <v>26.700000000000045</v>
      </c>
      <c r="Q90" s="1178">
        <f t="shared" si="240"/>
        <v>0.83199999999999363</v>
      </c>
      <c r="R90" s="1179">
        <f t="shared" si="241"/>
        <v>-79.552999999999884</v>
      </c>
      <c r="S90" s="1180">
        <f t="shared" si="246"/>
        <v>-65.415000000000077</v>
      </c>
      <c r="T90" s="1179">
        <f t="shared" si="242"/>
        <v>1.665469999999857</v>
      </c>
      <c r="U90" s="1180">
        <f t="shared" si="243"/>
        <v>-45.252999999999986</v>
      </c>
      <c r="V90" s="1179"/>
      <c r="W90" s="1180">
        <f t="shared" si="243"/>
        <v>78.448000000000036</v>
      </c>
      <c r="X90" s="1180"/>
      <c r="Y90" s="1180"/>
      <c r="Z90" s="1180"/>
      <c r="AA90" s="1180"/>
      <c r="AB90" s="1180"/>
      <c r="AC90" s="1180"/>
      <c r="AD90" s="1180"/>
      <c r="AE90" s="1180"/>
      <c r="AF90" s="1180"/>
      <c r="AG90" s="1180"/>
      <c r="AH90" s="1180"/>
      <c r="AI90" s="1180"/>
      <c r="AJ90" s="1180"/>
      <c r="AK90" s="1180"/>
      <c r="AL90" s="1180"/>
      <c r="AM90" s="1180"/>
      <c r="AN90" s="1180"/>
      <c r="AO90" s="1180"/>
      <c r="AP90" s="1180"/>
      <c r="AQ90" s="1180"/>
      <c r="AR90" s="1180"/>
      <c r="AS90" s="1180"/>
      <c r="AT90" s="1180"/>
      <c r="AU90" s="1180"/>
      <c r="AV90" s="1180"/>
      <c r="AW90" s="1180"/>
      <c r="AX90" s="1180">
        <f t="shared" ref="AX90:BA90" si="249">+AX84</f>
        <v>194.64099999999996</v>
      </c>
      <c r="AY90" s="1180">
        <f t="shared" si="249"/>
        <v>85.277999999999906</v>
      </c>
      <c r="AZ90" s="1180">
        <f t="shared" si="249"/>
        <v>79.539999999999964</v>
      </c>
      <c r="BA90" s="1180">
        <f t="shared" si="249"/>
        <v>-78.720999999999776</v>
      </c>
      <c r="BB90" s="1175"/>
      <c r="BC90" s="1175"/>
    </row>
    <row r="91" spans="1:55" hidden="1" outlineLevel="1" x14ac:dyDescent="0.25">
      <c r="E91" s="790"/>
      <c r="H91" s="791"/>
      <c r="J91" s="791"/>
      <c r="L91" s="791"/>
      <c r="N91" s="791"/>
      <c r="P91" s="791"/>
      <c r="R91" s="791"/>
      <c r="T91" s="791"/>
      <c r="V91" s="791"/>
      <c r="AR91" s="787"/>
      <c r="AS91" s="787"/>
      <c r="AT91" s="787"/>
      <c r="AU91" s="787"/>
      <c r="AV91" s="787"/>
      <c r="AW91" s="787"/>
      <c r="AX91" s="787"/>
      <c r="AY91" s="787"/>
      <c r="AZ91" s="787"/>
      <c r="BA91" s="787"/>
      <c r="BB91" s="787"/>
      <c r="BC91" s="787"/>
    </row>
    <row r="92" spans="1:55" ht="12" hidden="1" outlineLevel="1" x14ac:dyDescent="0.3">
      <c r="A92" s="1169" t="s">
        <v>40</v>
      </c>
      <c r="E92" s="790"/>
      <c r="H92" s="791"/>
      <c r="J92" s="791"/>
      <c r="L92" s="791"/>
      <c r="N92" s="791"/>
      <c r="P92" s="791"/>
      <c r="R92" s="791"/>
      <c r="T92" s="791"/>
      <c r="V92" s="791"/>
      <c r="AR92" s="787"/>
      <c r="AS92" s="787"/>
      <c r="AT92" s="787"/>
      <c r="AU92" s="787"/>
      <c r="AV92" s="787"/>
      <c r="AW92" s="787"/>
      <c r="AX92" s="787"/>
      <c r="AY92" s="787"/>
      <c r="AZ92" s="787"/>
      <c r="BA92" s="787"/>
      <c r="BB92" s="787"/>
      <c r="BC92" s="787"/>
    </row>
    <row r="93" spans="1:55" ht="12" hidden="1" outlineLevel="1" x14ac:dyDescent="0.3">
      <c r="A93" s="1184" t="str">
        <f>+A69</f>
        <v>Software</v>
      </c>
      <c r="B93" s="1165"/>
      <c r="C93" s="1165"/>
      <c r="D93" s="1165"/>
      <c r="E93" s="1165"/>
      <c r="F93" s="1165"/>
      <c r="G93" s="1165"/>
      <c r="H93" s="1166"/>
      <c r="I93" s="1165">
        <f>+I69/I9</f>
        <v>0.7017465610671112</v>
      </c>
      <c r="J93" s="1166">
        <f t="shared" ref="J93:S93" si="250">+J69/J9</f>
        <v>0.64997930808714077</v>
      </c>
      <c r="K93" s="1165">
        <f t="shared" si="250"/>
        <v>0.61192916203499259</v>
      </c>
      <c r="L93" s="1166">
        <f t="shared" si="250"/>
        <v>0.59826771585155081</v>
      </c>
      <c r="M93" s="1165">
        <f t="shared" si="250"/>
        <v>0.61738451211326051</v>
      </c>
      <c r="N93" s="1166">
        <f t="shared" si="250"/>
        <v>0.48068986035106059</v>
      </c>
      <c r="O93" s="1165">
        <f t="shared" si="250"/>
        <v>0.52009713343716768</v>
      </c>
      <c r="P93" s="1166">
        <f t="shared" si="250"/>
        <v>0.40299274976257204</v>
      </c>
      <c r="Q93" s="1165">
        <f t="shared" si="250"/>
        <v>0.12062848729497286</v>
      </c>
      <c r="R93" s="1166">
        <f t="shared" si="250"/>
        <v>0.10255177332874219</v>
      </c>
      <c r="S93" s="1165">
        <f t="shared" si="250"/>
        <v>0.12169545371235065</v>
      </c>
      <c r="T93" s="1166">
        <f t="shared" ref="T93:U93" si="251">+T69/T9</f>
        <v>0.1481859588172969</v>
      </c>
      <c r="U93" s="1165">
        <f t="shared" si="251"/>
        <v>0.12494087069525665</v>
      </c>
      <c r="V93" s="1166"/>
      <c r="W93" s="1165">
        <f t="shared" ref="W93" si="252">+W69/W9</f>
        <v>0.11232498939329658</v>
      </c>
      <c r="X93" s="1165"/>
      <c r="Y93" s="1165"/>
      <c r="Z93" s="1165"/>
      <c r="AA93" s="1165"/>
      <c r="AB93" s="1165"/>
      <c r="AC93" s="1165"/>
      <c r="AD93" s="1165"/>
      <c r="AE93" s="1165"/>
      <c r="AF93" s="1165"/>
      <c r="AG93" s="1165"/>
      <c r="AH93" s="1165"/>
      <c r="AI93" s="1165"/>
      <c r="AJ93" s="1165"/>
      <c r="AK93" s="1165"/>
      <c r="AL93" s="1165"/>
      <c r="AM93" s="1165"/>
      <c r="AN93" s="1165"/>
      <c r="AO93" s="1165"/>
      <c r="AP93" s="1165"/>
      <c r="AQ93" s="1165"/>
      <c r="AR93" s="1165"/>
      <c r="AS93" s="1165"/>
      <c r="AT93" s="1165"/>
      <c r="AU93" s="1165"/>
      <c r="AV93" s="1165"/>
      <c r="AW93" s="1165">
        <f t="shared" ref="AW93:BA93" si="253">+AW69/AW9</f>
        <v>0.67199743129877298</v>
      </c>
      <c r="AX93" s="1165">
        <f t="shared" si="253"/>
        <v>0.60395384476925551</v>
      </c>
      <c r="AY93" s="1165">
        <f t="shared" si="253"/>
        <v>0.53876467416103202</v>
      </c>
      <c r="AZ93" s="1165">
        <f t="shared" si="253"/>
        <v>0.45172998869453418</v>
      </c>
      <c r="BA93" s="1165">
        <f t="shared" si="253"/>
        <v>0.10986250341489281</v>
      </c>
      <c r="BB93" s="1165"/>
      <c r="BC93" s="1165"/>
    </row>
    <row r="94" spans="1:55" ht="12" hidden="1" outlineLevel="1" x14ac:dyDescent="0.3">
      <c r="A94" s="1184" t="str">
        <f>+A70</f>
        <v>Hardware</v>
      </c>
      <c r="B94" s="1165"/>
      <c r="C94" s="1165"/>
      <c r="D94" s="1165"/>
      <c r="E94" s="1165"/>
      <c r="F94" s="1165"/>
      <c r="G94" s="1165"/>
      <c r="H94" s="1166"/>
      <c r="I94" s="1165">
        <f t="shared" ref="I94:S94" si="254">+I70/I10</f>
        <v>0.94938069216757748</v>
      </c>
      <c r="J94" s="1166">
        <f t="shared" si="254"/>
        <v>0.95336920824595428</v>
      </c>
      <c r="K94" s="1165">
        <f t="shared" si="254"/>
        <v>0.96654256663973148</v>
      </c>
      <c r="L94" s="1166">
        <f t="shared" si="254"/>
        <v>0.93914874309458229</v>
      </c>
      <c r="M94" s="1165">
        <f t="shared" si="254"/>
        <v>0.97606836082097204</v>
      </c>
      <c r="N94" s="1166">
        <f t="shared" si="254"/>
        <v>0.95479226743565082</v>
      </c>
      <c r="O94" s="1165">
        <f t="shared" si="254"/>
        <v>0.98387596160716417</v>
      </c>
      <c r="P94" s="1166">
        <f t="shared" si="254"/>
        <v>0.98129928486468232</v>
      </c>
      <c r="Q94" s="1165">
        <f t="shared" si="254"/>
        <v>0.98234002789218211</v>
      </c>
      <c r="R94" s="1166">
        <f t="shared" si="254"/>
        <v>0.98794400679950056</v>
      </c>
      <c r="S94" s="1165">
        <f t="shared" si="254"/>
        <v>0.98897423635602855</v>
      </c>
      <c r="T94" s="1166">
        <f t="shared" ref="T94:U94" si="255">+T70/T10</f>
        <v>0.94070068910980542</v>
      </c>
      <c r="U94" s="1165">
        <f t="shared" si="255"/>
        <v>0.99093613933236557</v>
      </c>
      <c r="V94" s="1166"/>
      <c r="W94" s="1165">
        <f t="shared" ref="W94" si="256">+W70/W10</f>
        <v>0.9938763012859767</v>
      </c>
      <c r="X94" s="1165"/>
      <c r="Y94" s="1165"/>
      <c r="Z94" s="1165"/>
      <c r="AA94" s="1165"/>
      <c r="AB94" s="1165"/>
      <c r="AC94" s="1165"/>
      <c r="AD94" s="1165"/>
      <c r="AE94" s="1165"/>
      <c r="AF94" s="1165"/>
      <c r="AG94" s="1165"/>
      <c r="AH94" s="1165"/>
      <c r="AI94" s="1165"/>
      <c r="AJ94" s="1165"/>
      <c r="AK94" s="1165"/>
      <c r="AL94" s="1165"/>
      <c r="AM94" s="1165"/>
      <c r="AN94" s="1165"/>
      <c r="AO94" s="1165"/>
      <c r="AP94" s="1165"/>
      <c r="AQ94" s="1165"/>
      <c r="AR94" s="1165"/>
      <c r="AS94" s="1165"/>
      <c r="AT94" s="1165"/>
      <c r="AU94" s="1165"/>
      <c r="AV94" s="1165"/>
      <c r="AW94" s="1165">
        <f t="shared" ref="AW94:BA94" si="257">+AW70/AW10</f>
        <v>0.95159685671219518</v>
      </c>
      <c r="AX94" s="1165">
        <f t="shared" si="257"/>
        <v>0.95134787878252691</v>
      </c>
      <c r="AY94" s="1165">
        <f t="shared" si="257"/>
        <v>0.96520160507269293</v>
      </c>
      <c r="AZ94" s="1165">
        <f t="shared" si="257"/>
        <v>0.98263656510184449</v>
      </c>
      <c r="BA94" s="1165">
        <f t="shared" si="257"/>
        <v>0.984765026701932</v>
      </c>
      <c r="BB94" s="1165"/>
      <c r="BC94" s="1165"/>
    </row>
    <row r="95" spans="1:55" s="1181" customFormat="1" ht="13.5" hidden="1" outlineLevel="1" x14ac:dyDescent="0.45">
      <c r="A95" s="1184" t="str">
        <f>+A71</f>
        <v>Services</v>
      </c>
      <c r="B95" s="1182"/>
      <c r="C95" s="1182"/>
      <c r="D95" s="1182"/>
      <c r="E95" s="1182"/>
      <c r="F95" s="1182"/>
      <c r="G95" s="1182"/>
      <c r="H95" s="1183"/>
      <c r="I95" s="1182">
        <f t="shared" ref="I95:S95" si="258">+I71/I11</f>
        <v>0.49255131964809379</v>
      </c>
      <c r="J95" s="1183">
        <f t="shared" si="258"/>
        <v>0.43071463918023489</v>
      </c>
      <c r="K95" s="1182">
        <f t="shared" si="258"/>
        <v>0.49007492083108056</v>
      </c>
      <c r="L95" s="1183">
        <f t="shared" si="258"/>
        <v>0.49080501121598169</v>
      </c>
      <c r="M95" s="1182">
        <f t="shared" si="258"/>
        <v>0.55811350919264591</v>
      </c>
      <c r="N95" s="1183">
        <f t="shared" si="258"/>
        <v>0.48457881638659672</v>
      </c>
      <c r="O95" s="1182">
        <f t="shared" si="258"/>
        <v>0.4140048926904592</v>
      </c>
      <c r="P95" s="1183">
        <f t="shared" si="258"/>
        <v>0.348177945727772</v>
      </c>
      <c r="Q95" s="1182">
        <f t="shared" si="258"/>
        <v>0.40742914468610736</v>
      </c>
      <c r="R95" s="1183">
        <f t="shared" si="258"/>
        <v>0.37939403091326823</v>
      </c>
      <c r="S95" s="1182">
        <f t="shared" si="258"/>
        <v>0.50783658387220654</v>
      </c>
      <c r="T95" s="1183">
        <f t="shared" ref="T95:U95" si="259">+T71/T11</f>
        <v>0.5183172063819721</v>
      </c>
      <c r="U95" s="1182">
        <f t="shared" si="259"/>
        <v>0.44829670329670329</v>
      </c>
      <c r="V95" s="1183"/>
      <c r="W95" s="1182">
        <f t="shared" ref="W95" si="260">+W71/W11</f>
        <v>0.48422381152713506</v>
      </c>
      <c r="X95" s="1182"/>
      <c r="Y95" s="1182"/>
      <c r="Z95" s="1182"/>
      <c r="AA95" s="1182"/>
      <c r="AB95" s="1182"/>
      <c r="AC95" s="1182"/>
      <c r="AD95" s="1182"/>
      <c r="AE95" s="1182"/>
      <c r="AF95" s="1182"/>
      <c r="AG95" s="1182"/>
      <c r="AH95" s="1182"/>
      <c r="AI95" s="1182"/>
      <c r="AJ95" s="1182"/>
      <c r="AK95" s="1182"/>
      <c r="AL95" s="1182"/>
      <c r="AM95" s="1182"/>
      <c r="AN95" s="1182"/>
      <c r="AO95" s="1182"/>
      <c r="AP95" s="1182"/>
      <c r="AQ95" s="1182"/>
      <c r="AR95" s="1182"/>
      <c r="AS95" s="1182"/>
      <c r="AT95" s="1182"/>
      <c r="AU95" s="1182"/>
      <c r="AV95" s="1182"/>
      <c r="AW95" s="1182">
        <f t="shared" ref="AW95:BA95" si="261">+AW71/AW11</f>
        <v>0.45851534164614938</v>
      </c>
      <c r="AX95" s="1182">
        <f t="shared" si="261"/>
        <v>0.49047563737731575</v>
      </c>
      <c r="AY95" s="1182">
        <f t="shared" si="261"/>
        <v>0.51543284409741785</v>
      </c>
      <c r="AZ95" s="1182">
        <f t="shared" si="261"/>
        <v>0.37703708492908944</v>
      </c>
      <c r="BA95" s="1182">
        <f t="shared" si="261"/>
        <v>0.39176931674062299</v>
      </c>
      <c r="BB95" s="1182"/>
      <c r="BC95" s="1182"/>
    </row>
    <row r="96" spans="1:55" s="763" customFormat="1" hidden="1" outlineLevel="1" x14ac:dyDescent="0.25">
      <c r="A96" s="1185" t="str">
        <f>+A72</f>
        <v>Total Net Revenue</v>
      </c>
      <c r="B96" s="1175"/>
      <c r="C96" s="1175"/>
      <c r="D96" s="1175"/>
      <c r="E96" s="1175"/>
      <c r="F96" s="1175"/>
      <c r="G96" s="1175"/>
      <c r="H96" s="1176"/>
      <c r="I96" s="1175">
        <f t="shared" ref="I96:S96" si="262">+I72/I12</f>
        <v>0.75783417935702191</v>
      </c>
      <c r="J96" s="1176">
        <f t="shared" si="262"/>
        <v>0.72089153875844847</v>
      </c>
      <c r="K96" s="1175">
        <f t="shared" si="262"/>
        <v>0.71405300811509864</v>
      </c>
      <c r="L96" s="1176">
        <f t="shared" si="262"/>
        <v>0.69189317233612968</v>
      </c>
      <c r="M96" s="1175">
        <f t="shared" si="262"/>
        <v>0.72025856027439039</v>
      </c>
      <c r="N96" s="1176">
        <f t="shared" si="262"/>
        <v>0.60206604686712328</v>
      </c>
      <c r="O96" s="1175">
        <f t="shared" si="262"/>
        <v>0.66258314041083322</v>
      </c>
      <c r="P96" s="1176">
        <f t="shared" si="262"/>
        <v>0.54296175432549287</v>
      </c>
      <c r="Q96" s="1175">
        <f t="shared" si="262"/>
        <v>0.49883410843611692</v>
      </c>
      <c r="R96" s="1176">
        <f t="shared" si="262"/>
        <v>0.3706844668973226</v>
      </c>
      <c r="S96" s="1175">
        <f t="shared" si="262"/>
        <v>0.42182694397428894</v>
      </c>
      <c r="T96" s="1176">
        <f t="shared" ref="T96:U96" si="263">+T72/T12</f>
        <v>0.37217376760772297</v>
      </c>
      <c r="U96" s="1175">
        <f t="shared" si="263"/>
        <v>0.36972853185595567</v>
      </c>
      <c r="V96" s="1176"/>
      <c r="W96" s="1175">
        <f t="shared" ref="W96" si="264">+W72/W12</f>
        <v>0.36201977307411581</v>
      </c>
      <c r="X96" s="1175"/>
      <c r="Y96" s="1175"/>
      <c r="Z96" s="1175"/>
      <c r="AA96" s="1175"/>
      <c r="AB96" s="1175"/>
      <c r="AC96" s="1175"/>
      <c r="AD96" s="1175"/>
      <c r="AE96" s="1175"/>
      <c r="AF96" s="1175"/>
      <c r="AG96" s="1175"/>
      <c r="AH96" s="1175"/>
      <c r="AI96" s="1175"/>
      <c r="AJ96" s="1175"/>
      <c r="AK96" s="1175"/>
      <c r="AL96" s="1175"/>
      <c r="AM96" s="1175"/>
      <c r="AN96" s="1175"/>
      <c r="AO96" s="1175"/>
      <c r="AP96" s="1175"/>
      <c r="AQ96" s="1175"/>
      <c r="AR96" s="1175"/>
      <c r="AS96" s="1175"/>
      <c r="AT96" s="1175"/>
      <c r="AU96" s="1175"/>
      <c r="AV96" s="1175"/>
      <c r="AW96" s="1175">
        <f t="shared" ref="AW96:BA96" si="265">+AW72/AW12</f>
        <v>0.73701045967469059</v>
      </c>
      <c r="AX96" s="1175">
        <f t="shared" si="265"/>
        <v>0.70141733330316025</v>
      </c>
      <c r="AY96" s="1175">
        <f t="shared" si="265"/>
        <v>0.65431471803697139</v>
      </c>
      <c r="AZ96" s="1175">
        <f t="shared" si="265"/>
        <v>0.59669992364994529</v>
      </c>
      <c r="BA96" s="1175">
        <f t="shared" si="265"/>
        <v>0.42988239056891292</v>
      </c>
      <c r="BB96" s="1175"/>
      <c r="BC96" s="1175"/>
    </row>
    <row r="97" spans="1:56" hidden="1" outlineLevel="1" x14ac:dyDescent="0.25">
      <c r="E97" s="790"/>
      <c r="H97" s="791"/>
      <c r="J97" s="791"/>
      <c r="L97" s="791"/>
      <c r="N97" s="791"/>
      <c r="P97" s="791"/>
      <c r="R97" s="791"/>
      <c r="T97" s="791"/>
      <c r="V97" s="791"/>
      <c r="AR97" s="787"/>
      <c r="AS97" s="787"/>
      <c r="AT97" s="787"/>
      <c r="AU97" s="787"/>
      <c r="AV97" s="787"/>
      <c r="AW97" s="787"/>
      <c r="AX97" s="787"/>
      <c r="AY97" s="787"/>
      <c r="AZ97" s="787"/>
      <c r="BA97" s="787"/>
      <c r="BB97" s="787"/>
      <c r="BC97" s="787"/>
    </row>
    <row r="98" spans="1:56" ht="12" hidden="1" outlineLevel="1" x14ac:dyDescent="0.3">
      <c r="A98" s="1169" t="s">
        <v>202</v>
      </c>
      <c r="E98" s="790"/>
      <c r="H98" s="791"/>
      <c r="J98" s="791"/>
      <c r="L98" s="791"/>
      <c r="N98" s="791"/>
      <c r="P98" s="791"/>
      <c r="R98" s="791"/>
      <c r="T98" s="791"/>
      <c r="V98" s="791"/>
      <c r="AR98" s="787"/>
      <c r="AS98" s="787"/>
      <c r="AT98" s="787"/>
      <c r="AU98" s="787"/>
      <c r="AV98" s="787"/>
      <c r="AW98" s="787"/>
      <c r="AX98" s="787"/>
      <c r="AY98" s="787"/>
      <c r="AZ98" s="787"/>
      <c r="BA98" s="787"/>
      <c r="BB98" s="787"/>
      <c r="BC98" s="787"/>
    </row>
    <row r="99" spans="1:56" ht="12" hidden="1" outlineLevel="1" x14ac:dyDescent="0.3">
      <c r="A99" s="1184" t="str">
        <f>+A75</f>
        <v>Software</v>
      </c>
      <c r="B99" s="1165"/>
      <c r="C99" s="1165"/>
      <c r="D99" s="1165"/>
      <c r="E99" s="1165"/>
      <c r="F99" s="1165"/>
      <c r="G99" s="1165"/>
      <c r="H99" s="1166"/>
      <c r="I99" s="1165">
        <f t="shared" ref="I99:S99" si="266">+I69/I72</f>
        <v>0.46984962489952664</v>
      </c>
      <c r="J99" s="1166">
        <f t="shared" si="266"/>
        <v>0.47951716092813007</v>
      </c>
      <c r="K99" s="1165">
        <f t="shared" si="266"/>
        <v>0.46300435513975624</v>
      </c>
      <c r="L99" s="1166">
        <f t="shared" si="266"/>
        <v>0.49389025218730226</v>
      </c>
      <c r="M99" s="1165">
        <f t="shared" si="266"/>
        <v>0.48254882208841776</v>
      </c>
      <c r="N99" s="1166">
        <f t="shared" si="266"/>
        <v>0.48210329867861168</v>
      </c>
      <c r="O99" s="1165">
        <f t="shared" si="266"/>
        <v>0.4161161064008263</v>
      </c>
      <c r="P99" s="1166">
        <f t="shared" si="266"/>
        <v>0.45018708630121157</v>
      </c>
      <c r="Q99" s="1165">
        <f t="shared" si="266"/>
        <v>0.11527638364888718</v>
      </c>
      <c r="R99" s="1166">
        <f t="shared" si="266"/>
        <v>0.16673998152465577</v>
      </c>
      <c r="S99" s="1165">
        <f t="shared" si="266"/>
        <v>0.16327124052263348</v>
      </c>
      <c r="T99" s="1166">
        <f t="shared" ref="T99:U99" si="267">+T69/T72</f>
        <v>0.25280015222259561</v>
      </c>
      <c r="U99" s="1165">
        <f t="shared" si="267"/>
        <v>0.20580453471247045</v>
      </c>
      <c r="V99" s="1166"/>
      <c r="W99" s="1165">
        <f t="shared" ref="W99" si="268">+W69/W72</f>
        <v>0.19409824046920821</v>
      </c>
      <c r="X99" s="1165"/>
      <c r="Y99" s="1165"/>
      <c r="Z99" s="1165"/>
      <c r="AA99" s="1165"/>
      <c r="AB99" s="1165"/>
      <c r="AC99" s="1165"/>
      <c r="AD99" s="1165"/>
      <c r="AE99" s="1165"/>
      <c r="AF99" s="1165"/>
      <c r="AG99" s="1165"/>
      <c r="AH99" s="1165"/>
      <c r="AI99" s="1165"/>
      <c r="AJ99" s="1165"/>
      <c r="AK99" s="1165"/>
      <c r="AL99" s="1165"/>
      <c r="AM99" s="1165"/>
      <c r="AN99" s="1165"/>
      <c r="AO99" s="1165"/>
      <c r="AP99" s="1165"/>
      <c r="AQ99" s="1165"/>
      <c r="AR99" s="1165"/>
      <c r="AS99" s="1165"/>
      <c r="AT99" s="1165"/>
      <c r="AU99" s="1165"/>
      <c r="AV99" s="1165"/>
      <c r="AW99" s="1165">
        <f>+AW69/AW72</f>
        <v>0.4751721006312028</v>
      </c>
      <c r="AX99" s="1165">
        <f>+AX69/AX72</f>
        <v>0.48037654925296086</v>
      </c>
      <c r="AY99" s="1165">
        <f>+AY69/AY72</f>
        <v>0.48232009781576363</v>
      </c>
      <c r="AZ99" s="1165">
        <f>+AZ69/AZ72</f>
        <v>0.43319122962788775</v>
      </c>
      <c r="BA99" s="1165">
        <f>+BA69/BA72</f>
        <v>0.13915353830340293</v>
      </c>
      <c r="BB99" s="1165"/>
      <c r="BC99" s="1165"/>
    </row>
    <row r="100" spans="1:56" ht="12" hidden="1" outlineLevel="1" x14ac:dyDescent="0.3">
      <c r="A100" s="1184" t="str">
        <f>+A76</f>
        <v>Hardware</v>
      </c>
      <c r="B100" s="1165"/>
      <c r="C100" s="1165"/>
      <c r="D100" s="1165"/>
      <c r="E100" s="1165"/>
      <c r="F100" s="1165"/>
      <c r="G100" s="1165"/>
      <c r="H100" s="1166"/>
      <c r="I100" s="1165">
        <f t="shared" ref="I100:S100" si="269">+I70/I72</f>
        <v>0.43639758417433244</v>
      </c>
      <c r="J100" s="1166">
        <f t="shared" si="269"/>
        <v>0.43917576508758188</v>
      </c>
      <c r="K100" s="1165">
        <f t="shared" si="269"/>
        <v>0.44927068691384198</v>
      </c>
      <c r="L100" s="1166">
        <f t="shared" si="269"/>
        <v>0.42296447796027453</v>
      </c>
      <c r="M100" s="1165">
        <f t="shared" si="269"/>
        <v>0.41754618924425924</v>
      </c>
      <c r="N100" s="1166">
        <f t="shared" si="269"/>
        <v>0.40416182169666481</v>
      </c>
      <c r="O100" s="1165">
        <f t="shared" si="269"/>
        <v>0.50117160148911244</v>
      </c>
      <c r="P100" s="1166">
        <f t="shared" si="269"/>
        <v>0.46112072371088131</v>
      </c>
      <c r="Q100" s="1165">
        <f t="shared" si="269"/>
        <v>0.78140251289328844</v>
      </c>
      <c r="R100" s="1166">
        <f t="shared" si="269"/>
        <v>0.69259946493483637</v>
      </c>
      <c r="S100" s="1165">
        <f t="shared" si="269"/>
        <v>0.64576067758901656</v>
      </c>
      <c r="T100" s="1166">
        <f t="shared" ref="T100:U100" si="270">+T70/T72</f>
        <v>0.53103062911770904</v>
      </c>
      <c r="U100" s="1165">
        <f t="shared" si="270"/>
        <v>0.58461057642908509</v>
      </c>
      <c r="V100" s="1166"/>
      <c r="W100" s="1165">
        <f t="shared" ref="W100" si="271">+W70/W72</f>
        <v>0.59494134897360706</v>
      </c>
      <c r="X100" s="1165"/>
      <c r="Y100" s="1165"/>
      <c r="Z100" s="1165"/>
      <c r="AA100" s="1165"/>
      <c r="AB100" s="1165"/>
      <c r="AC100" s="1165"/>
      <c r="AD100" s="1165"/>
      <c r="AE100" s="1165"/>
      <c r="AF100" s="1165"/>
      <c r="AG100" s="1165"/>
      <c r="AH100" s="1165"/>
      <c r="AI100" s="1165"/>
      <c r="AJ100" s="1165"/>
      <c r="AK100" s="1165"/>
      <c r="AL100" s="1165"/>
      <c r="AM100" s="1165"/>
      <c r="AN100" s="1165"/>
      <c r="AO100" s="1165"/>
      <c r="AP100" s="1165"/>
      <c r="AQ100" s="1165"/>
      <c r="AR100" s="1165"/>
      <c r="AS100" s="1165"/>
      <c r="AT100" s="1165"/>
      <c r="AU100" s="1165"/>
      <c r="AV100" s="1165"/>
      <c r="AW100" s="1165">
        <f>+AW70/AW72</f>
        <v>0.43792711563356113</v>
      </c>
      <c r="AX100" s="1165">
        <f>+AX70/AX72</f>
        <v>0.43447440084125705</v>
      </c>
      <c r="AY100" s="1165">
        <f>+AY70/AY72</f>
        <v>0.41067487863548124</v>
      </c>
      <c r="AZ100" s="1165">
        <f>+AZ70/AZ72</f>
        <v>0.48109957317015184</v>
      </c>
      <c r="BA100" s="1165">
        <f>+BA70/BA72</f>
        <v>0.74020127167780203</v>
      </c>
      <c r="BB100" s="1165"/>
      <c r="BC100" s="1165"/>
    </row>
    <row r="101" spans="1:56" s="1181" customFormat="1" ht="13.5" hidden="1" outlineLevel="1" x14ac:dyDescent="0.45">
      <c r="A101" s="1184" t="str">
        <f>+A77</f>
        <v>Services</v>
      </c>
      <c r="B101" s="1182"/>
      <c r="C101" s="1182"/>
      <c r="D101" s="1182"/>
      <c r="E101" s="1182"/>
      <c r="F101" s="1182"/>
      <c r="G101" s="1182"/>
      <c r="H101" s="1183"/>
      <c r="I101" s="1182">
        <f t="shared" ref="I101:S101" si="272">+I71/I72</f>
        <v>9.375279092614093E-2</v>
      </c>
      <c r="J101" s="1183">
        <f t="shared" si="272"/>
        <v>8.1307073984288158E-2</v>
      </c>
      <c r="K101" s="1182">
        <f t="shared" si="272"/>
        <v>8.7724957946401838E-2</v>
      </c>
      <c r="L101" s="1183">
        <f t="shared" si="272"/>
        <v>8.3145269852423195E-2</v>
      </c>
      <c r="M101" s="1182">
        <f t="shared" si="272"/>
        <v>9.9904988667322975E-2</v>
      </c>
      <c r="N101" s="1183">
        <f t="shared" si="272"/>
        <v>0.11373487962472355</v>
      </c>
      <c r="O101" s="1182">
        <f t="shared" si="272"/>
        <v>8.2712292110061203E-2</v>
      </c>
      <c r="P101" s="1183">
        <f t="shared" si="272"/>
        <v>8.8692189987907108E-2</v>
      </c>
      <c r="Q101" s="1182">
        <f t="shared" si="272"/>
        <v>0.10332110345782423</v>
      </c>
      <c r="R101" s="1183">
        <f t="shared" si="272"/>
        <v>0.1406605535405078</v>
      </c>
      <c r="S101" s="1182">
        <f t="shared" si="272"/>
        <v>0.19096808188835004</v>
      </c>
      <c r="T101" s="1183">
        <f t="shared" ref="T101:U101" si="273">+T71/T72</f>
        <v>0.21616921865969541</v>
      </c>
      <c r="U101" s="1182">
        <f t="shared" si="273"/>
        <v>0.20958488885844437</v>
      </c>
      <c r="V101" s="1183"/>
      <c r="W101" s="1182">
        <f t="shared" ref="W101" si="274">+W71/W72</f>
        <v>0.21096041055718473</v>
      </c>
      <c r="X101" s="1182"/>
      <c r="Y101" s="1182"/>
      <c r="Z101" s="1182"/>
      <c r="AA101" s="1182"/>
      <c r="AB101" s="1182"/>
      <c r="AC101" s="1182"/>
      <c r="AD101" s="1182"/>
      <c r="AE101" s="1182"/>
      <c r="AF101" s="1182"/>
      <c r="AG101" s="1182"/>
      <c r="AH101" s="1182"/>
      <c r="AI101" s="1182"/>
      <c r="AJ101" s="1182"/>
      <c r="AK101" s="1182"/>
      <c r="AL101" s="1182"/>
      <c r="AM101" s="1182"/>
      <c r="AN101" s="1182"/>
      <c r="AO101" s="1182"/>
      <c r="AP101" s="1182"/>
      <c r="AQ101" s="1182"/>
      <c r="AR101" s="1182"/>
      <c r="AS101" s="1182"/>
      <c r="AT101" s="1182"/>
      <c r="AU101" s="1182"/>
      <c r="AV101" s="1182"/>
      <c r="AW101" s="1182">
        <f>+AW71/AW72</f>
        <v>8.6900783735235979E-2</v>
      </c>
      <c r="AX101" s="1182">
        <f>+AX71/AX72</f>
        <v>8.5149049905782023E-2</v>
      </c>
      <c r="AY101" s="1182">
        <f>+AY71/AY72</f>
        <v>0.10700502354875516</v>
      </c>
      <c r="AZ101" s="1182">
        <f>+AZ71/AZ72</f>
        <v>8.5709197201960463E-2</v>
      </c>
      <c r="BA101" s="1182">
        <f>+BA71/BA72</f>
        <v>0.12064519001879499</v>
      </c>
      <c r="BB101" s="1182"/>
      <c r="BC101" s="1182"/>
    </row>
    <row r="102" spans="1:56" s="763" customFormat="1" hidden="1" outlineLevel="1" x14ac:dyDescent="0.25">
      <c r="A102" s="1185" t="str">
        <f>+A78</f>
        <v>Total Net Revenue</v>
      </c>
      <c r="B102" s="1175"/>
      <c r="C102" s="1175"/>
      <c r="D102" s="1175"/>
      <c r="E102" s="1175"/>
      <c r="F102" s="1175"/>
      <c r="G102" s="1175"/>
      <c r="H102" s="1176"/>
      <c r="I102" s="1175">
        <f t="shared" ref="I102" si="275">SUM(I99:I101)</f>
        <v>1</v>
      </c>
      <c r="J102" s="1176">
        <f t="shared" ref="J102" si="276">SUM(J99:J101)</f>
        <v>1</v>
      </c>
      <c r="K102" s="1175">
        <f t="shared" ref="K102" si="277">SUM(K99:K101)</f>
        <v>1</v>
      </c>
      <c r="L102" s="1176">
        <f t="shared" ref="L102" si="278">SUM(L99:L101)</f>
        <v>1</v>
      </c>
      <c r="M102" s="1175">
        <f t="shared" ref="M102" si="279">SUM(M99:M101)</f>
        <v>1</v>
      </c>
      <c r="N102" s="1176">
        <f t="shared" ref="N102" si="280">SUM(N99:N101)</f>
        <v>1</v>
      </c>
      <c r="O102" s="1175">
        <f t="shared" ref="O102" si="281">SUM(O99:O101)</f>
        <v>1</v>
      </c>
      <c r="P102" s="1176">
        <f t="shared" ref="P102" si="282">SUM(P99:P101)</f>
        <v>0.99999999999999989</v>
      </c>
      <c r="Q102" s="1175">
        <f t="shared" ref="Q102" si="283">SUM(Q99:Q101)</f>
        <v>0.99999999999999978</v>
      </c>
      <c r="R102" s="1176">
        <f t="shared" ref="R102" si="284">SUM(R99:R101)</f>
        <v>0.99999999999999989</v>
      </c>
      <c r="S102" s="1175">
        <f>SUM(S99:S101)</f>
        <v>1.0000000000000002</v>
      </c>
      <c r="T102" s="1176">
        <f t="shared" ref="T102:U102" si="285">SUM(T99:T101)</f>
        <v>1</v>
      </c>
      <c r="U102" s="1175">
        <f t="shared" si="285"/>
        <v>1</v>
      </c>
      <c r="V102" s="1176"/>
      <c r="W102" s="1175">
        <f t="shared" ref="W102" si="286">SUM(W99:W101)</f>
        <v>1</v>
      </c>
      <c r="X102" s="1175"/>
      <c r="Y102" s="1175"/>
      <c r="Z102" s="1175"/>
      <c r="AA102" s="1175"/>
      <c r="AB102" s="1175"/>
      <c r="AC102" s="1175"/>
      <c r="AD102" s="1175"/>
      <c r="AE102" s="1175"/>
      <c r="AF102" s="1175"/>
      <c r="AG102" s="1175"/>
      <c r="AH102" s="1175"/>
      <c r="AI102" s="1175"/>
      <c r="AJ102" s="1175"/>
      <c r="AK102" s="1175"/>
      <c r="AL102" s="1175"/>
      <c r="AM102" s="1175"/>
      <c r="AN102" s="1175"/>
      <c r="AO102" s="1175"/>
      <c r="AP102" s="1175"/>
      <c r="AQ102" s="1175"/>
      <c r="AR102" s="1175"/>
      <c r="AS102" s="1175"/>
      <c r="AT102" s="1175"/>
      <c r="AU102" s="1175"/>
      <c r="AV102" s="1175"/>
      <c r="AW102" s="1175">
        <f t="shared" ref="AW102" si="287">SUM(AW99:AW101)</f>
        <v>1</v>
      </c>
      <c r="AX102" s="1175">
        <f t="shared" ref="AX102" si="288">SUM(AX99:AX101)</f>
        <v>0.99999999999999989</v>
      </c>
      <c r="AY102" s="1175">
        <f t="shared" ref="AY102" si="289">SUM(AY99:AY101)</f>
        <v>1</v>
      </c>
      <c r="AZ102" s="1175">
        <f t="shared" ref="AZ102" si="290">SUM(AZ99:AZ101)</f>
        <v>1</v>
      </c>
      <c r="BA102" s="1175">
        <f t="shared" ref="BA102" si="291">SUM(BA99:BA101)</f>
        <v>1</v>
      </c>
      <c r="BB102" s="1175"/>
      <c r="BC102" s="1175"/>
    </row>
    <row r="103" spans="1:56" hidden="1" outlineLevel="1" x14ac:dyDescent="0.25">
      <c r="E103" s="790"/>
      <c r="H103" s="791"/>
      <c r="J103" s="791"/>
      <c r="L103" s="791"/>
      <c r="N103" s="791"/>
      <c r="P103" s="791"/>
      <c r="R103" s="791"/>
      <c r="S103" s="817"/>
      <c r="T103" s="1404"/>
      <c r="U103" s="817"/>
      <c r="V103" s="1404"/>
      <c r="W103" s="817"/>
      <c r="AR103" s="787"/>
      <c r="AS103" s="787"/>
      <c r="AT103" s="787"/>
      <c r="AU103" s="787"/>
      <c r="AV103" s="787"/>
      <c r="AW103" s="787"/>
      <c r="AX103" s="787"/>
      <c r="AY103" s="787"/>
      <c r="AZ103" s="787"/>
      <c r="BA103" s="787"/>
      <c r="BB103" s="787"/>
      <c r="BC103" s="787"/>
    </row>
    <row r="104" spans="1:56" hidden="1" outlineLevel="1" x14ac:dyDescent="0.25">
      <c r="E104" s="790"/>
      <c r="H104" s="791"/>
      <c r="I104" s="817"/>
      <c r="J104" s="791"/>
      <c r="L104" s="791"/>
      <c r="N104" s="791"/>
      <c r="P104" s="791"/>
      <c r="R104" s="791"/>
      <c r="T104" s="791"/>
      <c r="V104" s="791"/>
      <c r="AR104" s="787"/>
      <c r="AS104" s="787"/>
      <c r="AT104" s="787"/>
      <c r="AU104" s="787"/>
      <c r="AV104" s="787"/>
      <c r="AW104" s="787"/>
      <c r="AX104" s="787"/>
      <c r="AY104" s="787"/>
      <c r="AZ104" s="787"/>
      <c r="BA104" s="787"/>
      <c r="BB104" s="787"/>
      <c r="BC104" s="787"/>
    </row>
    <row r="105" spans="1:56" hidden="1" outlineLevel="1" x14ac:dyDescent="0.25">
      <c r="A105" s="792" t="s">
        <v>207</v>
      </c>
      <c r="E105" s="790"/>
      <c r="H105" s="791"/>
      <c r="J105" s="791"/>
      <c r="L105" s="791"/>
      <c r="N105" s="791"/>
      <c r="P105" s="791"/>
      <c r="R105" s="791"/>
      <c r="T105" s="791"/>
      <c r="V105" s="791"/>
    </row>
    <row r="106" spans="1:56" hidden="1" outlineLevel="1" x14ac:dyDescent="0.25">
      <c r="A106" s="783" t="s">
        <v>208</v>
      </c>
      <c r="C106" s="793">
        <f>C269+C380+C382</f>
        <v>18.285999999999984</v>
      </c>
      <c r="D106" s="793">
        <f>D269+D380+D382</f>
        <v>23.443000000000026</v>
      </c>
      <c r="E106" s="794">
        <f>E269+E380+E382</f>
        <v>16.409000000000013</v>
      </c>
      <c r="F106" s="793">
        <f>AU106-E106</f>
        <v>27.903999999999968</v>
      </c>
      <c r="G106" s="793">
        <f t="shared" ref="G106:S106" si="292">G269+G380+G382</f>
        <v>21.888999999999999</v>
      </c>
      <c r="H106" s="795">
        <f t="shared" si="292"/>
        <v>30.271000000000004</v>
      </c>
      <c r="I106" s="793">
        <f t="shared" si="292"/>
        <v>25.009</v>
      </c>
      <c r="J106" s="795">
        <f t="shared" si="292"/>
        <v>44.772000000000034</v>
      </c>
      <c r="K106" s="793">
        <f t="shared" si="292"/>
        <v>34.621000000000031</v>
      </c>
      <c r="L106" s="795">
        <f t="shared" si="292"/>
        <v>51.385000000000005</v>
      </c>
      <c r="M106" s="793">
        <f t="shared" si="292"/>
        <v>41.129000000000026</v>
      </c>
      <c r="N106" s="795">
        <f t="shared" si="292"/>
        <v>54.21799999999989</v>
      </c>
      <c r="O106" s="793">
        <f t="shared" si="292"/>
        <v>58.413000000000046</v>
      </c>
      <c r="P106" s="795">
        <f t="shared" si="292"/>
        <v>63.631999999999891</v>
      </c>
      <c r="Q106" s="793">
        <f t="shared" si="292"/>
        <v>65.393000000000072</v>
      </c>
      <c r="R106" s="795">
        <f t="shared" si="292"/>
        <v>73.682999999999865</v>
      </c>
      <c r="S106" s="793">
        <f t="shared" si="292"/>
        <v>64.988999999999976</v>
      </c>
      <c r="T106" s="795">
        <f t="shared" ref="T106:U106" si="293">T269+T380+T382</f>
        <v>79.902000000000044</v>
      </c>
      <c r="U106" s="793">
        <f t="shared" si="293"/>
        <v>68.728000000000023</v>
      </c>
      <c r="V106" s="795">
        <f t="shared" ref="V106:W106" si="294">V269+V380+V382</f>
        <v>89.530999999999963</v>
      </c>
      <c r="W106" s="793">
        <f t="shared" si="294"/>
        <v>76.231000000000009</v>
      </c>
      <c r="X106" s="793"/>
      <c r="Y106" s="793"/>
      <c r="Z106" s="793"/>
      <c r="AA106" s="793"/>
      <c r="AB106" s="793"/>
      <c r="AC106" s="793"/>
      <c r="AD106" s="793"/>
      <c r="AE106" s="793">
        <f t="shared" ref="AE106:BA106" si="295">AE269+AE380+AE382</f>
        <v>0.61737200000000025</v>
      </c>
      <c r="AF106" s="793">
        <f t="shared" si="295"/>
        <v>0.95842800000000095</v>
      </c>
      <c r="AG106" s="793">
        <f t="shared" si="295"/>
        <v>1.4531979999999993</v>
      </c>
      <c r="AH106" s="793">
        <f t="shared" si="295"/>
        <v>1.8009720000000016</v>
      </c>
      <c r="AI106" s="793">
        <f t="shared" si="295"/>
        <v>2.1799620000000024</v>
      </c>
      <c r="AJ106" s="793">
        <f t="shared" si="295"/>
        <v>1.3630510000000049</v>
      </c>
      <c r="AK106" s="793">
        <f t="shared" si="295"/>
        <v>1.4858449999999956</v>
      </c>
      <c r="AL106" s="793">
        <f t="shared" si="295"/>
        <v>3.4250610000000075</v>
      </c>
      <c r="AM106" s="793">
        <f t="shared" si="295"/>
        <v>5.8375779999999988</v>
      </c>
      <c r="AN106" s="793">
        <f t="shared" si="295"/>
        <v>7.6738030000000093</v>
      </c>
      <c r="AO106" s="793">
        <f t="shared" si="295"/>
        <v>10.305215999999991</v>
      </c>
      <c r="AP106" s="793">
        <f t="shared" si="295"/>
        <v>16.527078999999986</v>
      </c>
      <c r="AQ106" s="793">
        <f t="shared" si="295"/>
        <v>22.764682000000001</v>
      </c>
      <c r="AR106" s="793">
        <f t="shared" si="295"/>
        <v>28.533999999999967</v>
      </c>
      <c r="AS106" s="793">
        <f t="shared" si="295"/>
        <v>37.306000000000012</v>
      </c>
      <c r="AT106" s="793">
        <f t="shared" si="295"/>
        <v>41.728999999999921</v>
      </c>
      <c r="AU106" s="793">
        <f t="shared" si="295"/>
        <v>44.312999999999981</v>
      </c>
      <c r="AV106" s="793">
        <f t="shared" si="295"/>
        <v>52.16</v>
      </c>
      <c r="AW106" s="793">
        <f t="shared" si="295"/>
        <v>69.781000000000006</v>
      </c>
      <c r="AX106" s="793">
        <f t="shared" si="295"/>
        <v>86.006000000000043</v>
      </c>
      <c r="AY106" s="793">
        <f t="shared" si="295"/>
        <v>95.346999999999923</v>
      </c>
      <c r="AZ106" s="793">
        <f t="shared" si="295"/>
        <v>122.04499999999993</v>
      </c>
      <c r="BA106" s="793">
        <f t="shared" si="295"/>
        <v>139.07599999999991</v>
      </c>
      <c r="BB106" s="793"/>
      <c r="BC106" s="793"/>
    </row>
    <row r="107" spans="1:56" hidden="1" outlineLevel="1" x14ac:dyDescent="0.25">
      <c r="A107" s="783" t="s">
        <v>209</v>
      </c>
      <c r="C107" s="793">
        <f>C220+C380+C382</f>
        <v>18.345189999999985</v>
      </c>
      <c r="D107" s="793">
        <f>D220+D380+D382</f>
        <v>24.388294000000027</v>
      </c>
      <c r="E107" s="794">
        <f>E220+E380+E382</f>
        <v>20.587812000000014</v>
      </c>
      <c r="F107" s="793">
        <f>AU107-E107</f>
        <v>28.286187999999967</v>
      </c>
      <c r="G107" s="793">
        <f t="shared" ref="G107:S107" si="296">G220+G380+G382</f>
        <v>22.324999999999999</v>
      </c>
      <c r="H107" s="795">
        <f t="shared" si="296"/>
        <v>31.137000000000004</v>
      </c>
      <c r="I107" s="793">
        <f t="shared" si="296"/>
        <v>26.337</v>
      </c>
      <c r="J107" s="795">
        <f t="shared" si="296"/>
        <v>45.929000000000009</v>
      </c>
      <c r="K107" s="793">
        <f t="shared" si="296"/>
        <v>35.519000000000034</v>
      </c>
      <c r="L107" s="795">
        <f t="shared" si="296"/>
        <v>52.219000000000008</v>
      </c>
      <c r="M107" s="793">
        <f t="shared" si="296"/>
        <v>42.100000000000023</v>
      </c>
      <c r="N107" s="795">
        <f t="shared" si="296"/>
        <v>55.204999999999892</v>
      </c>
      <c r="O107" s="793">
        <f t="shared" si="296"/>
        <v>59.526000000000046</v>
      </c>
      <c r="P107" s="795">
        <f t="shared" si="296"/>
        <v>64.785999999999888</v>
      </c>
      <c r="Q107" s="793">
        <f t="shared" si="296"/>
        <v>66.809000000000069</v>
      </c>
      <c r="R107" s="795">
        <f t="shared" si="296"/>
        <v>74.807999999999865</v>
      </c>
      <c r="S107" s="793">
        <f t="shared" si="296"/>
        <v>66.57999999999997</v>
      </c>
      <c r="T107" s="795">
        <f>T220+T380+T382</f>
        <v>81.641000000000048</v>
      </c>
      <c r="U107" s="793">
        <f t="shared" ref="U107:V107" si="297">U220+U380+U382</f>
        <v>70.427000000000021</v>
      </c>
      <c r="V107" s="795">
        <f t="shared" si="297"/>
        <v>91.44399999999996</v>
      </c>
      <c r="W107" s="793">
        <f t="shared" ref="W107" si="298">W220+W380+W382</f>
        <v>77.88300000000001</v>
      </c>
      <c r="X107" s="793"/>
      <c r="Y107" s="793"/>
      <c r="Z107" s="793"/>
      <c r="AA107" s="793"/>
      <c r="AB107" s="793"/>
      <c r="AC107" s="793"/>
      <c r="AD107" s="793"/>
      <c r="AE107" s="793">
        <f t="shared" ref="AE107:BA107" si="299">AE220+AE380+AE382</f>
        <v>0.61737200000000025</v>
      </c>
      <c r="AF107" s="793">
        <f t="shared" si="299"/>
        <v>0.95842800000000095</v>
      </c>
      <c r="AG107" s="793">
        <f t="shared" si="299"/>
        <v>1.4531979999999993</v>
      </c>
      <c r="AH107" s="793">
        <f t="shared" si="299"/>
        <v>1.8009720000000016</v>
      </c>
      <c r="AI107" s="793">
        <f t="shared" si="299"/>
        <v>2.1799620000000024</v>
      </c>
      <c r="AJ107" s="793">
        <f t="shared" si="299"/>
        <v>1.3630510000000049</v>
      </c>
      <c r="AK107" s="793">
        <f t="shared" si="299"/>
        <v>1.8294199999999956</v>
      </c>
      <c r="AL107" s="793">
        <f t="shared" si="299"/>
        <v>3.7500610000000076</v>
      </c>
      <c r="AM107" s="793">
        <f t="shared" si="299"/>
        <v>5.9053359999999993</v>
      </c>
      <c r="AN107" s="793">
        <f t="shared" si="299"/>
        <v>7.6738030000000093</v>
      </c>
      <c r="AO107" s="793">
        <f t="shared" si="299"/>
        <v>10.305215999999991</v>
      </c>
      <c r="AP107" s="793">
        <f t="shared" si="299"/>
        <v>16.683115999999988</v>
      </c>
      <c r="AQ107" s="793">
        <f t="shared" si="299"/>
        <v>23.680479999999999</v>
      </c>
      <c r="AR107" s="793">
        <f t="shared" si="299"/>
        <v>29.268890999999968</v>
      </c>
      <c r="AS107" s="793">
        <f t="shared" si="299"/>
        <v>37.306241000000014</v>
      </c>
      <c r="AT107" s="793">
        <f t="shared" si="299"/>
        <v>42.733483999999926</v>
      </c>
      <c r="AU107" s="793">
        <f t="shared" si="299"/>
        <v>48.873999999999981</v>
      </c>
      <c r="AV107" s="793">
        <f t="shared" si="299"/>
        <v>53.461999999999996</v>
      </c>
      <c r="AW107" s="793">
        <f t="shared" si="299"/>
        <v>72.266000000000005</v>
      </c>
      <c r="AX107" s="793">
        <f t="shared" si="299"/>
        <v>87.738000000000042</v>
      </c>
      <c r="AY107" s="793">
        <f t="shared" si="299"/>
        <v>97.304999999999922</v>
      </c>
      <c r="AZ107" s="793">
        <f t="shared" si="299"/>
        <v>124.31199999999993</v>
      </c>
      <c r="BA107" s="793">
        <f t="shared" si="299"/>
        <v>141.6169999999999</v>
      </c>
      <c r="BB107" s="793"/>
      <c r="BC107" s="793"/>
    </row>
    <row r="108" spans="1:56" hidden="1" outlineLevel="1" x14ac:dyDescent="0.25">
      <c r="A108" s="783"/>
      <c r="E108" s="790"/>
      <c r="H108" s="791"/>
      <c r="J108" s="791"/>
      <c r="L108" s="791"/>
      <c r="N108" s="791"/>
      <c r="P108" s="791"/>
      <c r="R108" s="791"/>
      <c r="T108" s="791"/>
      <c r="V108" s="791"/>
    </row>
    <row r="109" spans="1:56" ht="12" hidden="1" outlineLevel="1" x14ac:dyDescent="0.3">
      <c r="A109" s="796" t="s">
        <v>210</v>
      </c>
      <c r="E109" s="790"/>
      <c r="H109" s="791"/>
      <c r="J109" s="791"/>
      <c r="L109" s="791"/>
      <c r="N109" s="791"/>
      <c r="P109" s="791"/>
      <c r="R109" s="791"/>
      <c r="T109" s="791"/>
      <c r="V109" s="791"/>
    </row>
    <row r="110" spans="1:56" s="798" customFormat="1" ht="12" hidden="1" outlineLevel="1" x14ac:dyDescent="0.3">
      <c r="A110" s="797" t="str">
        <f>A106</f>
        <v>EBITDA (GAAP)</v>
      </c>
      <c r="C110" s="1165"/>
      <c r="D110" s="1166"/>
      <c r="E110" s="1165">
        <f t="shared" ref="E110:J111" si="300">E106/C106-1</f>
        <v>-0.1026468336432228</v>
      </c>
      <c r="F110" s="1165">
        <f t="shared" si="300"/>
        <v>0.19029134496437905</v>
      </c>
      <c r="G110" s="1165">
        <f t="shared" si="300"/>
        <v>0.33396306904747286</v>
      </c>
      <c r="H110" s="1166">
        <f t="shared" si="300"/>
        <v>8.4826548165139126E-2</v>
      </c>
      <c r="I110" s="1165">
        <f t="shared" si="300"/>
        <v>0.14253734752615466</v>
      </c>
      <c r="J110" s="1166">
        <f t="shared" si="300"/>
        <v>0.47903934458722963</v>
      </c>
      <c r="K110" s="1165">
        <f t="shared" ref="K110:S110" si="301">K106/I106-1</f>
        <v>0.38434163701067736</v>
      </c>
      <c r="L110" s="1166">
        <f t="shared" si="301"/>
        <v>0.14770392209416516</v>
      </c>
      <c r="M110" s="1165">
        <f t="shared" si="301"/>
        <v>0.18797839461598431</v>
      </c>
      <c r="N110" s="1166">
        <f t="shared" si="301"/>
        <v>5.5132820862117127E-2</v>
      </c>
      <c r="O110" s="1165">
        <f t="shared" si="301"/>
        <v>0.42023876097157742</v>
      </c>
      <c r="P110" s="1166">
        <f t="shared" si="301"/>
        <v>0.173632373012653</v>
      </c>
      <c r="Q110" s="1165">
        <f t="shared" si="301"/>
        <v>0.11949394826494131</v>
      </c>
      <c r="R110" s="1166">
        <f t="shared" si="301"/>
        <v>0.15795511692230302</v>
      </c>
      <c r="S110" s="1165">
        <f t="shared" si="301"/>
        <v>-6.17803128775396E-3</v>
      </c>
      <c r="T110" s="1166">
        <f t="shared" ref="T110:T111" si="302">T106/R106-1</f>
        <v>8.4402100891660004E-2</v>
      </c>
      <c r="U110" s="1165">
        <f t="shared" ref="U110:U111" si="303">U106/S106-1</f>
        <v>5.7532813245319225E-2</v>
      </c>
      <c r="V110" s="1166">
        <f t="shared" ref="V110:V111" si="304">V106/T106-1</f>
        <v>0.12051012490300517</v>
      </c>
      <c r="W110" s="1165">
        <f t="shared" ref="W110:W111" si="305">W106/U106-1</f>
        <v>0.10916947968804536</v>
      </c>
      <c r="X110" s="1165"/>
      <c r="Y110" s="1165"/>
      <c r="Z110" s="1165"/>
      <c r="AA110" s="1165"/>
      <c r="AB110" s="1165"/>
      <c r="AC110" s="1165"/>
      <c r="AD110" s="1165"/>
      <c r="AE110" s="1165"/>
      <c r="AF110" s="1165">
        <f t="shared" ref="AF110:AW110" si="306">AF106/AE106-1</f>
        <v>0.55243192111077355</v>
      </c>
      <c r="AG110" s="1165">
        <f t="shared" si="306"/>
        <v>0.51623074451080098</v>
      </c>
      <c r="AH110" s="1165">
        <f t="shared" si="306"/>
        <v>0.23931632165747718</v>
      </c>
      <c r="AI110" s="1165">
        <f t="shared" si="306"/>
        <v>0.21043636436324409</v>
      </c>
      <c r="AJ110" s="1165">
        <f t="shared" si="306"/>
        <v>-0.37473634861524951</v>
      </c>
      <c r="AK110" s="1165">
        <f t="shared" si="306"/>
        <v>9.0087604939206534E-2</v>
      </c>
      <c r="AL110" s="1165">
        <f t="shared" si="306"/>
        <v>1.3051267124094488</v>
      </c>
      <c r="AM110" s="1165">
        <f t="shared" si="306"/>
        <v>0.70437198052822603</v>
      </c>
      <c r="AN110" s="1165">
        <f t="shared" si="306"/>
        <v>0.31455254216731854</v>
      </c>
      <c r="AO110" s="1165">
        <f t="shared" si="306"/>
        <v>0.3429085943436363</v>
      </c>
      <c r="AP110" s="1165">
        <f t="shared" si="306"/>
        <v>0.60375862087703935</v>
      </c>
      <c r="AQ110" s="1165">
        <f t="shared" si="306"/>
        <v>0.37741714673234261</v>
      </c>
      <c r="AR110" s="1165">
        <f t="shared" si="306"/>
        <v>0.253432839518688</v>
      </c>
      <c r="AS110" s="1165">
        <f t="shared" si="306"/>
        <v>0.30742272376813817</v>
      </c>
      <c r="AT110" s="1165">
        <f t="shared" si="306"/>
        <v>0.11856001715541487</v>
      </c>
      <c r="AU110" s="1165">
        <f t="shared" si="306"/>
        <v>6.1923362649477953E-2</v>
      </c>
      <c r="AV110" s="1165">
        <f t="shared" si="306"/>
        <v>0.1770812177013521</v>
      </c>
      <c r="AW110" s="1165">
        <f t="shared" si="306"/>
        <v>0.33782592024539904</v>
      </c>
      <c r="AX110" s="1165">
        <f t="shared" ref="AX110:BA110" si="307">AX106/AW106-1</f>
        <v>0.23251314827818503</v>
      </c>
      <c r="AY110" s="1165">
        <f t="shared" si="307"/>
        <v>0.10860870171848336</v>
      </c>
      <c r="AZ110" s="1165">
        <f t="shared" si="307"/>
        <v>0.2800088099258502</v>
      </c>
      <c r="BA110" s="1165">
        <f t="shared" si="307"/>
        <v>0.13954688844278729</v>
      </c>
      <c r="BB110" s="776"/>
      <c r="BC110" s="776"/>
      <c r="BD110" s="776"/>
    </row>
    <row r="111" spans="1:56" s="798" customFormat="1" ht="12" hidden="1" outlineLevel="1" x14ac:dyDescent="0.3">
      <c r="A111" s="797" t="str">
        <f>A107</f>
        <v xml:space="preserve">Adj. EBITDA </v>
      </c>
      <c r="C111" s="1165"/>
      <c r="D111" s="1166"/>
      <c r="E111" s="1165">
        <f t="shared" si="300"/>
        <v>0.12224577668587955</v>
      </c>
      <c r="F111" s="1165">
        <f t="shared" si="300"/>
        <v>0.15982643148388886</v>
      </c>
      <c r="G111" s="1165">
        <f t="shared" si="300"/>
        <v>8.4379437698381077E-2</v>
      </c>
      <c r="H111" s="1166">
        <f t="shared" si="300"/>
        <v>0.10078459494082548</v>
      </c>
      <c r="I111" s="1165">
        <f t="shared" si="300"/>
        <v>0.17970884658454644</v>
      </c>
      <c r="J111" s="1166">
        <f t="shared" si="300"/>
        <v>0.4750618235539712</v>
      </c>
      <c r="K111" s="1165">
        <f t="shared" ref="K111:S111" si="308">K107/I107-1</f>
        <v>0.34863500018984839</v>
      </c>
      <c r="L111" s="1166">
        <f t="shared" si="308"/>
        <v>0.13695051057066343</v>
      </c>
      <c r="M111" s="1165">
        <f t="shared" si="308"/>
        <v>0.18528111714856799</v>
      </c>
      <c r="N111" s="1166">
        <f t="shared" si="308"/>
        <v>5.7182251670845563E-2</v>
      </c>
      <c r="O111" s="1165">
        <f t="shared" si="308"/>
        <v>0.41391923990498847</v>
      </c>
      <c r="P111" s="1166">
        <f t="shared" si="308"/>
        <v>0.17355312018838909</v>
      </c>
      <c r="Q111" s="1165">
        <f t="shared" si="308"/>
        <v>0.12234989752377134</v>
      </c>
      <c r="R111" s="1166">
        <f t="shared" si="308"/>
        <v>0.1546939153520821</v>
      </c>
      <c r="S111" s="1165">
        <f t="shared" si="308"/>
        <v>-3.4276818991467728E-3</v>
      </c>
      <c r="T111" s="1166">
        <f t="shared" si="302"/>
        <v>9.1340498342425969E-2</v>
      </c>
      <c r="U111" s="1165">
        <f t="shared" si="303"/>
        <v>5.7780114148393791E-2</v>
      </c>
      <c r="V111" s="1166">
        <f t="shared" si="304"/>
        <v>0.12007447238519742</v>
      </c>
      <c r="W111" s="1165">
        <f t="shared" si="305"/>
        <v>0.10586848793786463</v>
      </c>
      <c r="X111" s="1165"/>
      <c r="Y111" s="1165"/>
      <c r="Z111" s="1165"/>
      <c r="AA111" s="1165"/>
      <c r="AB111" s="1165"/>
      <c r="AC111" s="1165"/>
      <c r="AD111" s="1165"/>
      <c r="AE111" s="1165"/>
      <c r="AF111" s="1165">
        <f t="shared" ref="AF111:AW111" si="309">AF107/AE107-1</f>
        <v>0.55243192111077355</v>
      </c>
      <c r="AG111" s="1165">
        <f t="shared" si="309"/>
        <v>0.51623074451080098</v>
      </c>
      <c r="AH111" s="1165">
        <f t="shared" si="309"/>
        <v>0.23931632165747718</v>
      </c>
      <c r="AI111" s="1165">
        <f t="shared" si="309"/>
        <v>0.21043636436324409</v>
      </c>
      <c r="AJ111" s="1165">
        <f t="shared" si="309"/>
        <v>-0.37473634861524951</v>
      </c>
      <c r="AK111" s="1165">
        <f t="shared" si="309"/>
        <v>0.34215080726985936</v>
      </c>
      <c r="AL111" s="1165">
        <f t="shared" si="309"/>
        <v>1.0498633446666248</v>
      </c>
      <c r="AM111" s="1165">
        <f t="shared" si="309"/>
        <v>0.57473065104807297</v>
      </c>
      <c r="AN111" s="1165">
        <f t="shared" si="309"/>
        <v>0.29946932740152477</v>
      </c>
      <c r="AO111" s="1165">
        <f t="shared" si="309"/>
        <v>0.3429085943436363</v>
      </c>
      <c r="AP111" s="1165">
        <f t="shared" si="309"/>
        <v>0.61890017637670103</v>
      </c>
      <c r="AQ111" s="1165">
        <f t="shared" si="309"/>
        <v>0.41942788145811716</v>
      </c>
      <c r="AR111" s="1165">
        <f t="shared" si="309"/>
        <v>0.23599230252089343</v>
      </c>
      <c r="AS111" s="1165">
        <f t="shared" si="309"/>
        <v>0.27460384474423893</v>
      </c>
      <c r="AT111" s="1165">
        <f t="shared" si="309"/>
        <v>0.14547815203359438</v>
      </c>
      <c r="AU111" s="1165">
        <f t="shared" si="309"/>
        <v>0.14369331552746933</v>
      </c>
      <c r="AV111" s="1165">
        <f t="shared" si="309"/>
        <v>9.3874043458689993E-2</v>
      </c>
      <c r="AW111" s="1165">
        <f t="shared" si="309"/>
        <v>0.35172645991545415</v>
      </c>
      <c r="AX111" s="1165">
        <f t="shared" ref="AX111:BA111" si="310">AX107/AW107-1</f>
        <v>0.21409791603243611</v>
      </c>
      <c r="AY111" s="1165">
        <f t="shared" si="310"/>
        <v>0.10904055255419398</v>
      </c>
      <c r="AZ111" s="1165">
        <f t="shared" si="310"/>
        <v>0.27754997173834872</v>
      </c>
      <c r="BA111" s="1165">
        <f t="shared" si="310"/>
        <v>0.13920619087457364</v>
      </c>
      <c r="BB111" s="776"/>
      <c r="BC111" s="776"/>
      <c r="BD111" s="776"/>
    </row>
    <row r="112" spans="1:56" ht="12" hidden="1" outlineLevel="1" x14ac:dyDescent="0.3">
      <c r="A112" s="799"/>
      <c r="C112" s="776"/>
      <c r="D112" s="776"/>
      <c r="E112" s="778"/>
      <c r="F112" s="776"/>
      <c r="G112" s="776"/>
      <c r="H112" s="779"/>
      <c r="I112" s="776"/>
      <c r="J112" s="779"/>
      <c r="K112" s="776"/>
      <c r="L112" s="779"/>
      <c r="M112" s="776"/>
      <c r="N112" s="779"/>
      <c r="O112" s="776"/>
      <c r="P112" s="779"/>
      <c r="Q112" s="776"/>
      <c r="R112" s="779"/>
      <c r="S112" s="776"/>
      <c r="T112" s="779"/>
      <c r="U112" s="776"/>
      <c r="V112" s="779"/>
      <c r="W112" s="776"/>
      <c r="X112" s="776"/>
      <c r="Y112" s="776"/>
      <c r="Z112" s="776"/>
      <c r="AA112" s="776"/>
      <c r="AB112" s="776"/>
      <c r="AC112" s="776"/>
      <c r="AD112" s="776"/>
      <c r="AE112" s="776"/>
      <c r="AF112" s="776"/>
      <c r="AG112" s="776"/>
      <c r="AH112" s="776"/>
      <c r="AI112" s="776"/>
      <c r="AJ112" s="776"/>
      <c r="AK112" s="776"/>
      <c r="AL112" s="776"/>
      <c r="AM112" s="776"/>
      <c r="AN112" s="776"/>
      <c r="AO112" s="776"/>
      <c r="AP112" s="776"/>
      <c r="AQ112" s="776"/>
      <c r="AR112" s="776"/>
      <c r="AS112" s="776"/>
      <c r="AT112" s="776"/>
      <c r="AU112" s="776"/>
      <c r="AV112" s="776"/>
      <c r="AW112" s="776"/>
      <c r="AX112" s="776"/>
      <c r="AY112" s="776"/>
      <c r="AZ112" s="776"/>
      <c r="BA112" s="776"/>
      <c r="BB112" s="776"/>
      <c r="BC112" s="776"/>
      <c r="BD112" s="800"/>
    </row>
    <row r="113" spans="1:56" s="798" customFormat="1" ht="12" hidden="1" outlineLevel="1" x14ac:dyDescent="0.3">
      <c r="A113" s="796" t="s">
        <v>43</v>
      </c>
      <c r="C113" s="776"/>
      <c r="D113" s="776"/>
      <c r="E113" s="778"/>
      <c r="F113" s="776"/>
      <c r="G113" s="776"/>
      <c r="H113" s="779"/>
      <c r="I113" s="776"/>
      <c r="J113" s="779"/>
      <c r="K113" s="776"/>
      <c r="L113" s="779"/>
      <c r="M113" s="776"/>
      <c r="N113" s="779"/>
      <c r="O113" s="776"/>
      <c r="P113" s="779"/>
      <c r="Q113" s="776"/>
      <c r="R113" s="779"/>
      <c r="S113" s="776"/>
      <c r="T113" s="779"/>
      <c r="U113" s="776"/>
      <c r="V113" s="779"/>
      <c r="W113" s="776"/>
      <c r="X113" s="776"/>
      <c r="Y113" s="776"/>
      <c r="Z113" s="776"/>
      <c r="AA113" s="776"/>
      <c r="AB113" s="776"/>
      <c r="AC113" s="776"/>
      <c r="AD113" s="776"/>
      <c r="AE113" s="776"/>
      <c r="AF113" s="776"/>
      <c r="AG113" s="776"/>
      <c r="AH113" s="776"/>
      <c r="AI113" s="776"/>
      <c r="AJ113" s="776"/>
      <c r="AK113" s="776"/>
      <c r="AL113" s="776"/>
      <c r="AM113" s="776"/>
      <c r="AN113" s="776"/>
      <c r="AO113" s="776"/>
      <c r="AP113" s="776"/>
      <c r="AQ113" s="776"/>
      <c r="AR113" s="776"/>
      <c r="AS113" s="776"/>
      <c r="AT113" s="776"/>
      <c r="AU113" s="776"/>
      <c r="AV113" s="776"/>
      <c r="AW113" s="776"/>
      <c r="AX113" s="776"/>
      <c r="AY113" s="776"/>
      <c r="AZ113" s="776"/>
      <c r="BA113" s="776"/>
      <c r="BB113" s="776"/>
      <c r="BC113" s="776"/>
      <c r="BD113" s="776"/>
    </row>
    <row r="114" spans="1:56" s="798" customFormat="1" ht="12" hidden="1" outlineLevel="1" x14ac:dyDescent="0.3">
      <c r="A114" s="797" t="str">
        <f>A110</f>
        <v>EBITDA (GAAP)</v>
      </c>
      <c r="C114" s="1165">
        <f t="shared" ref="C114:S114" si="311">C106/C$255</f>
        <v>6.879091114287858E-2</v>
      </c>
      <c r="D114" s="1166">
        <f t="shared" si="311"/>
        <v>7.0982607853111529E-2</v>
      </c>
      <c r="E114" s="1165">
        <f t="shared" si="311"/>
        <v>5.5890677847754235E-2</v>
      </c>
      <c r="F114" s="1165">
        <f t="shared" si="311"/>
        <v>7.3671982257894092E-2</v>
      </c>
      <c r="G114" s="1165">
        <f t="shared" si="311"/>
        <v>5.7830911492734477E-2</v>
      </c>
      <c r="H114" s="1166">
        <f t="shared" si="311"/>
        <v>6.6679736373729023E-2</v>
      </c>
      <c r="I114" s="1165">
        <f t="shared" si="311"/>
        <v>5.2890705794523762E-2</v>
      </c>
      <c r="J114" s="1166">
        <f t="shared" si="311"/>
        <v>7.3537165241814334E-2</v>
      </c>
      <c r="K114" s="1165">
        <f t="shared" si="311"/>
        <v>5.6965295282975448E-2</v>
      </c>
      <c r="L114" s="1166">
        <f t="shared" si="311"/>
        <v>6.3728748815589084E-2</v>
      </c>
      <c r="M114" s="1165">
        <f t="shared" si="311"/>
        <v>5.6517461338258322E-2</v>
      </c>
      <c r="N114" s="1166">
        <f t="shared" si="311"/>
        <v>5.9030843719276194E-2</v>
      </c>
      <c r="O114" s="1165">
        <f t="shared" si="311"/>
        <v>6.7078464336897861E-2</v>
      </c>
      <c r="P114" s="1166">
        <f t="shared" si="311"/>
        <v>5.9601507646886813E-2</v>
      </c>
      <c r="Q114" s="1165">
        <f t="shared" si="311"/>
        <v>5.6454014836736399E-2</v>
      </c>
      <c r="R114" s="1166">
        <f t="shared" si="311"/>
        <v>5.4612524792543006E-2</v>
      </c>
      <c r="S114" s="1165">
        <f t="shared" si="311"/>
        <v>5.3500866037499741E-2</v>
      </c>
      <c r="T114" s="1166">
        <f t="shared" ref="T114:U114" si="312">T106/T$255</f>
        <v>5.9262522695717211E-2</v>
      </c>
      <c r="U114" s="1165">
        <f t="shared" si="312"/>
        <v>5.4394934705184028E-2</v>
      </c>
      <c r="V114" s="1166">
        <f t="shared" ref="V114:W114" si="313">V106/V$255</f>
        <v>5.6354881349531045E-2</v>
      </c>
      <c r="W114" s="1165">
        <f t="shared" si="313"/>
        <v>5.0581248755888791E-2</v>
      </c>
      <c r="X114" s="1165"/>
      <c r="Y114" s="1165"/>
      <c r="Z114" s="1165"/>
      <c r="AA114" s="1165"/>
      <c r="AB114" s="1165"/>
      <c r="AC114" s="1165"/>
      <c r="AD114" s="1165"/>
      <c r="AE114" s="1165">
        <f t="shared" ref="AE114:BA114" si="314">AE106/AE$255</f>
        <v>3.361281399924497E-2</v>
      </c>
      <c r="AF114" s="1165">
        <f t="shared" si="314"/>
        <v>3.0074018708480411E-2</v>
      </c>
      <c r="AG114" s="1165">
        <f t="shared" si="314"/>
        <v>3.7639284256891815E-2</v>
      </c>
      <c r="AH114" s="1165">
        <f t="shared" si="314"/>
        <v>4.5620744472717738E-2</v>
      </c>
      <c r="AI114" s="1165">
        <f t="shared" si="314"/>
        <v>4.2633390764249747E-2</v>
      </c>
      <c r="AJ114" s="1165">
        <f t="shared" si="314"/>
        <v>2.3869223404384691E-2</v>
      </c>
      <c r="AK114" s="1165">
        <f t="shared" si="314"/>
        <v>2.2085193200421932E-2</v>
      </c>
      <c r="AL114" s="1165">
        <f t="shared" si="314"/>
        <v>3.8422320347777698E-2</v>
      </c>
      <c r="AM114" s="1165">
        <f t="shared" si="314"/>
        <v>5.6721825455453158E-2</v>
      </c>
      <c r="AN114" s="1165">
        <f t="shared" si="314"/>
        <v>6.7841171236369624E-2</v>
      </c>
      <c r="AO114" s="1165">
        <f t="shared" si="314"/>
        <v>7.0704061362675971E-2</v>
      </c>
      <c r="AP114" s="1165">
        <f t="shared" si="314"/>
        <v>7.5387587827579608E-2</v>
      </c>
      <c r="AQ114" s="1165">
        <f t="shared" si="314"/>
        <v>7.4870154378429143E-2</v>
      </c>
      <c r="AR114" s="1165">
        <f t="shared" si="314"/>
        <v>7.2099980796248117E-2</v>
      </c>
      <c r="AS114" s="1165">
        <f t="shared" si="314"/>
        <v>7.3902974859200846E-2</v>
      </c>
      <c r="AT114" s="1165">
        <f t="shared" si="314"/>
        <v>7.0005234161628099E-2</v>
      </c>
      <c r="AU114" s="1165">
        <f t="shared" si="314"/>
        <v>6.5907539365599191E-2</v>
      </c>
      <c r="AV114" s="1165">
        <f t="shared" si="314"/>
        <v>6.2656460967042887E-2</v>
      </c>
      <c r="AW114" s="1165">
        <f t="shared" si="314"/>
        <v>6.4511804806975825E-2</v>
      </c>
      <c r="AX114" s="1165">
        <f t="shared" si="314"/>
        <v>6.0821858133719577E-2</v>
      </c>
      <c r="AY114" s="1165">
        <f t="shared" si="314"/>
        <v>5.7919767511789289E-2</v>
      </c>
      <c r="AZ114" s="1165">
        <f t="shared" si="314"/>
        <v>6.2960421782464207E-2</v>
      </c>
      <c r="BA114" s="1165">
        <f t="shared" si="314"/>
        <v>5.5463189576066045E-2</v>
      </c>
      <c r="BB114" s="776"/>
      <c r="BC114" s="776"/>
      <c r="BD114" s="776"/>
    </row>
    <row r="115" spans="1:56" s="798" customFormat="1" ht="12" hidden="1" outlineLevel="1" x14ac:dyDescent="0.3">
      <c r="A115" s="797" t="str">
        <f>A111</f>
        <v xml:space="preserve">Adj. EBITDA </v>
      </c>
      <c r="C115" s="1165">
        <f t="shared" ref="C115:S115" si="315">C107/C$255</f>
        <v>6.9013580618463563E-2</v>
      </c>
      <c r="D115" s="1166">
        <f t="shared" si="315"/>
        <v>7.3844845335852616E-2</v>
      </c>
      <c r="E115" s="1165">
        <f t="shared" si="315"/>
        <v>7.012412505832949E-2</v>
      </c>
      <c r="F115" s="1165">
        <f t="shared" si="315"/>
        <v>7.4681032844017239E-2</v>
      </c>
      <c r="G115" s="1165">
        <f t="shared" si="315"/>
        <v>5.8982826948480845E-2</v>
      </c>
      <c r="H115" s="1166">
        <f t="shared" si="315"/>
        <v>6.8587326202266208E-2</v>
      </c>
      <c r="I115" s="1165">
        <f t="shared" si="315"/>
        <v>5.5699249010771015E-2</v>
      </c>
      <c r="J115" s="1166">
        <f t="shared" si="315"/>
        <v>7.5437515911535982E-2</v>
      </c>
      <c r="K115" s="1165">
        <f t="shared" si="315"/>
        <v>5.8442861938014644E-2</v>
      </c>
      <c r="L115" s="1166">
        <f t="shared" si="315"/>
        <v>6.4763093011603518E-2</v>
      </c>
      <c r="M115" s="1165">
        <f t="shared" si="315"/>
        <v>5.7851762073978824E-2</v>
      </c>
      <c r="N115" s="1166">
        <f t="shared" si="315"/>
        <v>6.0105458104737219E-2</v>
      </c>
      <c r="O115" s="1165">
        <f t="shared" si="315"/>
        <v>6.8356575901223737E-2</v>
      </c>
      <c r="P115" s="1166">
        <f t="shared" si="315"/>
        <v>6.0682412534749958E-2</v>
      </c>
      <c r="Q115" s="1165">
        <f t="shared" si="315"/>
        <v>5.7676452788945634E-2</v>
      </c>
      <c r="R115" s="1166">
        <f t="shared" si="315"/>
        <v>5.5446354717920789E-2</v>
      </c>
      <c r="S115" s="1165">
        <f t="shared" si="315"/>
        <v>5.4810624271441823E-2</v>
      </c>
      <c r="T115" s="1166">
        <f t="shared" ref="T115:U115" si="316">T107/T$255</f>
        <v>6.0552321786701821E-2</v>
      </c>
      <c r="U115" s="1165">
        <f t="shared" si="316"/>
        <v>5.5739612188365664E-2</v>
      </c>
      <c r="V115" s="1166">
        <f t="shared" ref="V115:W115" si="317">V107/V$255</f>
        <v>5.7559010511739138E-2</v>
      </c>
      <c r="W115" s="1165">
        <f t="shared" si="317"/>
        <v>5.1677393669962178E-2</v>
      </c>
      <c r="X115" s="1165"/>
      <c r="Y115" s="1165"/>
      <c r="Z115" s="1165"/>
      <c r="AA115" s="1165"/>
      <c r="AB115" s="1165"/>
      <c r="AC115" s="1165"/>
      <c r="AD115" s="1165"/>
      <c r="AE115" s="1165">
        <f t="shared" ref="AE115:BA115" si="318">AE107/AE$255</f>
        <v>3.361281399924497E-2</v>
      </c>
      <c r="AF115" s="1165">
        <f t="shared" si="318"/>
        <v>3.0074018708480411E-2</v>
      </c>
      <c r="AG115" s="1165">
        <f t="shared" si="318"/>
        <v>3.7639284256891815E-2</v>
      </c>
      <c r="AH115" s="1165">
        <f t="shared" si="318"/>
        <v>4.5620744472717738E-2</v>
      </c>
      <c r="AI115" s="1165">
        <f t="shared" si="318"/>
        <v>4.2633390764249747E-2</v>
      </c>
      <c r="AJ115" s="1165">
        <f t="shared" si="318"/>
        <v>2.3869223404384691E-2</v>
      </c>
      <c r="AK115" s="1165">
        <f t="shared" si="318"/>
        <v>2.7191997916818988E-2</v>
      </c>
      <c r="AL115" s="1165">
        <f t="shared" si="318"/>
        <v>4.206816902405755E-2</v>
      </c>
      <c r="AM115" s="1165">
        <f t="shared" si="318"/>
        <v>5.7380207655949776E-2</v>
      </c>
      <c r="AN115" s="1165">
        <f t="shared" si="318"/>
        <v>6.7841171236369624E-2</v>
      </c>
      <c r="AO115" s="1165">
        <f t="shared" si="318"/>
        <v>7.0704061362675971E-2</v>
      </c>
      <c r="AP115" s="1165">
        <f t="shared" si="318"/>
        <v>7.609934415438438E-2</v>
      </c>
      <c r="AQ115" s="1165">
        <f t="shared" si="318"/>
        <v>7.7882097951348664E-2</v>
      </c>
      <c r="AR115" s="1165">
        <f t="shared" si="318"/>
        <v>7.3956910318478994E-2</v>
      </c>
      <c r="AS115" s="1165">
        <f t="shared" si="318"/>
        <v>7.3903452278836865E-2</v>
      </c>
      <c r="AT115" s="1165">
        <f t="shared" si="318"/>
        <v>7.1690372497835761E-2</v>
      </c>
      <c r="AU115" s="1165">
        <f t="shared" si="318"/>
        <v>7.2691198496023623E-2</v>
      </c>
      <c r="AV115" s="1165">
        <f t="shared" si="318"/>
        <v>6.4220470019556108E-2</v>
      </c>
      <c r="AW115" s="1165">
        <f t="shared" si="318"/>
        <v>6.6809161321576285E-2</v>
      </c>
      <c r="AX115" s="1165">
        <f t="shared" si="318"/>
        <v>6.2046696613448922E-2</v>
      </c>
      <c r="AY115" s="1165">
        <f t="shared" si="318"/>
        <v>5.9109179918976545E-2</v>
      </c>
      <c r="AZ115" s="1165">
        <f t="shared" si="318"/>
        <v>6.41299189038608E-2</v>
      </c>
      <c r="BA115" s="1165">
        <f t="shared" si="318"/>
        <v>5.6476534543657746E-2</v>
      </c>
      <c r="BB115" s="776"/>
      <c r="BC115" s="776"/>
      <c r="BD115" s="776"/>
    </row>
    <row r="116" spans="1:56" s="798" customFormat="1" ht="12" hidden="1" outlineLevel="1" x14ac:dyDescent="0.3">
      <c r="E116" s="801"/>
      <c r="H116" s="802"/>
      <c r="J116" s="802"/>
      <c r="L116" s="802"/>
      <c r="N116" s="802"/>
      <c r="P116" s="802"/>
      <c r="R116" s="802"/>
      <c r="T116" s="802"/>
      <c r="V116" s="802"/>
    </row>
    <row r="117" spans="1:56" s="798" customFormat="1" ht="12" hidden="1" outlineLevel="1" x14ac:dyDescent="0.3">
      <c r="A117" s="771" t="s">
        <v>211</v>
      </c>
      <c r="E117" s="801"/>
      <c r="H117" s="802"/>
      <c r="J117" s="802"/>
      <c r="L117" s="802"/>
      <c r="N117" s="802"/>
      <c r="P117" s="802"/>
      <c r="R117" s="802"/>
      <c r="T117" s="802"/>
      <c r="V117" s="802"/>
    </row>
    <row r="118" spans="1:56" s="798" customFormat="1" ht="12" hidden="1" outlineLevel="1" x14ac:dyDescent="0.3">
      <c r="A118" s="763"/>
      <c r="E118" s="801"/>
      <c r="H118" s="802"/>
      <c r="J118" s="802"/>
      <c r="L118" s="802"/>
      <c r="N118" s="802"/>
      <c r="P118" s="802"/>
      <c r="R118" s="802"/>
      <c r="T118" s="802"/>
      <c r="V118" s="802"/>
    </row>
    <row r="119" spans="1:56" hidden="1" outlineLevel="1" x14ac:dyDescent="0.25">
      <c r="A119" s="770" t="s">
        <v>212</v>
      </c>
      <c r="E119" s="790"/>
      <c r="H119" s="791"/>
      <c r="J119" s="791"/>
      <c r="L119" s="791"/>
      <c r="N119" s="791"/>
      <c r="P119" s="791"/>
      <c r="R119" s="791"/>
      <c r="T119" s="791"/>
      <c r="V119" s="791"/>
    </row>
    <row r="120" spans="1:56" hidden="1" outlineLevel="1" x14ac:dyDescent="0.25">
      <c r="A120" s="760" t="s">
        <v>213</v>
      </c>
      <c r="C120" s="772">
        <f t="shared" ref="C120:D120" si="319">C308</f>
        <v>8.0309999999999988</v>
      </c>
      <c r="D120" s="772">
        <f t="shared" si="319"/>
        <v>8.1330000000000009</v>
      </c>
      <c r="E120" s="773">
        <f>E308</f>
        <v>7.9169999999999998</v>
      </c>
      <c r="F120" s="772">
        <f>AU120</f>
        <v>7.484</v>
      </c>
      <c r="G120" s="772">
        <f>G308</f>
        <v>7.5059999999999993</v>
      </c>
      <c r="H120" s="774">
        <f t="shared" ref="H120:I120" si="320">H308</f>
        <v>6.9779999999999998</v>
      </c>
      <c r="I120" s="772">
        <f t="shared" si="320"/>
        <v>6.6440000000000001</v>
      </c>
      <c r="J120" s="774">
        <f>+AW120</f>
        <v>6.8159999999999998</v>
      </c>
      <c r="K120" s="772">
        <f t="shared" ref="K120:S120" si="321">K308</f>
        <v>7.3970000000000002</v>
      </c>
      <c r="L120" s="774">
        <f t="shared" si="321"/>
        <v>8.4860000000000007</v>
      </c>
      <c r="M120" s="772">
        <f t="shared" si="321"/>
        <v>16.190000000000001</v>
      </c>
      <c r="N120" s="774">
        <f t="shared" si="321"/>
        <v>24.303999999999998</v>
      </c>
      <c r="O120" s="772">
        <f t="shared" si="321"/>
        <v>25.567</v>
      </c>
      <c r="P120" s="774">
        <f t="shared" si="321"/>
        <v>27.125999999999998</v>
      </c>
      <c r="Q120" s="772">
        <f t="shared" si="321"/>
        <v>27.568999999999999</v>
      </c>
      <c r="R120" s="774">
        <f t="shared" si="321"/>
        <v>27.917999999999996</v>
      </c>
      <c r="S120" s="772">
        <f t="shared" si="321"/>
        <v>26.896000000000001</v>
      </c>
      <c r="T120" s="774">
        <f t="shared" ref="T120:U120" si="322">T308</f>
        <v>31.469000000000001</v>
      </c>
      <c r="U120" s="772">
        <f t="shared" si="322"/>
        <v>30.705000000000002</v>
      </c>
      <c r="V120" s="774">
        <f t="shared" ref="V120:W120" si="323">V308</f>
        <v>34.077000000000005</v>
      </c>
      <c r="W120" s="772">
        <f t="shared" si="323"/>
        <v>56.013000000000005</v>
      </c>
      <c r="AE120" s="772">
        <f>('CapIQ - as disclosed'!G59-'CapIQ - as disclosed'!G50)/1000000</f>
        <v>0.43894499999999997</v>
      </c>
      <c r="AF120" s="772">
        <f>('CapIQ - as disclosed'!H59-'CapIQ - as disclosed'!H50)/1000000</f>
        <v>0.51457900000000001</v>
      </c>
      <c r="AG120" s="772">
        <f>('CapIQ - as disclosed'!I59-'CapIQ - as disclosed'!I50)/1000000</f>
        <v>0.84068900000000002</v>
      </c>
      <c r="AH120" s="772">
        <f>('CapIQ - as disclosed'!J59-'CapIQ - as disclosed'!J50)/1000000</f>
        <v>1.6953819999999999</v>
      </c>
      <c r="AI120" s="772">
        <f>('CapIQ - as disclosed'!K59-'CapIQ - as disclosed'!K50)/1000000</f>
        <v>0.75508500000000001</v>
      </c>
      <c r="AJ120" s="772">
        <f>('CapIQ - as disclosed'!L59-'CapIQ - as disclosed'!L50)/1000000</f>
        <v>0.68072900000000003</v>
      </c>
      <c r="AK120" s="772">
        <f>('CapIQ - as disclosed'!M59-'CapIQ - as disclosed'!M50)/1000000</f>
        <v>0.46166099999999999</v>
      </c>
      <c r="AL120" s="772">
        <f>('CapIQ - as disclosed'!N59-'CapIQ - as disclosed'!N50)/1000000</f>
        <v>26.363873000000002</v>
      </c>
      <c r="AM120" s="772">
        <f>('CapIQ - as disclosed'!O59-'CapIQ - as disclosed'!O50)/1000000</f>
        <v>0.63753099999999996</v>
      </c>
      <c r="AN120" s="772">
        <f>('CapIQ - as disclosed'!P59-'CapIQ - as disclosed'!P50)/1000000</f>
        <v>0.51860700000000004</v>
      </c>
      <c r="AO120" s="772">
        <f>('CapIQ - as disclosed'!Q59-'CapIQ - as disclosed'!Q50)/1000000</f>
        <v>0.437392</v>
      </c>
      <c r="AP120" s="772">
        <f>('CapIQ - as disclosed'!R59-'CapIQ - as disclosed'!R50)/1000000</f>
        <v>0.70627399999999996</v>
      </c>
      <c r="AQ120" s="772">
        <f>('CapIQ - as disclosed'!S59-'CapIQ - as disclosed'!S50)/1000000</f>
        <v>5.930218</v>
      </c>
      <c r="AR120" s="772">
        <v>7.4390000000000001</v>
      </c>
      <c r="AS120" s="772">
        <v>7.665</v>
      </c>
      <c r="AT120" s="772">
        <v>8.1329999999999991</v>
      </c>
      <c r="AU120" s="772">
        <v>7.484</v>
      </c>
      <c r="AV120" s="772">
        <v>6.9779999999999998</v>
      </c>
      <c r="AW120" s="772">
        <f>+AW308</f>
        <v>6.8159999999999998</v>
      </c>
      <c r="AX120" s="772">
        <f t="shared" ref="AX120:BA120" si="324">AX308</f>
        <v>8.4860000000000007</v>
      </c>
      <c r="AY120" s="772">
        <f t="shared" si="324"/>
        <v>24.303999999999998</v>
      </c>
      <c r="AZ120" s="772">
        <f t="shared" si="324"/>
        <v>27.125999999999998</v>
      </c>
      <c r="BA120" s="772">
        <f t="shared" si="324"/>
        <v>27.917999999999996</v>
      </c>
      <c r="BB120" s="772"/>
      <c r="BC120" s="772"/>
    </row>
    <row r="121" spans="1:56" ht="13" hidden="1" outlineLevel="1" x14ac:dyDescent="0.25">
      <c r="A121" s="760" t="s">
        <v>214</v>
      </c>
      <c r="C121" s="780">
        <f t="shared" ref="C121:D121" si="325">C313</f>
        <v>151.68299999999999</v>
      </c>
      <c r="D121" s="780">
        <f t="shared" si="325"/>
        <v>199.24599999999998</v>
      </c>
      <c r="E121" s="781">
        <f>E313</f>
        <v>172.27600000000001</v>
      </c>
      <c r="F121" s="780">
        <f>AU121</f>
        <v>199.75899999999999</v>
      </c>
      <c r="G121" s="780">
        <f>G313</f>
        <v>203.91500000000002</v>
      </c>
      <c r="H121" s="782">
        <f t="shared" ref="H121:I121" si="326">H313</f>
        <v>242.124</v>
      </c>
      <c r="I121" s="780">
        <f t="shared" si="326"/>
        <v>245.64499999999998</v>
      </c>
      <c r="J121" s="782">
        <f>+AW121</f>
        <v>287.41899999999998</v>
      </c>
      <c r="K121" s="780">
        <f t="shared" ref="K121:S121" si="327">K313</f>
        <v>328.58</v>
      </c>
      <c r="L121" s="782">
        <f t="shared" si="327"/>
        <v>375.654</v>
      </c>
      <c r="M121" s="780">
        <f t="shared" si="327"/>
        <v>352.166</v>
      </c>
      <c r="N121" s="782">
        <f t="shared" si="327"/>
        <v>406.642</v>
      </c>
      <c r="O121" s="780">
        <f t="shared" si="327"/>
        <v>369.11900000000003</v>
      </c>
      <c r="P121" s="782">
        <f t="shared" si="327"/>
        <v>470.233</v>
      </c>
      <c r="Q121" s="780">
        <f t="shared" si="327"/>
        <v>524.298</v>
      </c>
      <c r="R121" s="782">
        <f t="shared" si="327"/>
        <v>644.1400000000001</v>
      </c>
      <c r="S121" s="780">
        <f t="shared" si="327"/>
        <v>651.79499999999996</v>
      </c>
      <c r="T121" s="782">
        <f t="shared" ref="T121:U121" si="328">T313</f>
        <v>616.25300000000004</v>
      </c>
      <c r="U121" s="780">
        <f t="shared" si="328"/>
        <v>615.45300000000009</v>
      </c>
      <c r="V121" s="782">
        <f t="shared" ref="V121:W121" si="329">V313</f>
        <v>746.67200000000003</v>
      </c>
      <c r="W121" s="780">
        <f t="shared" si="329"/>
        <v>775.86800000000005</v>
      </c>
      <c r="AE121" s="780">
        <f>'CapIQ - as disclosed'!G50/1000000</f>
        <v>5.9717320000000003</v>
      </c>
      <c r="AF121" s="780">
        <f>'CapIQ - as disclosed'!H50/1000000</f>
        <v>7.3727330000000002</v>
      </c>
      <c r="AG121" s="780">
        <f>'CapIQ - as disclosed'!I50/1000000</f>
        <v>18.004152000000001</v>
      </c>
      <c r="AH121" s="780">
        <f>'CapIQ - as disclosed'!J50/1000000</f>
        <v>11.828989</v>
      </c>
      <c r="AI121" s="780">
        <f>'CapIQ - as disclosed'!K50/1000000</f>
        <v>15.724386000000001</v>
      </c>
      <c r="AJ121" s="780">
        <f>'CapIQ - as disclosed'!L50/1000000</f>
        <v>15.949268</v>
      </c>
      <c r="AK121" s="780">
        <f>'CapIQ - as disclosed'!M50/1000000</f>
        <v>15.939544</v>
      </c>
      <c r="AL121" s="780">
        <f>'CapIQ - as disclosed'!N50/1000000</f>
        <v>0</v>
      </c>
      <c r="AM121" s="780">
        <f>'CapIQ - as disclosed'!O50/1000000</f>
        <v>30.508526</v>
      </c>
      <c r="AN121" s="780">
        <f>'CapIQ - as disclosed'!P50/1000000</f>
        <v>34.649700000000003</v>
      </c>
      <c r="AO121" s="780">
        <f>'CapIQ - as disclosed'!Q50/1000000</f>
        <v>44.607669999999999</v>
      </c>
      <c r="AP121" s="780">
        <f>'CapIQ - as disclosed'!R50/1000000</f>
        <v>59.063555999999998</v>
      </c>
      <c r="AQ121" s="780">
        <f>'CapIQ - as disclosed'!S50/1000000</f>
        <v>86.351502999999994</v>
      </c>
      <c r="AR121" s="780">
        <v>99.775999999999996</v>
      </c>
      <c r="AS121" s="780">
        <v>142.39599999999999</v>
      </c>
      <c r="AT121" s="780">
        <v>199.24600000000001</v>
      </c>
      <c r="AU121" s="780">
        <v>199.75899999999999</v>
      </c>
      <c r="AV121" s="780">
        <v>242.124</v>
      </c>
      <c r="AW121" s="780">
        <f>+AW313</f>
        <v>287.41899999999998</v>
      </c>
      <c r="AX121" s="780">
        <f t="shared" ref="AX121:BA121" si="330">AX313</f>
        <v>375.654</v>
      </c>
      <c r="AY121" s="780">
        <f t="shared" si="330"/>
        <v>406.642</v>
      </c>
      <c r="AZ121" s="780">
        <f t="shared" si="330"/>
        <v>470.233</v>
      </c>
      <c r="BA121" s="780">
        <f t="shared" si="330"/>
        <v>644.1400000000001</v>
      </c>
      <c r="BB121" s="780"/>
      <c r="BC121" s="780"/>
    </row>
    <row r="122" spans="1:56" s="763" customFormat="1" hidden="1" outlineLevel="1" x14ac:dyDescent="0.25">
      <c r="A122" s="786" t="s">
        <v>215</v>
      </c>
      <c r="C122" s="787">
        <f t="shared" ref="C122" si="331">SUM(C120:C121)</f>
        <v>159.714</v>
      </c>
      <c r="D122" s="787">
        <f t="shared" ref="D122" si="332">SUM(D120:D121)</f>
        <v>207.37899999999999</v>
      </c>
      <c r="E122" s="788">
        <f t="shared" ref="E122:F122" si="333">SUM(E120:E121)</f>
        <v>180.19300000000001</v>
      </c>
      <c r="F122" s="787">
        <f t="shared" si="333"/>
        <v>207.24299999999999</v>
      </c>
      <c r="G122" s="787">
        <f t="shared" ref="G122:H122" si="334">SUM(G120:G121)</f>
        <v>211.42100000000002</v>
      </c>
      <c r="H122" s="789">
        <f t="shared" si="334"/>
        <v>249.102</v>
      </c>
      <c r="I122" s="787">
        <f t="shared" ref="I122:J122" si="335">SUM(I120:I121)</f>
        <v>252.28899999999999</v>
      </c>
      <c r="J122" s="789">
        <f t="shared" si="335"/>
        <v>294.23499999999996</v>
      </c>
      <c r="K122" s="787">
        <f t="shared" ref="K122:S122" si="336">SUM(K120:K121)</f>
        <v>335.97699999999998</v>
      </c>
      <c r="L122" s="789">
        <f t="shared" si="336"/>
        <v>384.14</v>
      </c>
      <c r="M122" s="787">
        <f t="shared" si="336"/>
        <v>368.35599999999999</v>
      </c>
      <c r="N122" s="789">
        <f t="shared" si="336"/>
        <v>430.94599999999997</v>
      </c>
      <c r="O122" s="787">
        <f t="shared" si="336"/>
        <v>394.68600000000004</v>
      </c>
      <c r="P122" s="789">
        <f t="shared" si="336"/>
        <v>497.35899999999998</v>
      </c>
      <c r="Q122" s="787">
        <f t="shared" si="336"/>
        <v>551.86699999999996</v>
      </c>
      <c r="R122" s="789">
        <f t="shared" si="336"/>
        <v>672.05800000000011</v>
      </c>
      <c r="S122" s="787">
        <f t="shared" si="336"/>
        <v>678.69099999999992</v>
      </c>
      <c r="T122" s="789">
        <f t="shared" ref="T122:U122" si="337">SUM(T120:T121)</f>
        <v>647.72200000000009</v>
      </c>
      <c r="U122" s="787">
        <f t="shared" si="337"/>
        <v>646.15800000000013</v>
      </c>
      <c r="V122" s="789">
        <f t="shared" ref="V122:W122" si="338">SUM(V120:V121)</f>
        <v>780.74900000000002</v>
      </c>
      <c r="W122" s="787">
        <f t="shared" si="338"/>
        <v>831.88100000000009</v>
      </c>
      <c r="AE122" s="787">
        <f t="shared" ref="AE122" si="339">SUM(AE120:AE121)</f>
        <v>6.4106770000000006</v>
      </c>
      <c r="AF122" s="787">
        <f t="shared" ref="AF122" si="340">SUM(AF120:AF121)</f>
        <v>7.8873120000000005</v>
      </c>
      <c r="AG122" s="787">
        <f t="shared" ref="AG122" si="341">SUM(AG120:AG121)</f>
        <v>18.844841000000002</v>
      </c>
      <c r="AH122" s="787">
        <f t="shared" ref="AH122" si="342">SUM(AH120:AH121)</f>
        <v>13.524371</v>
      </c>
      <c r="AI122" s="787">
        <f t="shared" ref="AI122" si="343">SUM(AI120:AI121)</f>
        <v>16.479471</v>
      </c>
      <c r="AJ122" s="787">
        <f t="shared" ref="AJ122" si="344">SUM(AJ120:AJ121)</f>
        <v>16.629996999999999</v>
      </c>
      <c r="AK122" s="787">
        <f t="shared" ref="AK122" si="345">SUM(AK120:AK121)</f>
        <v>16.401205000000001</v>
      </c>
      <c r="AL122" s="787">
        <f t="shared" ref="AL122" si="346">SUM(AL120:AL121)</f>
        <v>26.363873000000002</v>
      </c>
      <c r="AM122" s="787">
        <f t="shared" ref="AM122" si="347">SUM(AM120:AM121)</f>
        <v>31.146056999999999</v>
      </c>
      <c r="AN122" s="787">
        <f t="shared" ref="AN122" si="348">SUM(AN120:AN121)</f>
        <v>35.168307000000006</v>
      </c>
      <c r="AO122" s="787">
        <f t="shared" ref="AO122" si="349">SUM(AO120:AO121)</f>
        <v>45.045062000000001</v>
      </c>
      <c r="AP122" s="787">
        <f t="shared" ref="AP122" si="350">SUM(AP120:AP121)</f>
        <v>59.769829999999999</v>
      </c>
      <c r="AQ122" s="787">
        <f t="shared" ref="AQ122" si="351">SUM(AQ120:AQ121)</f>
        <v>92.28172099999999</v>
      </c>
      <c r="AR122" s="787">
        <f>SUM(AR120:AR121)</f>
        <v>107.215</v>
      </c>
      <c r="AS122" s="787">
        <f t="shared" ref="AS122:AT122" si="352">SUM(AS120:AS121)</f>
        <v>150.06099999999998</v>
      </c>
      <c r="AT122" s="787">
        <f t="shared" si="352"/>
        <v>207.37900000000002</v>
      </c>
      <c r="AU122" s="787">
        <f t="shared" ref="AU122:AX122" si="353">SUM(AU120:AU121)</f>
        <v>207.24299999999999</v>
      </c>
      <c r="AV122" s="787">
        <f t="shared" si="353"/>
        <v>249.102</v>
      </c>
      <c r="AW122" s="787">
        <f t="shared" si="353"/>
        <v>294.23499999999996</v>
      </c>
      <c r="AX122" s="787">
        <f t="shared" si="353"/>
        <v>384.14</v>
      </c>
      <c r="AY122" s="787">
        <f t="shared" ref="AY122:BA122" si="354">SUM(AY120:AY121)</f>
        <v>430.94599999999997</v>
      </c>
      <c r="AZ122" s="787">
        <f t="shared" si="354"/>
        <v>497.35899999999998</v>
      </c>
      <c r="BA122" s="787">
        <f t="shared" si="354"/>
        <v>672.05800000000011</v>
      </c>
      <c r="BB122" s="787"/>
      <c r="BC122" s="787"/>
    </row>
    <row r="123" spans="1:56" s="763" customFormat="1" hidden="1" outlineLevel="1" x14ac:dyDescent="0.25">
      <c r="A123" s="786"/>
      <c r="C123" s="787"/>
      <c r="D123" s="787"/>
      <c r="E123" s="788"/>
      <c r="F123" s="787"/>
      <c r="G123" s="787"/>
      <c r="H123" s="789"/>
      <c r="I123" s="787"/>
      <c r="J123" s="789"/>
      <c r="K123" s="787"/>
      <c r="L123" s="789"/>
      <c r="M123" s="787"/>
      <c r="N123" s="789"/>
      <c r="O123" s="787"/>
      <c r="P123" s="789"/>
      <c r="Q123" s="787"/>
      <c r="R123" s="789"/>
      <c r="S123" s="787"/>
      <c r="T123" s="789"/>
      <c r="U123" s="787"/>
      <c r="V123" s="789"/>
      <c r="W123" s="787"/>
      <c r="AE123" s="787"/>
      <c r="AF123" s="787"/>
      <c r="AG123" s="787"/>
      <c r="AH123" s="787"/>
      <c r="AI123" s="787"/>
      <c r="AJ123" s="787"/>
      <c r="AK123" s="787"/>
      <c r="AL123" s="787"/>
      <c r="AM123" s="787"/>
      <c r="AN123" s="787"/>
      <c r="AO123" s="787"/>
      <c r="AP123" s="787"/>
      <c r="AQ123" s="787"/>
      <c r="AR123" s="787"/>
      <c r="AS123" s="787"/>
      <c r="AT123" s="787"/>
      <c r="AU123" s="787"/>
      <c r="AV123" s="787"/>
      <c r="AW123" s="787"/>
      <c r="AX123" s="787"/>
      <c r="AY123" s="787"/>
      <c r="AZ123" s="787"/>
      <c r="BA123" s="787"/>
      <c r="BB123" s="787"/>
      <c r="BC123" s="787"/>
    </row>
    <row r="124" spans="1:56" hidden="1" outlineLevel="1" x14ac:dyDescent="0.25">
      <c r="A124" s="770" t="s">
        <v>216</v>
      </c>
      <c r="E124" s="790"/>
      <c r="H124" s="791"/>
      <c r="J124" s="791"/>
      <c r="L124" s="791"/>
      <c r="N124" s="791"/>
      <c r="P124" s="791"/>
      <c r="R124" s="791"/>
      <c r="T124" s="791"/>
      <c r="V124" s="791"/>
    </row>
    <row r="125" spans="1:56" hidden="1" outlineLevel="1" x14ac:dyDescent="0.25">
      <c r="A125" s="760" t="s">
        <v>217</v>
      </c>
      <c r="C125" s="772">
        <f t="shared" ref="C125:D125" si="355">C323</f>
        <v>82.128</v>
      </c>
      <c r="D125" s="772">
        <f t="shared" si="355"/>
        <v>111.563</v>
      </c>
      <c r="E125" s="773">
        <f>E323</f>
        <v>111.23400000000001</v>
      </c>
      <c r="F125" s="772">
        <f t="shared" ref="F125:F126" si="356">AU125</f>
        <v>-119.879</v>
      </c>
      <c r="G125" s="772">
        <f>G323</f>
        <v>141.66900000000001</v>
      </c>
      <c r="H125" s="774">
        <f t="shared" ref="H125:I125" si="357">H323</f>
        <v>160.684</v>
      </c>
      <c r="I125" s="772">
        <f t="shared" si="357"/>
        <v>181.6</v>
      </c>
      <c r="J125" s="774">
        <f t="shared" ref="J125:J126" si="358">+AW125</f>
        <v>193.41900000000001</v>
      </c>
      <c r="K125" s="772">
        <f t="shared" ref="K125:S125" si="359">K323</f>
        <v>254.03</v>
      </c>
      <c r="L125" s="774">
        <f t="shared" si="359"/>
        <v>268.74799999999999</v>
      </c>
      <c r="M125" s="772">
        <f t="shared" si="359"/>
        <v>264.88500000000005</v>
      </c>
      <c r="N125" s="774">
        <f t="shared" si="359"/>
        <v>279.66199999999998</v>
      </c>
      <c r="O125" s="772">
        <f t="shared" si="359"/>
        <v>244.33700000000002</v>
      </c>
      <c r="P125" s="774">
        <f t="shared" si="359"/>
        <v>308.88500000000005</v>
      </c>
      <c r="Q125" s="772">
        <f t="shared" si="359"/>
        <v>380.51</v>
      </c>
      <c r="R125" s="774">
        <f t="shared" si="359"/>
        <v>453.38800000000003</v>
      </c>
      <c r="S125" s="772">
        <f t="shared" si="359"/>
        <v>467.86299999999994</v>
      </c>
      <c r="T125" s="774">
        <f t="shared" ref="T125:U125" si="360">T323</f>
        <v>386.21799999999996</v>
      </c>
      <c r="U125" s="772">
        <f t="shared" si="360"/>
        <v>387.93400000000003</v>
      </c>
      <c r="V125" s="774">
        <f t="shared" ref="V125:W125" si="361">V323</f>
        <v>465.45600000000002</v>
      </c>
      <c r="W125" s="772">
        <f t="shared" si="361"/>
        <v>513.56200000000001</v>
      </c>
      <c r="AE125" s="772">
        <f>'CapIQ - as disclosed'!G67/1000000*-1</f>
        <v>-5.0825319999999996</v>
      </c>
      <c r="AF125" s="772">
        <f>'CapIQ - as disclosed'!H67/1000000*-1</f>
        <v>-6.0729179999999996</v>
      </c>
      <c r="AG125" s="772">
        <f>'CapIQ - as disclosed'!I67/1000000*-1</f>
        <v>-16.231460999999999</v>
      </c>
      <c r="AH125" s="772">
        <f>'CapIQ - as disclosed'!J67/1000000*-1</f>
        <v>-10.504493999999999</v>
      </c>
      <c r="AI125" s="772">
        <f>'CapIQ - as disclosed'!K67/1000000*-1</f>
        <v>-11.781143</v>
      </c>
      <c r="AJ125" s="772">
        <f>'CapIQ - as disclosed'!L67/1000000*-1</f>
        <v>-13.451715</v>
      </c>
      <c r="AK125" s="772">
        <f>'CapIQ - as disclosed'!M67/1000000*-1</f>
        <v>-12.100166</v>
      </c>
      <c r="AL125" s="772">
        <f>'CapIQ - as disclosed'!N67/1000000*-1</f>
        <v>-19.668657</v>
      </c>
      <c r="AM125" s="772">
        <f>'CapIQ - as disclosed'!O67/1000000*-1</f>
        <v>-21.218641999999999</v>
      </c>
      <c r="AN125" s="772">
        <f>'CapIQ - as disclosed'!P67/1000000*-1</f>
        <v>-20.21237</v>
      </c>
      <c r="AO125" s="772">
        <f>'CapIQ - as disclosed'!Q67/1000000*-1</f>
        <v>-31.860106999999999</v>
      </c>
      <c r="AP125" s="772">
        <f>'CapIQ - as disclosed'!R67/1000000*-1</f>
        <v>-34.728802999999999</v>
      </c>
      <c r="AQ125" s="772">
        <f>'CapIQ - as disclosed'!S67/1000000*-1</f>
        <v>-50.382421000000001</v>
      </c>
      <c r="AR125" s="772">
        <v>-58.832000000000001</v>
      </c>
      <c r="AS125" s="772">
        <v>-77.762</v>
      </c>
      <c r="AT125" s="772">
        <v>-111.563</v>
      </c>
      <c r="AU125" s="772">
        <v>-119.879</v>
      </c>
      <c r="AV125" s="772">
        <v>-160.684</v>
      </c>
      <c r="AW125" s="772">
        <f>+AW323</f>
        <v>193.41900000000001</v>
      </c>
      <c r="AX125" s="772">
        <f t="shared" ref="AX125:BA125" si="362">AX323</f>
        <v>268.74799999999999</v>
      </c>
      <c r="AY125" s="772">
        <f t="shared" si="362"/>
        <v>279.66199999999998</v>
      </c>
      <c r="AZ125" s="772">
        <f t="shared" si="362"/>
        <v>308.88500000000005</v>
      </c>
      <c r="BA125" s="772">
        <f t="shared" si="362"/>
        <v>453.38800000000003</v>
      </c>
      <c r="BB125" s="772"/>
      <c r="BC125" s="772"/>
    </row>
    <row r="126" spans="1:56" ht="13" hidden="1" outlineLevel="1" x14ac:dyDescent="0.25">
      <c r="A126" s="760" t="s">
        <v>218</v>
      </c>
      <c r="C126" s="780">
        <f t="shared" ref="C126:D126" si="363">C332</f>
        <v>0</v>
      </c>
      <c r="D126" s="780">
        <f t="shared" si="363"/>
        <v>0</v>
      </c>
      <c r="E126" s="781">
        <f>E332</f>
        <v>0</v>
      </c>
      <c r="F126" s="780">
        <f t="shared" si="356"/>
        <v>0</v>
      </c>
      <c r="G126" s="780">
        <f>G332</f>
        <v>0</v>
      </c>
      <c r="H126" s="782">
        <f t="shared" ref="H126:I126" si="364">H332</f>
        <v>0</v>
      </c>
      <c r="I126" s="780">
        <f t="shared" si="364"/>
        <v>0</v>
      </c>
      <c r="J126" s="782">
        <f t="shared" si="358"/>
        <v>0</v>
      </c>
      <c r="K126" s="780">
        <f t="shared" ref="K126:S126" si="365">K332</f>
        <v>0</v>
      </c>
      <c r="L126" s="782">
        <f t="shared" si="365"/>
        <v>0</v>
      </c>
      <c r="M126" s="780">
        <f t="shared" si="365"/>
        <v>5.2539999999999996</v>
      </c>
      <c r="N126" s="782">
        <f t="shared" si="365"/>
        <v>10.537000000000001</v>
      </c>
      <c r="O126" s="780">
        <f t="shared" si="365"/>
        <v>9.9440000000000008</v>
      </c>
      <c r="P126" s="782">
        <f t="shared" si="365"/>
        <v>9.33</v>
      </c>
      <c r="Q126" s="780">
        <f t="shared" si="365"/>
        <v>8.2330000000000005</v>
      </c>
      <c r="R126" s="782">
        <f t="shared" si="365"/>
        <v>7.57</v>
      </c>
      <c r="S126" s="780">
        <f t="shared" si="365"/>
        <v>7.133</v>
      </c>
      <c r="T126" s="782">
        <f t="shared" ref="T126:U126" si="366">T332</f>
        <v>10.059000000000001</v>
      </c>
      <c r="U126" s="780">
        <f t="shared" si="366"/>
        <v>12.618</v>
      </c>
      <c r="V126" s="782">
        <f t="shared" ref="V126:W126" si="367">V332</f>
        <v>17.256</v>
      </c>
      <c r="W126" s="780">
        <f t="shared" si="367"/>
        <v>37.409999999999997</v>
      </c>
      <c r="AE126" s="780">
        <f>SUM('CapIQ - as disclosed'!G70:G73)/1000000</f>
        <v>0.56549099999999997</v>
      </c>
      <c r="AF126" s="780">
        <f>SUM('CapIQ - as disclosed'!H70:H73)/1000000</f>
        <v>0.78928100000000001</v>
      </c>
      <c r="AG126" s="780">
        <f>SUM('CapIQ - as disclosed'!I70:I73)/1000000</f>
        <v>3.9308999999999997E-2</v>
      </c>
      <c r="AH126" s="780">
        <f>SUM('CapIQ - as disclosed'!J70:J73)/1000000</f>
        <v>1.5911999999999999E-2</v>
      </c>
      <c r="AI126" s="780">
        <f>SUM('CapIQ - as disclosed'!K70:K73)/1000000</f>
        <v>1.5165E-2</v>
      </c>
      <c r="AJ126" s="780">
        <f>SUM('CapIQ - as disclosed'!L70:L73)/1000000</f>
        <v>2.9441999999999999E-2</v>
      </c>
      <c r="AK126" s="780">
        <f>SUM('CapIQ - as disclosed'!M70:M73)/1000000</f>
        <v>0</v>
      </c>
      <c r="AL126" s="780">
        <f>SUM('CapIQ - as disclosed'!N70:N73)/1000000</f>
        <v>2.1310000000000001E-3</v>
      </c>
      <c r="AM126" s="780">
        <f>SUM('CapIQ - as disclosed'!O70:O73)/1000000</f>
        <v>1.9248999999999999E-2</v>
      </c>
      <c r="AN126" s="780">
        <f>SUM('CapIQ - as disclosed'!P70:P73)/1000000</f>
        <v>2.0806000000000002E-2</v>
      </c>
      <c r="AO126" s="780">
        <f>SUM('CapIQ - as disclosed'!Q70:Q73)/1000000</f>
        <v>1.8121999999999999E-2</v>
      </c>
      <c r="AP126" s="780">
        <f>SUM('CapIQ - as disclosed'!R70:R73)/1000000</f>
        <v>7.463E-3</v>
      </c>
      <c r="AQ126" s="780">
        <f>SUM('CapIQ - as disclosed'!S70:S73)/1000000</f>
        <v>5.9499999999999997E-2</v>
      </c>
      <c r="AR126" s="780">
        <f>SUM('CapIQ - as disclosed'!T70:T73)/1000000</f>
        <v>0</v>
      </c>
      <c r="AS126" s="780">
        <f>SUM('CapIQ - as disclosed'!U70:U73)/1000000</f>
        <v>0</v>
      </c>
      <c r="AT126" s="780">
        <f>SUM('CapIQ - as disclosed'!V70:V73)/1000000</f>
        <v>0</v>
      </c>
      <c r="AU126" s="780">
        <f>SUM('CapIQ - as disclosed'!W70:W73)/1000000</f>
        <v>0</v>
      </c>
      <c r="AV126" s="780">
        <f>AV127-AV125</f>
        <v>0</v>
      </c>
      <c r="AW126" s="780">
        <f>+AW332</f>
        <v>0</v>
      </c>
      <c r="AX126" s="780">
        <f t="shared" ref="AX126:BA126" si="368">AX332</f>
        <v>0</v>
      </c>
      <c r="AY126" s="780">
        <f t="shared" si="368"/>
        <v>10.537000000000001</v>
      </c>
      <c r="AZ126" s="780">
        <f t="shared" si="368"/>
        <v>9.33</v>
      </c>
      <c r="BA126" s="780">
        <f t="shared" si="368"/>
        <v>7.57</v>
      </c>
      <c r="BB126" s="780"/>
      <c r="BC126" s="780"/>
    </row>
    <row r="127" spans="1:56" s="763" customFormat="1" ht="14.5" hidden="1" outlineLevel="1" x14ac:dyDescent="0.25">
      <c r="A127" s="786" t="s">
        <v>219</v>
      </c>
      <c r="C127" s="803">
        <f t="shared" ref="C127" si="369">SUM(C125:C126)</f>
        <v>82.128</v>
      </c>
      <c r="D127" s="803">
        <f t="shared" ref="D127" si="370">SUM(D125:D126)</f>
        <v>111.563</v>
      </c>
      <c r="E127" s="804">
        <f t="shared" ref="E127:F127" si="371">SUM(E125:E126)</f>
        <v>111.23400000000001</v>
      </c>
      <c r="F127" s="803">
        <f t="shared" si="371"/>
        <v>-119.879</v>
      </c>
      <c r="G127" s="803">
        <f t="shared" ref="G127:H127" si="372">SUM(G125:G126)</f>
        <v>141.66900000000001</v>
      </c>
      <c r="H127" s="805">
        <f t="shared" si="372"/>
        <v>160.684</v>
      </c>
      <c r="I127" s="803">
        <f t="shared" ref="I127:J127" si="373">SUM(I125:I126)</f>
        <v>181.6</v>
      </c>
      <c r="J127" s="805">
        <f t="shared" si="373"/>
        <v>193.41900000000001</v>
      </c>
      <c r="K127" s="803">
        <f t="shared" ref="K127:S127" si="374">SUM(K125:K126)</f>
        <v>254.03</v>
      </c>
      <c r="L127" s="805">
        <f t="shared" si="374"/>
        <v>268.74799999999999</v>
      </c>
      <c r="M127" s="803">
        <f t="shared" si="374"/>
        <v>270.13900000000007</v>
      </c>
      <c r="N127" s="805">
        <f t="shared" si="374"/>
        <v>290.19899999999996</v>
      </c>
      <c r="O127" s="803">
        <f t="shared" si="374"/>
        <v>254.28100000000001</v>
      </c>
      <c r="P127" s="805">
        <f t="shared" si="374"/>
        <v>318.21500000000003</v>
      </c>
      <c r="Q127" s="803">
        <f t="shared" si="374"/>
        <v>388.74299999999999</v>
      </c>
      <c r="R127" s="805">
        <f t="shared" si="374"/>
        <v>460.95800000000003</v>
      </c>
      <c r="S127" s="803">
        <f t="shared" si="374"/>
        <v>474.99599999999992</v>
      </c>
      <c r="T127" s="805">
        <f t="shared" ref="T127:U127" si="375">SUM(T125:T126)</f>
        <v>396.27699999999999</v>
      </c>
      <c r="U127" s="803">
        <f t="shared" si="375"/>
        <v>400.55200000000002</v>
      </c>
      <c r="V127" s="805">
        <f t="shared" ref="V127:W127" si="376">SUM(V125:V126)</f>
        <v>482.71199999999999</v>
      </c>
      <c r="W127" s="803">
        <f t="shared" si="376"/>
        <v>550.97199999999998</v>
      </c>
      <c r="AE127" s="803">
        <f t="shared" ref="AE127:AS127" si="377">SUM(AE125:AE126)</f>
        <v>-4.5170409999999999</v>
      </c>
      <c r="AF127" s="803">
        <f t="shared" si="377"/>
        <v>-5.2836369999999997</v>
      </c>
      <c r="AG127" s="803">
        <f t="shared" si="377"/>
        <v>-16.192152</v>
      </c>
      <c r="AH127" s="803">
        <f t="shared" si="377"/>
        <v>-10.488581999999999</v>
      </c>
      <c r="AI127" s="803">
        <f t="shared" si="377"/>
        <v>-11.765978</v>
      </c>
      <c r="AJ127" s="803">
        <f t="shared" si="377"/>
        <v>-13.422273000000001</v>
      </c>
      <c r="AK127" s="803">
        <f t="shared" si="377"/>
        <v>-12.100166</v>
      </c>
      <c r="AL127" s="803">
        <f t="shared" si="377"/>
        <v>-19.666526000000001</v>
      </c>
      <c r="AM127" s="803">
        <f t="shared" si="377"/>
        <v>-21.199393000000001</v>
      </c>
      <c r="AN127" s="803">
        <f t="shared" si="377"/>
        <v>-20.191564</v>
      </c>
      <c r="AO127" s="803">
        <f t="shared" si="377"/>
        <v>-31.841984999999998</v>
      </c>
      <c r="AP127" s="803">
        <f t="shared" si="377"/>
        <v>-34.721339999999998</v>
      </c>
      <c r="AQ127" s="803">
        <f t="shared" si="377"/>
        <v>-50.322921000000001</v>
      </c>
      <c r="AR127" s="803">
        <f t="shared" si="377"/>
        <v>-58.832000000000001</v>
      </c>
      <c r="AS127" s="803">
        <f t="shared" si="377"/>
        <v>-77.762</v>
      </c>
      <c r="AT127" s="803">
        <f>SUM(AT125:AT126)</f>
        <v>-111.563</v>
      </c>
      <c r="AU127" s="803">
        <f t="shared" ref="AU127:AX127" si="378">SUM(AU125:AU126)</f>
        <v>-119.879</v>
      </c>
      <c r="AV127" s="803">
        <v>-160.684</v>
      </c>
      <c r="AW127" s="803">
        <f t="shared" si="378"/>
        <v>193.41900000000001</v>
      </c>
      <c r="AX127" s="803">
        <f t="shared" si="378"/>
        <v>268.74799999999999</v>
      </c>
      <c r="AY127" s="803">
        <f t="shared" ref="AY127:BA127" si="379">SUM(AY125:AY126)</f>
        <v>290.19899999999996</v>
      </c>
      <c r="AZ127" s="803">
        <f t="shared" si="379"/>
        <v>318.21500000000003</v>
      </c>
      <c r="BA127" s="803">
        <f t="shared" si="379"/>
        <v>460.95800000000003</v>
      </c>
      <c r="BB127" s="803"/>
      <c r="BC127" s="803"/>
    </row>
    <row r="128" spans="1:56" s="763" customFormat="1" ht="14.5" hidden="1" outlineLevel="1" x14ac:dyDescent="0.25">
      <c r="A128" s="1171" t="s">
        <v>220</v>
      </c>
      <c r="C128" s="803">
        <f t="shared" ref="C128" si="380">C127+C122</f>
        <v>241.84199999999998</v>
      </c>
      <c r="D128" s="803">
        <f t="shared" ref="D128" si="381">D127+D122</f>
        <v>318.94200000000001</v>
      </c>
      <c r="E128" s="804">
        <f t="shared" ref="E128:F128" si="382">E127+E122</f>
        <v>291.42700000000002</v>
      </c>
      <c r="F128" s="803">
        <f t="shared" si="382"/>
        <v>87.36399999999999</v>
      </c>
      <c r="G128" s="803">
        <f t="shared" ref="G128:H128" si="383">G127+G122</f>
        <v>353.09000000000003</v>
      </c>
      <c r="H128" s="805">
        <f t="shared" si="383"/>
        <v>409.786</v>
      </c>
      <c r="I128" s="803">
        <f t="shared" ref="I128:J128" si="384">I127+I122</f>
        <v>433.88900000000001</v>
      </c>
      <c r="J128" s="805">
        <f t="shared" si="384"/>
        <v>487.654</v>
      </c>
      <c r="K128" s="803">
        <f t="shared" ref="K128:S128" si="385">K127+K122</f>
        <v>590.00699999999995</v>
      </c>
      <c r="L128" s="805">
        <f t="shared" si="385"/>
        <v>652.88799999999992</v>
      </c>
      <c r="M128" s="803">
        <f t="shared" si="385"/>
        <v>638.49500000000012</v>
      </c>
      <c r="N128" s="805">
        <f t="shared" si="385"/>
        <v>721.14499999999998</v>
      </c>
      <c r="O128" s="803">
        <f t="shared" si="385"/>
        <v>648.9670000000001</v>
      </c>
      <c r="P128" s="805">
        <f t="shared" si="385"/>
        <v>815.57400000000007</v>
      </c>
      <c r="Q128" s="803">
        <f t="shared" si="385"/>
        <v>940.6099999999999</v>
      </c>
      <c r="R128" s="805">
        <f t="shared" si="385"/>
        <v>1133.0160000000001</v>
      </c>
      <c r="S128" s="803">
        <f t="shared" si="385"/>
        <v>1153.6869999999999</v>
      </c>
      <c r="T128" s="805">
        <f t="shared" ref="T128:U128" si="386">T127+T122</f>
        <v>1043.999</v>
      </c>
      <c r="U128" s="803">
        <f t="shared" si="386"/>
        <v>1046.71</v>
      </c>
      <c r="V128" s="805">
        <f t="shared" ref="V128:W128" si="387">V127+V122</f>
        <v>1263.461</v>
      </c>
      <c r="W128" s="803">
        <f t="shared" si="387"/>
        <v>1382.8530000000001</v>
      </c>
      <c r="AE128" s="803">
        <f t="shared" ref="AE128:AQ128" si="388">AE127+AE122</f>
        <v>1.8936360000000008</v>
      </c>
      <c r="AF128" s="803">
        <f t="shared" si="388"/>
        <v>2.6036750000000008</v>
      </c>
      <c r="AG128" s="803">
        <f t="shared" si="388"/>
        <v>2.6526890000000023</v>
      </c>
      <c r="AH128" s="803">
        <f t="shared" si="388"/>
        <v>3.0357890000000012</v>
      </c>
      <c r="AI128" s="803">
        <f t="shared" si="388"/>
        <v>4.7134929999999997</v>
      </c>
      <c r="AJ128" s="803">
        <f t="shared" si="388"/>
        <v>3.2077239999999989</v>
      </c>
      <c r="AK128" s="803">
        <f t="shared" si="388"/>
        <v>4.3010390000000012</v>
      </c>
      <c r="AL128" s="803">
        <f t="shared" si="388"/>
        <v>6.6973470000000006</v>
      </c>
      <c r="AM128" s="803">
        <f t="shared" si="388"/>
        <v>9.9466639999999984</v>
      </c>
      <c r="AN128" s="803">
        <f t="shared" si="388"/>
        <v>14.976743000000006</v>
      </c>
      <c r="AO128" s="803">
        <f t="shared" si="388"/>
        <v>13.203077000000004</v>
      </c>
      <c r="AP128" s="803">
        <f t="shared" si="388"/>
        <v>25.048490000000001</v>
      </c>
      <c r="AQ128" s="803">
        <f t="shared" si="388"/>
        <v>41.958799999999989</v>
      </c>
      <c r="AR128" s="803">
        <f>AR127+AR122</f>
        <v>48.383000000000003</v>
      </c>
      <c r="AS128" s="803">
        <f t="shared" ref="AS128:AT128" si="389">AS127+AS122</f>
        <v>72.298999999999978</v>
      </c>
      <c r="AT128" s="803">
        <f t="shared" si="389"/>
        <v>95.816000000000017</v>
      </c>
      <c r="AU128" s="803">
        <f t="shared" ref="AU128:AV128" si="390">AU127+AU122</f>
        <v>87.36399999999999</v>
      </c>
      <c r="AV128" s="803">
        <f t="shared" si="390"/>
        <v>88.418000000000006</v>
      </c>
      <c r="AW128" s="803">
        <f t="shared" ref="AW128:AX128" si="391">AW127+AW122</f>
        <v>487.654</v>
      </c>
      <c r="AX128" s="803">
        <f t="shared" si="391"/>
        <v>652.88799999999992</v>
      </c>
      <c r="AY128" s="803">
        <f t="shared" ref="AY128:BA128" si="392">AY127+AY122</f>
        <v>721.14499999999998</v>
      </c>
      <c r="AZ128" s="803">
        <f t="shared" si="392"/>
        <v>815.57400000000007</v>
      </c>
      <c r="BA128" s="803">
        <f t="shared" si="392"/>
        <v>1133.0160000000001</v>
      </c>
      <c r="BB128" s="803"/>
      <c r="BC128" s="803"/>
    </row>
    <row r="129" spans="1:55" s="763" customFormat="1" hidden="1" outlineLevel="1" x14ac:dyDescent="0.25">
      <c r="A129" s="1171" t="s">
        <v>221</v>
      </c>
      <c r="C129" s="787">
        <f t="shared" ref="C129" si="393">C128</f>
        <v>241.84199999999998</v>
      </c>
      <c r="D129" s="787">
        <f t="shared" ref="D129" si="394">D128</f>
        <v>318.94200000000001</v>
      </c>
      <c r="E129" s="788">
        <f t="shared" ref="E129:F129" si="395">E128</f>
        <v>291.42700000000002</v>
      </c>
      <c r="F129" s="787">
        <f t="shared" si="395"/>
        <v>87.36399999999999</v>
      </c>
      <c r="G129" s="787">
        <f>G128</f>
        <v>353.09000000000003</v>
      </c>
      <c r="H129" s="789">
        <f t="shared" ref="H129:I129" si="396">H128</f>
        <v>409.786</v>
      </c>
      <c r="I129" s="787">
        <f t="shared" si="396"/>
        <v>433.88900000000001</v>
      </c>
      <c r="J129" s="789">
        <f t="shared" ref="J129:K129" si="397">J128</f>
        <v>487.654</v>
      </c>
      <c r="K129" s="787">
        <f t="shared" si="397"/>
        <v>590.00699999999995</v>
      </c>
      <c r="L129" s="789">
        <f t="shared" ref="L129:S129" si="398">L128</f>
        <v>652.88799999999992</v>
      </c>
      <c r="M129" s="787">
        <f t="shared" si="398"/>
        <v>638.49500000000012</v>
      </c>
      <c r="N129" s="789">
        <f t="shared" si="398"/>
        <v>721.14499999999998</v>
      </c>
      <c r="O129" s="787">
        <f t="shared" si="398"/>
        <v>648.9670000000001</v>
      </c>
      <c r="P129" s="789">
        <f t="shared" si="398"/>
        <v>815.57400000000007</v>
      </c>
      <c r="Q129" s="787">
        <f t="shared" si="398"/>
        <v>940.6099999999999</v>
      </c>
      <c r="R129" s="789">
        <f t="shared" si="398"/>
        <v>1133.0160000000001</v>
      </c>
      <c r="S129" s="787">
        <f t="shared" si="398"/>
        <v>1153.6869999999999</v>
      </c>
      <c r="T129" s="789">
        <f t="shared" ref="T129:U129" si="399">T128</f>
        <v>1043.999</v>
      </c>
      <c r="U129" s="787">
        <f t="shared" si="399"/>
        <v>1046.71</v>
      </c>
      <c r="V129" s="789">
        <f t="shared" ref="V129:W129" si="400">V128</f>
        <v>1263.461</v>
      </c>
      <c r="W129" s="787">
        <f t="shared" si="400"/>
        <v>1382.8530000000001</v>
      </c>
      <c r="AE129" s="787">
        <f t="shared" ref="AE129:AQ129" si="401">AE128</f>
        <v>1.8936360000000008</v>
      </c>
      <c r="AF129" s="787">
        <f t="shared" si="401"/>
        <v>2.6036750000000008</v>
      </c>
      <c r="AG129" s="787">
        <f t="shared" si="401"/>
        <v>2.6526890000000023</v>
      </c>
      <c r="AH129" s="787">
        <f t="shared" si="401"/>
        <v>3.0357890000000012</v>
      </c>
      <c r="AI129" s="787">
        <f t="shared" si="401"/>
        <v>4.7134929999999997</v>
      </c>
      <c r="AJ129" s="787">
        <f t="shared" si="401"/>
        <v>3.2077239999999989</v>
      </c>
      <c r="AK129" s="787">
        <f t="shared" si="401"/>
        <v>4.3010390000000012</v>
      </c>
      <c r="AL129" s="787">
        <f t="shared" si="401"/>
        <v>6.6973470000000006</v>
      </c>
      <c r="AM129" s="787">
        <f t="shared" si="401"/>
        <v>9.9466639999999984</v>
      </c>
      <c r="AN129" s="787">
        <f t="shared" si="401"/>
        <v>14.976743000000006</v>
      </c>
      <c r="AO129" s="787">
        <f t="shared" si="401"/>
        <v>13.203077000000004</v>
      </c>
      <c r="AP129" s="787">
        <f t="shared" si="401"/>
        <v>25.048490000000001</v>
      </c>
      <c r="AQ129" s="787">
        <f t="shared" si="401"/>
        <v>41.958799999999989</v>
      </c>
      <c r="AR129" s="787">
        <f>AR128</f>
        <v>48.383000000000003</v>
      </c>
      <c r="AS129" s="787">
        <f t="shared" ref="AS129:AT129" si="402">AS128</f>
        <v>72.298999999999978</v>
      </c>
      <c r="AT129" s="787">
        <f t="shared" si="402"/>
        <v>95.816000000000017</v>
      </c>
      <c r="AU129" s="787">
        <f t="shared" ref="AU129:AV129" si="403">AU128</f>
        <v>87.36399999999999</v>
      </c>
      <c r="AV129" s="787">
        <f t="shared" si="403"/>
        <v>88.418000000000006</v>
      </c>
      <c r="AW129" s="787">
        <f t="shared" ref="AW129:AX129" si="404">AW128</f>
        <v>487.654</v>
      </c>
      <c r="AX129" s="787">
        <f t="shared" si="404"/>
        <v>652.88799999999992</v>
      </c>
      <c r="AY129" s="787">
        <f t="shared" ref="AY129:BA129" si="405">AY128</f>
        <v>721.14499999999998</v>
      </c>
      <c r="AZ129" s="787">
        <f t="shared" si="405"/>
        <v>815.57400000000007</v>
      </c>
      <c r="BA129" s="787">
        <f t="shared" si="405"/>
        <v>1133.0160000000001</v>
      </c>
      <c r="BB129" s="787"/>
      <c r="BC129" s="787"/>
    </row>
    <row r="130" spans="1:55" s="763" customFormat="1" hidden="1" outlineLevel="1" x14ac:dyDescent="0.25">
      <c r="A130" s="806"/>
      <c r="C130" s="787"/>
      <c r="D130" s="787"/>
      <c r="E130" s="788"/>
      <c r="F130" s="787"/>
      <c r="G130" s="787"/>
      <c r="H130" s="789"/>
      <c r="I130" s="787"/>
      <c r="J130" s="789"/>
      <c r="K130" s="787"/>
      <c r="L130" s="789"/>
      <c r="M130" s="787"/>
      <c r="N130" s="789"/>
      <c r="O130" s="787"/>
      <c r="P130" s="789"/>
      <c r="Q130" s="787"/>
      <c r="R130" s="789"/>
      <c r="S130" s="787"/>
      <c r="T130" s="789"/>
      <c r="U130" s="787"/>
      <c r="V130" s="789"/>
      <c r="W130" s="787"/>
      <c r="AE130" s="787"/>
      <c r="AF130" s="787"/>
      <c r="AG130" s="787"/>
      <c r="AH130" s="787"/>
      <c r="AI130" s="787"/>
      <c r="AJ130" s="787"/>
      <c r="AK130" s="787"/>
      <c r="AL130" s="787"/>
      <c r="AM130" s="787"/>
      <c r="AN130" s="787"/>
      <c r="AO130" s="787"/>
      <c r="AP130" s="787"/>
      <c r="AQ130" s="787"/>
      <c r="AR130" s="787"/>
      <c r="AS130" s="787"/>
      <c r="AT130" s="787"/>
      <c r="AU130" s="787"/>
      <c r="AV130" s="787"/>
      <c r="AW130" s="787"/>
      <c r="AX130" s="787"/>
      <c r="AY130" s="787"/>
      <c r="AZ130" s="787"/>
      <c r="BA130" s="787"/>
      <c r="BB130" s="787"/>
      <c r="BC130" s="787"/>
    </row>
    <row r="131" spans="1:55" hidden="1" outlineLevel="1" x14ac:dyDescent="0.25">
      <c r="A131" s="771" t="s">
        <v>222</v>
      </c>
      <c r="E131" s="790"/>
      <c r="H131" s="791"/>
      <c r="J131" s="791"/>
      <c r="L131" s="791"/>
      <c r="N131" s="791"/>
      <c r="P131" s="791"/>
      <c r="R131" s="791"/>
      <c r="T131" s="791"/>
      <c r="V131" s="791"/>
    </row>
    <row r="132" spans="1:55" hidden="1" outlineLevel="1" x14ac:dyDescent="0.25">
      <c r="A132" s="763"/>
      <c r="E132" s="790"/>
      <c r="H132" s="791"/>
      <c r="J132" s="791"/>
      <c r="L132" s="791"/>
      <c r="N132" s="791"/>
      <c r="P132" s="791"/>
      <c r="R132" s="791"/>
      <c r="T132" s="791"/>
      <c r="V132" s="791"/>
    </row>
    <row r="133" spans="1:55" hidden="1" outlineLevel="1" x14ac:dyDescent="0.25">
      <c r="A133" s="760" t="s">
        <v>223</v>
      </c>
      <c r="C133" s="772">
        <f>C397</f>
        <v>9.5550000000000015</v>
      </c>
      <c r="D133" s="772">
        <f>D397</f>
        <v>37.856000000000002</v>
      </c>
      <c r="E133" s="773">
        <f>E397</f>
        <v>18.497000000000003</v>
      </c>
      <c r="F133" s="772">
        <f>F397</f>
        <v>11.428000000000001</v>
      </c>
      <c r="G133" s="772">
        <f>G397</f>
        <v>20.12</v>
      </c>
      <c r="H133" s="774">
        <f t="shared" ref="H133:I133" si="406">H397</f>
        <v>20.851000000000006</v>
      </c>
      <c r="I133" s="772">
        <f t="shared" si="406"/>
        <v>20.591999999999999</v>
      </c>
      <c r="J133" s="774">
        <f>+AW133-I133</f>
        <v>36.459000000000003</v>
      </c>
      <c r="K133" s="772">
        <f>+K397</f>
        <v>28.463000000000008</v>
      </c>
      <c r="L133" s="774">
        <f t="shared" ref="L133:S133" si="407">+L397</f>
        <v>36.196000000000019</v>
      </c>
      <c r="M133" s="772">
        <f t="shared" si="407"/>
        <v>24.962000000000003</v>
      </c>
      <c r="N133" s="774">
        <f t="shared" si="407"/>
        <v>39.207999999999998</v>
      </c>
      <c r="O133" s="772">
        <f t="shared" si="407"/>
        <v>44.075999999999986</v>
      </c>
      <c r="P133" s="774">
        <f t="shared" si="407"/>
        <v>47.175999999999988</v>
      </c>
      <c r="Q133" s="772">
        <f t="shared" si="407"/>
        <v>46.168000000000006</v>
      </c>
      <c r="R133" s="774">
        <f t="shared" si="407"/>
        <v>37.47600000000002</v>
      </c>
      <c r="S133" s="772">
        <f t="shared" si="407"/>
        <v>61.118000000000002</v>
      </c>
      <c r="T133" s="774">
        <f t="shared" ref="T133:U133" si="408">+T397</f>
        <v>43.684000000000019</v>
      </c>
      <c r="U133" s="772">
        <f t="shared" si="408"/>
        <v>51.197999999999986</v>
      </c>
      <c r="V133" s="774">
        <f t="shared" ref="V133:W133" si="409">+V397</f>
        <v>64.410000000000025</v>
      </c>
      <c r="W133" s="772">
        <f t="shared" si="409"/>
        <v>65.329000000000008</v>
      </c>
      <c r="AE133" s="772">
        <f>'CapIQ - as disclosed'!G106/1000000</f>
        <v>-0.84483399999999997</v>
      </c>
      <c r="AF133" s="772">
        <f>'CapIQ - as disclosed'!H106/1000000</f>
        <v>0.66260600000000003</v>
      </c>
      <c r="AG133" s="772">
        <f>'CapIQ - as disclosed'!I106/1000000</f>
        <v>-0.72910200000000003</v>
      </c>
      <c r="AH133" s="772">
        <f>'CapIQ - as disclosed'!J106/1000000</f>
        <v>5.3384619999999998</v>
      </c>
      <c r="AI133" s="772">
        <f>'CapIQ - as disclosed'!K106/1000000</f>
        <v>-0.110233</v>
      </c>
      <c r="AJ133" s="772">
        <f>'CapIQ - as disclosed'!L106/1000000</f>
        <v>-2.8648910000000001</v>
      </c>
      <c r="AK133" s="772">
        <f>'CapIQ - as disclosed'!M106/1000000</f>
        <v>0.41661599999999999</v>
      </c>
      <c r="AL133" s="772">
        <f>'CapIQ - as disclosed'!N106/1000000</f>
        <v>3.800249</v>
      </c>
      <c r="AM133" s="772">
        <f>'CapIQ - as disclosed'!O106/1000000</f>
        <v>6.5251669999999997</v>
      </c>
      <c r="AN133" s="772">
        <f>'CapIQ - as disclosed'!P106/1000000</f>
        <v>7.5729470000000001</v>
      </c>
      <c r="AO133" s="772">
        <f>'CapIQ - as disclosed'!Q106/1000000</f>
        <v>8.9406809999999997</v>
      </c>
      <c r="AP133" s="772">
        <f>'CapIQ - as disclosed'!R106/1000000</f>
        <v>1.458502</v>
      </c>
      <c r="AQ133" s="772">
        <f>'CapIQ - as disclosed'!S106/1000000</f>
        <v>14.596748</v>
      </c>
      <c r="AR133" s="772">
        <f>'CapIQ - as disclosed'!T106/1000000</f>
        <v>17.656744</v>
      </c>
      <c r="AS133" s="772">
        <v>35.673000000000002</v>
      </c>
      <c r="AT133" s="772">
        <v>47.411000000000001</v>
      </c>
      <c r="AU133" s="772">
        <f>AU397</f>
        <v>29.924999999999997</v>
      </c>
      <c r="AV133" s="772">
        <f>AV397</f>
        <v>40.970999999999997</v>
      </c>
      <c r="AW133" s="772">
        <f t="shared" ref="AW133:AZ133" si="410">+AW397</f>
        <v>57.051000000000002</v>
      </c>
      <c r="AX133" s="772">
        <f t="shared" si="410"/>
        <v>64.65900000000002</v>
      </c>
      <c r="AY133" s="772">
        <f t="shared" si="410"/>
        <v>64.17</v>
      </c>
      <c r="AZ133" s="772">
        <f t="shared" si="410"/>
        <v>91.251999999999981</v>
      </c>
      <c r="BA133" s="772">
        <f t="shared" ref="BA133" si="411">+BA397</f>
        <v>83.644000000000005</v>
      </c>
      <c r="BB133" s="772"/>
      <c r="BC133" s="772"/>
    </row>
    <row r="134" spans="1:55" hidden="1" outlineLevel="1" x14ac:dyDescent="0.25">
      <c r="A134" s="760" t="s">
        <v>224</v>
      </c>
      <c r="C134" s="772">
        <f t="shared" ref="C134:I134" si="412">C429</f>
        <v>-1.278</v>
      </c>
      <c r="D134" s="772">
        <f t="shared" si="412"/>
        <v>-1.028</v>
      </c>
      <c r="E134" s="773">
        <f t="shared" si="412"/>
        <v>-0.90900000000000003</v>
      </c>
      <c r="F134" s="772">
        <f t="shared" si="412"/>
        <v>-0.59399999999999997</v>
      </c>
      <c r="G134" s="772">
        <f t="shared" si="412"/>
        <v>-1.0050000000000001</v>
      </c>
      <c r="H134" s="774">
        <f t="shared" si="412"/>
        <v>-0.30699999999999994</v>
      </c>
      <c r="I134" s="772">
        <f t="shared" si="412"/>
        <v>-0.58620000000000005</v>
      </c>
      <c r="J134" s="774">
        <f>+AW134-I134</f>
        <v>-0.38079999999999992</v>
      </c>
      <c r="K134" s="772">
        <f>+K406</f>
        <v>-1.21</v>
      </c>
      <c r="L134" s="774">
        <f t="shared" ref="L134:S134" si="413">+L406</f>
        <v>-0.78600000000000003</v>
      </c>
      <c r="M134" s="772">
        <f t="shared" si="413"/>
        <v>-1.86</v>
      </c>
      <c r="N134" s="774">
        <f t="shared" si="413"/>
        <v>-6.8969999999999994</v>
      </c>
      <c r="O134" s="772">
        <f t="shared" si="413"/>
        <v>-3.605</v>
      </c>
      <c r="P134" s="774">
        <f t="shared" si="413"/>
        <v>-2.831</v>
      </c>
      <c r="Q134" s="772">
        <f t="shared" si="413"/>
        <v>-2.8079999999999998</v>
      </c>
      <c r="R134" s="774">
        <f t="shared" si="413"/>
        <v>-2.1640000000000001</v>
      </c>
      <c r="S134" s="772">
        <f t="shared" si="413"/>
        <v>-1.262</v>
      </c>
      <c r="T134" s="774">
        <f t="shared" ref="T134:U134" si="414">+T406</f>
        <v>-0.81199999999999983</v>
      </c>
      <c r="U134" s="772">
        <f t="shared" si="414"/>
        <v>-1.1470000000000002</v>
      </c>
      <c r="V134" s="774">
        <f t="shared" ref="V134:W134" si="415">+V406</f>
        <v>-0.20700000000000074</v>
      </c>
      <c r="W134" s="772">
        <f t="shared" si="415"/>
        <v>-4.2110000000000003</v>
      </c>
      <c r="AE134" s="772">
        <f>'CapIQ - as disclosed'!G124/1000000</f>
        <v>-0.35749399999999998</v>
      </c>
      <c r="AF134" s="772">
        <f>'CapIQ - as disclosed'!H124/1000000</f>
        <v>-0.62785800000000003</v>
      </c>
      <c r="AG134" s="772">
        <f>'CapIQ - as disclosed'!I124/1000000</f>
        <v>-0.65502300000000002</v>
      </c>
      <c r="AH134" s="772">
        <f>'CapIQ - as disclosed'!J124/1000000</f>
        <v>-0.57515899999999998</v>
      </c>
      <c r="AI134" s="772">
        <f>'CapIQ - as disclosed'!K124/1000000</f>
        <v>0.52584900000000001</v>
      </c>
      <c r="AJ134" s="772">
        <f>'CapIQ - as disclosed'!L124/1000000</f>
        <v>-0.70625499999999997</v>
      </c>
      <c r="AK134" s="772">
        <f>'CapIQ - as disclosed'!M124/1000000</f>
        <v>-0.269619</v>
      </c>
      <c r="AL134" s="772">
        <f>'CapIQ - as disclosed'!N124/1000000</f>
        <v>-1.3038540000000001</v>
      </c>
      <c r="AM134" s="772">
        <f>'CapIQ - as disclosed'!O124/1000000</f>
        <v>-1.8909400000000001</v>
      </c>
      <c r="AN134" s="772">
        <f>'CapIQ - as disclosed'!P124/1000000</f>
        <v>-2.5324550000000001</v>
      </c>
      <c r="AO134" s="772">
        <f>'CapIQ - as disclosed'!Q124/1000000</f>
        <v>-11.418021</v>
      </c>
      <c r="AP134" s="772">
        <f>'CapIQ - as disclosed'!R124/1000000</f>
        <v>-3.983762</v>
      </c>
      <c r="AQ134" s="772">
        <f>'CapIQ - as disclosed'!S124/1000000</f>
        <v>-10.813890000000001</v>
      </c>
      <c r="AR134" s="772">
        <v>-3.016</v>
      </c>
      <c r="AS134" s="772">
        <v>-2.0499999999999998</v>
      </c>
      <c r="AT134" s="772">
        <v>-2.306</v>
      </c>
      <c r="AU134" s="772">
        <f>AU406</f>
        <v>-1.502</v>
      </c>
      <c r="AV134" s="772">
        <f>AV406</f>
        <v>-1.3120000000000001</v>
      </c>
      <c r="AW134" s="772">
        <f t="shared" ref="AW134:AZ134" si="416">+AW406</f>
        <v>-0.96699999999999997</v>
      </c>
      <c r="AX134" s="772">
        <f t="shared" si="416"/>
        <v>-1.9960000000000002</v>
      </c>
      <c r="AY134" s="772">
        <f t="shared" si="416"/>
        <v>-8.7569999999999997</v>
      </c>
      <c r="AZ134" s="772">
        <f t="shared" si="416"/>
        <v>-6.4359999999999999</v>
      </c>
      <c r="BA134" s="772">
        <f t="shared" ref="BA134" si="417">+BA406</f>
        <v>-4.9720000000000004</v>
      </c>
      <c r="BB134" s="772"/>
      <c r="BC134" s="772"/>
    </row>
    <row r="135" spans="1:55" ht="13" hidden="1" outlineLevel="1" x14ac:dyDescent="0.25">
      <c r="A135" s="760" t="s">
        <v>225</v>
      </c>
      <c r="C135" s="780">
        <f t="shared" ref="C135:I135" si="418">C435</f>
        <v>-8.59</v>
      </c>
      <c r="D135" s="780">
        <f t="shared" si="418"/>
        <v>0.40700000000000003</v>
      </c>
      <c r="E135" s="781">
        <f t="shared" si="418"/>
        <v>-37.349000000000004</v>
      </c>
      <c r="F135" s="780">
        <f t="shared" si="418"/>
        <v>-3.355000000000004</v>
      </c>
      <c r="G135" s="780">
        <f t="shared" si="418"/>
        <v>-34.856000000000002</v>
      </c>
      <c r="H135" s="782">
        <f t="shared" si="418"/>
        <v>-5.5210000000000043</v>
      </c>
      <c r="I135" s="780">
        <f t="shared" si="418"/>
        <v>-38.367000000000004</v>
      </c>
      <c r="J135" s="782">
        <f>+AW135-I135</f>
        <v>-6.5289999999999964</v>
      </c>
      <c r="K135" s="780">
        <f>+K416</f>
        <v>-47.31</v>
      </c>
      <c r="L135" s="782">
        <f t="shared" ref="L135:S135" si="419">+L416</f>
        <v>-8.9209999999999994</v>
      </c>
      <c r="M135" s="780">
        <f t="shared" si="419"/>
        <v>-52.932000000000002</v>
      </c>
      <c r="N135" s="782">
        <f t="shared" si="419"/>
        <v>-1.6049999999999998</v>
      </c>
      <c r="O135" s="780">
        <f t="shared" si="419"/>
        <v>-49.365000000000002</v>
      </c>
      <c r="P135" s="782">
        <f t="shared" si="419"/>
        <v>-13.865999999999994</v>
      </c>
      <c r="Q135" s="780">
        <f t="shared" si="419"/>
        <v>-70.801000000000002</v>
      </c>
      <c r="R135" s="782">
        <f t="shared" si="419"/>
        <v>-15.841000000000003</v>
      </c>
      <c r="S135" s="780">
        <f t="shared" si="419"/>
        <v>-59.301999999999992</v>
      </c>
      <c r="T135" s="782">
        <f t="shared" ref="T135:U135" si="420">+T416</f>
        <v>-17.917000000000002</v>
      </c>
      <c r="U135" s="780">
        <f t="shared" si="420"/>
        <v>-60.219000000000001</v>
      </c>
      <c r="V135" s="782">
        <f t="shared" ref="V135:W135" si="421">+V416</f>
        <v>-18.201000000000001</v>
      </c>
      <c r="W135" s="780">
        <f t="shared" si="421"/>
        <v>-78.646000000000001</v>
      </c>
      <c r="AE135" s="780">
        <f>'CapIQ - as disclosed'!G136/1000000</f>
        <v>-2.1787999999999998E-2</v>
      </c>
      <c r="AF135" s="780">
        <f>'CapIQ - as disclosed'!H136/1000000</f>
        <v>-2.1878000000000002E-2</v>
      </c>
      <c r="AG135" s="780">
        <f>'CapIQ - as disclosed'!I136/1000000</f>
        <v>-1.8106000000000001E-2</v>
      </c>
      <c r="AH135" s="780">
        <f>'CapIQ - as disclosed'!J136/1000000</f>
        <v>-9.4280000000000006E-3</v>
      </c>
      <c r="AI135" s="780">
        <f>'CapIQ - as disclosed'!K136/1000000</f>
        <v>-3.1419999999999998E-3</v>
      </c>
      <c r="AJ135" s="780">
        <f>'CapIQ - as disclosed'!L136/1000000</f>
        <v>5.8631000000000003E-2</v>
      </c>
      <c r="AK135" s="780">
        <f>'CapIQ - as disclosed'!M136/1000000</f>
        <v>6.0700000000000001E-4</v>
      </c>
      <c r="AL135" s="780">
        <f>'CapIQ - as disclosed'!N136/1000000</f>
        <v>0</v>
      </c>
      <c r="AM135" s="780">
        <f>'CapIQ - as disclosed'!O136/1000000</f>
        <v>1.36E-4</v>
      </c>
      <c r="AN135" s="780">
        <f>'CapIQ - as disclosed'!P136/1000000</f>
        <v>0</v>
      </c>
      <c r="AO135" s="780">
        <f>'CapIQ - as disclosed'!Q136/1000000</f>
        <v>0.17061899999999999</v>
      </c>
      <c r="AP135" s="780">
        <f>'CapIQ - as disclosed'!R136/1000000</f>
        <v>0.17638599999999999</v>
      </c>
      <c r="AQ135" s="780">
        <f>'CapIQ - as disclosed'!S136/1000000</f>
        <v>0.379133</v>
      </c>
      <c r="AR135" s="780">
        <v>-16.068999999999999</v>
      </c>
      <c r="AS135" s="780">
        <v>-4.5789999999999997</v>
      </c>
      <c r="AT135" s="780">
        <v>-8.1829999999999998</v>
      </c>
      <c r="AU135" s="780">
        <f>AU435</f>
        <v>-40.704000000000001</v>
      </c>
      <c r="AV135" s="780">
        <f>AV435</f>
        <v>-40.377000000000002</v>
      </c>
      <c r="AW135" s="780">
        <f t="shared" ref="AW135:AZ135" si="422">+AW416</f>
        <v>-44.896000000000001</v>
      </c>
      <c r="AX135" s="780">
        <f t="shared" si="422"/>
        <v>-56.231000000000002</v>
      </c>
      <c r="AY135" s="780">
        <f t="shared" si="422"/>
        <v>-54.536999999999999</v>
      </c>
      <c r="AZ135" s="780">
        <f t="shared" si="422"/>
        <v>-63.230999999999995</v>
      </c>
      <c r="BA135" s="780">
        <f t="shared" ref="BA135" si="423">+BA416</f>
        <v>-86.641999999999996</v>
      </c>
      <c r="BB135" s="780"/>
      <c r="BC135" s="780"/>
    </row>
    <row r="136" spans="1:55" s="763" customFormat="1" hidden="1" outlineLevel="1" x14ac:dyDescent="0.25">
      <c r="A136" s="786" t="s">
        <v>226</v>
      </c>
      <c r="C136" s="787">
        <f t="shared" ref="C136" si="424">SUM(C133:C135)</f>
        <v>-0.31299999999999883</v>
      </c>
      <c r="D136" s="787">
        <f t="shared" ref="D136" si="425">SUM(D133:D135)</f>
        <v>37.234999999999999</v>
      </c>
      <c r="E136" s="788">
        <f>SUM(E133:E135)</f>
        <v>-19.760999999999999</v>
      </c>
      <c r="F136" s="787">
        <f>SUM(F133:F135)</f>
        <v>7.4789999999999974</v>
      </c>
      <c r="G136" s="787">
        <f>SUM(G133:G135)</f>
        <v>-15.741</v>
      </c>
      <c r="H136" s="789">
        <f t="shared" ref="H136:J136" si="426">SUM(H133:H135)</f>
        <v>15.023000000000003</v>
      </c>
      <c r="I136" s="787">
        <f t="shared" si="426"/>
        <v>-18.361200000000007</v>
      </c>
      <c r="J136" s="789">
        <f t="shared" si="426"/>
        <v>29.549200000000006</v>
      </c>
      <c r="K136" s="787">
        <f t="shared" ref="K136" si="427">SUM(K133:K135)</f>
        <v>-20.056999999999995</v>
      </c>
      <c r="L136" s="789">
        <f t="shared" ref="L136:S136" si="428">SUM(L133:L135)</f>
        <v>26.489000000000019</v>
      </c>
      <c r="M136" s="787">
        <f t="shared" si="428"/>
        <v>-29.83</v>
      </c>
      <c r="N136" s="789">
        <f t="shared" si="428"/>
        <v>30.706</v>
      </c>
      <c r="O136" s="787">
        <f t="shared" si="428"/>
        <v>-8.8940000000000126</v>
      </c>
      <c r="P136" s="789">
        <f t="shared" si="428"/>
        <v>30.478999999999992</v>
      </c>
      <c r="Q136" s="787">
        <f t="shared" si="428"/>
        <v>-27.440999999999995</v>
      </c>
      <c r="R136" s="789">
        <f t="shared" si="428"/>
        <v>19.471000000000018</v>
      </c>
      <c r="S136" s="787">
        <f t="shared" si="428"/>
        <v>0.55400000000000915</v>
      </c>
      <c r="T136" s="789">
        <f t="shared" ref="T136:U136" si="429">SUM(T133:T135)</f>
        <v>24.95500000000002</v>
      </c>
      <c r="U136" s="787">
        <f t="shared" si="429"/>
        <v>-10.168000000000013</v>
      </c>
      <c r="V136" s="789">
        <f t="shared" ref="V136:W136" si="430">SUM(V133:V135)</f>
        <v>46.002000000000031</v>
      </c>
      <c r="W136" s="787">
        <f t="shared" si="430"/>
        <v>-17.527999999999992</v>
      </c>
      <c r="AE136" s="787">
        <f t="shared" ref="AE136:AQ136" si="431">SUM(AE133:AE135)</f>
        <v>-1.224116</v>
      </c>
      <c r="AF136" s="787">
        <f t="shared" si="431"/>
        <v>1.2869999999999999E-2</v>
      </c>
      <c r="AG136" s="787">
        <f t="shared" si="431"/>
        <v>-1.402231</v>
      </c>
      <c r="AH136" s="787">
        <f t="shared" si="431"/>
        <v>4.7538749999999999</v>
      </c>
      <c r="AI136" s="787">
        <f t="shared" si="431"/>
        <v>0.41247400000000001</v>
      </c>
      <c r="AJ136" s="787">
        <f t="shared" si="431"/>
        <v>-3.5125150000000001</v>
      </c>
      <c r="AK136" s="787">
        <f t="shared" si="431"/>
        <v>0.14760399999999999</v>
      </c>
      <c r="AL136" s="787">
        <f t="shared" si="431"/>
        <v>2.4963949999999997</v>
      </c>
      <c r="AM136" s="787">
        <f t="shared" si="431"/>
        <v>4.6343629999999996</v>
      </c>
      <c r="AN136" s="787">
        <f t="shared" si="431"/>
        <v>5.0404920000000004</v>
      </c>
      <c r="AO136" s="787">
        <f t="shared" si="431"/>
        <v>-2.306721</v>
      </c>
      <c r="AP136" s="787">
        <f t="shared" si="431"/>
        <v>-2.3488740000000004</v>
      </c>
      <c r="AQ136" s="787">
        <f t="shared" si="431"/>
        <v>4.1619909999999996</v>
      </c>
      <c r="AR136" s="787">
        <f>SUM(AR133:AR135)</f>
        <v>-1.4282559999999993</v>
      </c>
      <c r="AS136" s="787">
        <f t="shared" ref="AS136:AT136" si="432">SUM(AS133:AS135)</f>
        <v>29.044000000000004</v>
      </c>
      <c r="AT136" s="787">
        <f t="shared" si="432"/>
        <v>36.922000000000004</v>
      </c>
      <c r="AU136" s="787">
        <f t="shared" ref="AU136:AZ136" si="433">SUM(AU133:AU135)</f>
        <v>-12.281000000000002</v>
      </c>
      <c r="AV136" s="787">
        <f t="shared" si="433"/>
        <v>-0.71800000000000352</v>
      </c>
      <c r="AW136" s="787">
        <f t="shared" si="433"/>
        <v>11.188000000000002</v>
      </c>
      <c r="AX136" s="787">
        <f t="shared" si="433"/>
        <v>6.4320000000000164</v>
      </c>
      <c r="AY136" s="787">
        <f t="shared" si="433"/>
        <v>0.87600000000000477</v>
      </c>
      <c r="AZ136" s="787">
        <f t="shared" si="433"/>
        <v>21.58499999999998</v>
      </c>
      <c r="BA136" s="787">
        <f t="shared" ref="BA136" si="434">SUM(BA133:BA135)</f>
        <v>-7.9699999999999847</v>
      </c>
      <c r="BB136" s="787"/>
      <c r="BC136" s="787"/>
    </row>
    <row r="137" spans="1:55" hidden="1" outlineLevel="1" x14ac:dyDescent="0.25">
      <c r="A137" s="760" t="s">
        <v>227</v>
      </c>
      <c r="C137" s="772">
        <f>+C417</f>
        <v>0</v>
      </c>
      <c r="D137" s="772">
        <f t="shared" ref="D137:K137" si="435">+D417</f>
        <v>0</v>
      </c>
      <c r="E137" s="773">
        <f t="shared" si="435"/>
        <v>0</v>
      </c>
      <c r="F137" s="772">
        <f t="shared" si="435"/>
        <v>0</v>
      </c>
      <c r="G137" s="772">
        <f t="shared" si="435"/>
        <v>0</v>
      </c>
      <c r="H137" s="774">
        <f t="shared" si="435"/>
        <v>0</v>
      </c>
      <c r="I137" s="772">
        <f t="shared" si="435"/>
        <v>0</v>
      </c>
      <c r="J137" s="774">
        <f t="shared" si="435"/>
        <v>0</v>
      </c>
      <c r="K137" s="772">
        <f t="shared" si="435"/>
        <v>0</v>
      </c>
      <c r="L137" s="774">
        <f t="shared" ref="L137:S137" si="436">+L417</f>
        <v>0</v>
      </c>
      <c r="M137" s="772">
        <f t="shared" si="436"/>
        <v>0</v>
      </c>
      <c r="N137" s="774">
        <f t="shared" si="436"/>
        <v>0</v>
      </c>
      <c r="O137" s="772">
        <f t="shared" si="436"/>
        <v>0</v>
      </c>
      <c r="P137" s="774">
        <f t="shared" si="436"/>
        <v>0</v>
      </c>
      <c r="Q137" s="772">
        <f t="shared" si="436"/>
        <v>0</v>
      </c>
      <c r="R137" s="774">
        <f t="shared" si="436"/>
        <v>3.5619999999999998</v>
      </c>
      <c r="S137" s="772">
        <f t="shared" si="436"/>
        <v>-0.14799999999999999</v>
      </c>
      <c r="T137" s="774">
        <f t="shared" ref="T137:U137" si="437">+T417</f>
        <v>-5.5999999999999994E-2</v>
      </c>
      <c r="U137" s="772">
        <f t="shared" si="437"/>
        <v>2E-3</v>
      </c>
      <c r="V137" s="774">
        <f t="shared" ref="V137:W137" si="438">+V417</f>
        <v>-3.0000000000000001E-3</v>
      </c>
      <c r="W137" s="772">
        <f t="shared" si="438"/>
        <v>0.11899999999999999</v>
      </c>
      <c r="AE137" s="772"/>
      <c r="AF137" s="772"/>
      <c r="AG137" s="772"/>
      <c r="AH137" s="772"/>
      <c r="AI137" s="772"/>
      <c r="AJ137" s="772"/>
      <c r="AK137" s="772"/>
      <c r="AL137" s="772"/>
      <c r="AM137" s="772"/>
      <c r="AN137" s="772"/>
      <c r="AO137" s="772"/>
      <c r="AP137" s="772"/>
      <c r="AQ137" s="772"/>
      <c r="AR137" s="772">
        <f t="shared" ref="AR137:AV137" si="439">+AR417</f>
        <v>0</v>
      </c>
      <c r="AS137" s="772">
        <f t="shared" si="439"/>
        <v>0</v>
      </c>
      <c r="AT137" s="772">
        <f t="shared" si="439"/>
        <v>0</v>
      </c>
      <c r="AU137" s="772">
        <f t="shared" si="439"/>
        <v>0</v>
      </c>
      <c r="AV137" s="772">
        <f t="shared" si="439"/>
        <v>0</v>
      </c>
      <c r="AW137" s="772">
        <f t="shared" ref="AW137:AZ137" si="440">+AW417</f>
        <v>0</v>
      </c>
      <c r="AX137" s="772">
        <f t="shared" si="440"/>
        <v>0</v>
      </c>
      <c r="AY137" s="772">
        <f t="shared" si="440"/>
        <v>0</v>
      </c>
      <c r="AZ137" s="772">
        <f t="shared" si="440"/>
        <v>0</v>
      </c>
      <c r="BA137" s="772">
        <f t="shared" ref="BA137" si="441">+BA417</f>
        <v>3.5619999999999998</v>
      </c>
      <c r="BB137" s="772"/>
      <c r="BC137" s="772"/>
    </row>
    <row r="138" spans="1:55" ht="13" hidden="1" outlineLevel="1" x14ac:dyDescent="0.25">
      <c r="A138" s="760" t="s">
        <v>228</v>
      </c>
      <c r="C138" s="780">
        <f>AS139</f>
        <v>37.720000000000006</v>
      </c>
      <c r="D138" s="780">
        <f>C139</f>
        <v>37.407000000000011</v>
      </c>
      <c r="E138" s="781">
        <f>D139</f>
        <v>74.64200000000001</v>
      </c>
      <c r="F138" s="780">
        <f>E312</f>
        <v>54.881</v>
      </c>
      <c r="G138" s="780">
        <f>F139</f>
        <v>62.36</v>
      </c>
      <c r="H138" s="782">
        <f t="shared" ref="H138" si="442">G139</f>
        <v>46.619</v>
      </c>
      <c r="I138" s="780">
        <f t="shared" ref="I138:K138" si="443">H139</f>
        <v>61.642000000000003</v>
      </c>
      <c r="J138" s="782">
        <f>+I139</f>
        <v>43.280799999999999</v>
      </c>
      <c r="K138" s="780">
        <f t="shared" si="443"/>
        <v>72.830000000000013</v>
      </c>
      <c r="L138" s="782">
        <f t="shared" ref="L138" si="444">K139</f>
        <v>52.773000000000017</v>
      </c>
      <c r="M138" s="780">
        <f t="shared" ref="M138" si="445">L139</f>
        <v>79.262000000000029</v>
      </c>
      <c r="N138" s="782">
        <f t="shared" ref="N138" si="446">M139</f>
        <v>49.432000000000031</v>
      </c>
      <c r="O138" s="780">
        <f t="shared" ref="O138" si="447">N139</f>
        <v>80.138000000000034</v>
      </c>
      <c r="P138" s="782">
        <f t="shared" ref="P138" si="448">O139</f>
        <v>71.244000000000028</v>
      </c>
      <c r="Q138" s="780">
        <f t="shared" ref="Q138" si="449">P139</f>
        <v>101.72300000000001</v>
      </c>
      <c r="R138" s="782">
        <f t="shared" ref="R138" si="450">Q139</f>
        <v>74.282000000000011</v>
      </c>
      <c r="S138" s="780">
        <f t="shared" ref="S138" si="451">R139</f>
        <v>97.315000000000026</v>
      </c>
      <c r="T138" s="782">
        <f t="shared" ref="T138" si="452">S139</f>
        <v>97.721000000000032</v>
      </c>
      <c r="U138" s="780">
        <f t="shared" ref="U138:W138" si="453">T139</f>
        <v>122.62000000000005</v>
      </c>
      <c r="V138" s="782">
        <f t="shared" ref="V138" si="454">U139</f>
        <v>112.45400000000004</v>
      </c>
      <c r="W138" s="780">
        <f t="shared" si="453"/>
        <v>158.45300000000006</v>
      </c>
      <c r="AE138" s="780"/>
      <c r="AF138" s="780"/>
      <c r="AG138" s="780"/>
      <c r="AH138" s="780"/>
      <c r="AI138" s="780"/>
      <c r="AJ138" s="780"/>
      <c r="AK138" s="780"/>
      <c r="AL138" s="780"/>
      <c r="AM138" s="780"/>
      <c r="AN138" s="780"/>
      <c r="AO138" s="780"/>
      <c r="AP138" s="780"/>
      <c r="AQ138" s="780"/>
      <c r="AR138" s="780">
        <v>10.103999999999999</v>
      </c>
      <c r="AS138" s="780">
        <v>8.6760000000000002</v>
      </c>
      <c r="AT138" s="780">
        <v>37.72</v>
      </c>
      <c r="AU138" s="780">
        <f>AT312</f>
        <v>74.641999999999996</v>
      </c>
      <c r="AV138" s="780">
        <f t="shared" ref="AV138" si="455">AU312</f>
        <v>62.360999999999997</v>
      </c>
      <c r="AW138" s="780">
        <f t="shared" ref="AW138" si="456">AV139</f>
        <v>61.642999999999994</v>
      </c>
      <c r="AX138" s="780">
        <f t="shared" ref="AX138" si="457">AW139</f>
        <v>72.830999999999989</v>
      </c>
      <c r="AY138" s="780">
        <f t="shared" ref="AY138" si="458">AX139</f>
        <v>79.263000000000005</v>
      </c>
      <c r="AZ138" s="780">
        <f t="shared" ref="AZ138" si="459">AY139</f>
        <v>80.13900000000001</v>
      </c>
      <c r="BA138" s="780">
        <f t="shared" ref="BA138" si="460">AZ139</f>
        <v>101.72399999999999</v>
      </c>
      <c r="BB138" s="780"/>
      <c r="BC138" s="780"/>
    </row>
    <row r="139" spans="1:55" s="763" customFormat="1" hidden="1" outlineLevel="1" x14ac:dyDescent="0.25">
      <c r="A139" s="786" t="s">
        <v>229</v>
      </c>
      <c r="C139" s="787">
        <f>SUM(C136:C138)</f>
        <v>37.407000000000011</v>
      </c>
      <c r="D139" s="787">
        <f t="shared" ref="D139:K139" si="461">SUM(D136:D138)</f>
        <v>74.64200000000001</v>
      </c>
      <c r="E139" s="788">
        <f t="shared" si="461"/>
        <v>54.881000000000014</v>
      </c>
      <c r="F139" s="787">
        <f t="shared" si="461"/>
        <v>62.36</v>
      </c>
      <c r="G139" s="787">
        <f t="shared" si="461"/>
        <v>46.619</v>
      </c>
      <c r="H139" s="789">
        <f t="shared" si="461"/>
        <v>61.642000000000003</v>
      </c>
      <c r="I139" s="787">
        <f t="shared" si="461"/>
        <v>43.280799999999999</v>
      </c>
      <c r="J139" s="789">
        <f t="shared" si="461"/>
        <v>72.830000000000013</v>
      </c>
      <c r="K139" s="787">
        <f t="shared" si="461"/>
        <v>52.773000000000017</v>
      </c>
      <c r="L139" s="789">
        <f t="shared" ref="L139" si="462">SUM(L136:L138)</f>
        <v>79.262000000000029</v>
      </c>
      <c r="M139" s="787">
        <f t="shared" ref="M139" si="463">SUM(M136:M138)</f>
        <v>49.432000000000031</v>
      </c>
      <c r="N139" s="789">
        <f t="shared" ref="N139" si="464">SUM(N136:N138)</f>
        <v>80.138000000000034</v>
      </c>
      <c r="O139" s="787">
        <f t="shared" ref="O139" si="465">SUM(O136:O138)</f>
        <v>71.244000000000028</v>
      </c>
      <c r="P139" s="789">
        <f t="shared" ref="P139" si="466">SUM(P136:P138)</f>
        <v>101.72300000000001</v>
      </c>
      <c r="Q139" s="787">
        <f t="shared" ref="Q139" si="467">SUM(Q136:Q138)</f>
        <v>74.282000000000011</v>
      </c>
      <c r="R139" s="789">
        <f t="shared" ref="R139" si="468">SUM(R136:R138)</f>
        <v>97.315000000000026</v>
      </c>
      <c r="S139" s="787">
        <f t="shared" ref="S139:T139" si="469">SUM(S136:S138)</f>
        <v>97.721000000000032</v>
      </c>
      <c r="T139" s="789">
        <f t="shared" si="469"/>
        <v>122.62000000000005</v>
      </c>
      <c r="U139" s="787">
        <f t="shared" ref="U139:V139" si="470">SUM(U136:U138)</f>
        <v>112.45400000000004</v>
      </c>
      <c r="V139" s="789">
        <f t="shared" si="470"/>
        <v>158.45300000000006</v>
      </c>
      <c r="W139" s="787">
        <f t="shared" ref="W139" si="471">SUM(W136:W138)</f>
        <v>141.04400000000007</v>
      </c>
      <c r="AE139" s="787"/>
      <c r="AF139" s="787"/>
      <c r="AG139" s="787"/>
      <c r="AH139" s="787"/>
      <c r="AI139" s="787"/>
      <c r="AJ139" s="787"/>
      <c r="AK139" s="787"/>
      <c r="AL139" s="787"/>
      <c r="AM139" s="787"/>
      <c r="AN139" s="787"/>
      <c r="AO139" s="787"/>
      <c r="AP139" s="787"/>
      <c r="AQ139" s="787"/>
      <c r="AR139" s="787">
        <f>SUM(AR136:AR138)</f>
        <v>8.6757439999999999</v>
      </c>
      <c r="AS139" s="787">
        <f t="shared" ref="AS139:AT139" si="472">SUM(AS136:AS138)</f>
        <v>37.720000000000006</v>
      </c>
      <c r="AT139" s="787">
        <f t="shared" si="472"/>
        <v>74.641999999999996</v>
      </c>
      <c r="AU139" s="787">
        <f t="shared" ref="AU139:AV139" si="473">SUM(AU136:AU138)</f>
        <v>62.36099999999999</v>
      </c>
      <c r="AV139" s="787">
        <f t="shared" si="473"/>
        <v>61.642999999999994</v>
      </c>
      <c r="AW139" s="787">
        <f t="shared" ref="AW139" si="474">SUM(AW136:AW138)</f>
        <v>72.830999999999989</v>
      </c>
      <c r="AX139" s="787">
        <f t="shared" ref="AX139" si="475">SUM(AX136:AX138)</f>
        <v>79.263000000000005</v>
      </c>
      <c r="AY139" s="787">
        <f t="shared" ref="AY139" si="476">SUM(AY136:AY138)</f>
        <v>80.13900000000001</v>
      </c>
      <c r="AZ139" s="787">
        <f t="shared" ref="AZ139" si="477">SUM(AZ136:AZ138)</f>
        <v>101.72399999999999</v>
      </c>
      <c r="BA139" s="787">
        <f t="shared" ref="BA139" si="478">SUM(BA136:BA138)</f>
        <v>97.316000000000003</v>
      </c>
      <c r="BB139" s="787"/>
      <c r="BC139" s="787"/>
    </row>
    <row r="140" spans="1:55" hidden="1" outlineLevel="1" x14ac:dyDescent="0.25">
      <c r="E140" s="790"/>
      <c r="H140" s="791"/>
      <c r="J140" s="791"/>
      <c r="L140" s="791"/>
      <c r="N140" s="791"/>
      <c r="P140" s="791"/>
      <c r="R140" s="791"/>
      <c r="T140" s="791"/>
      <c r="V140" s="791"/>
    </row>
    <row r="141" spans="1:55" hidden="1" outlineLevel="1" x14ac:dyDescent="0.25">
      <c r="A141" s="771" t="s">
        <v>230</v>
      </c>
      <c r="E141" s="790"/>
      <c r="H141" s="791"/>
      <c r="J141" s="791"/>
      <c r="L141" s="791"/>
      <c r="N141" s="791"/>
      <c r="P141" s="791"/>
      <c r="R141" s="791"/>
      <c r="T141" s="791"/>
      <c r="V141" s="791"/>
    </row>
    <row r="142" spans="1:55" hidden="1" outlineLevel="1" x14ac:dyDescent="0.25">
      <c r="A142" s="763"/>
      <c r="E142" s="790"/>
      <c r="H142" s="791"/>
      <c r="J142" s="791"/>
      <c r="L142" s="791"/>
      <c r="N142" s="791"/>
      <c r="P142" s="791"/>
      <c r="R142" s="791"/>
      <c r="T142" s="791"/>
      <c r="V142" s="791"/>
    </row>
    <row r="143" spans="1:55" hidden="1" outlineLevel="1" x14ac:dyDescent="0.25">
      <c r="A143" s="760" t="s">
        <v>231</v>
      </c>
      <c r="C143" s="772">
        <f>C269</f>
        <v>17.232999999999983</v>
      </c>
      <c r="D143" s="772">
        <f>D269</f>
        <v>22.349000000000025</v>
      </c>
      <c r="E143" s="773">
        <f>E269</f>
        <v>15.32800000000001</v>
      </c>
      <c r="F143" s="772">
        <f>AU143-E143</f>
        <v>26.861999999999973</v>
      </c>
      <c r="G143" s="772">
        <f>G269</f>
        <v>20.9</v>
      </c>
      <c r="H143" s="774">
        <f>H269</f>
        <v>29.252000000000002</v>
      </c>
      <c r="I143" s="772">
        <f>I269</f>
        <v>24.11</v>
      </c>
      <c r="J143" s="774">
        <f>+AW143-I143</f>
        <v>43.912000000000006</v>
      </c>
      <c r="K143" s="772">
        <f t="shared" ref="K143:S143" si="479">K269</f>
        <v>33.854000000000028</v>
      </c>
      <c r="L143" s="774">
        <f t="shared" si="479"/>
        <v>50.632000000000005</v>
      </c>
      <c r="M143" s="772">
        <f t="shared" si="479"/>
        <v>40.478000000000023</v>
      </c>
      <c r="N143" s="774">
        <f t="shared" si="479"/>
        <v>53.254999999999896</v>
      </c>
      <c r="O143" s="772">
        <f t="shared" si="479"/>
        <v>57.06400000000005</v>
      </c>
      <c r="P143" s="774">
        <f t="shared" si="479"/>
        <v>62.35199999999989</v>
      </c>
      <c r="Q143" s="772">
        <f t="shared" si="479"/>
        <v>64.133000000000067</v>
      </c>
      <c r="R143" s="774">
        <f t="shared" si="479"/>
        <v>72.011999999999858</v>
      </c>
      <c r="S143" s="772">
        <f t="shared" si="479"/>
        <v>63.07099999999997</v>
      </c>
      <c r="T143" s="774">
        <f t="shared" ref="T143:U143" si="480">T269</f>
        <v>77.829000000000036</v>
      </c>
      <c r="U143" s="772">
        <f t="shared" si="480"/>
        <v>66.731000000000023</v>
      </c>
      <c r="V143" s="774">
        <f t="shared" ref="V143:W143" si="481">V269</f>
        <v>87.33299999999997</v>
      </c>
      <c r="W143" s="772">
        <f t="shared" si="481"/>
        <v>73.662000000000006</v>
      </c>
      <c r="AE143" s="772">
        <f t="shared" ref="AE143:BA143" si="482">AE269</f>
        <v>0.53351100000000029</v>
      </c>
      <c r="AF143" s="772">
        <f t="shared" si="482"/>
        <v>0.80633000000000088</v>
      </c>
      <c r="AG143" s="772">
        <f t="shared" si="482"/>
        <v>1.1837199999999992</v>
      </c>
      <c r="AH143" s="772">
        <f t="shared" si="482"/>
        <v>1.6568710000000015</v>
      </c>
      <c r="AI143" s="772">
        <f t="shared" si="482"/>
        <v>1.9936170000000022</v>
      </c>
      <c r="AJ143" s="772">
        <f t="shared" si="482"/>
        <v>1.147129000000005</v>
      </c>
      <c r="AK143" s="772">
        <f t="shared" si="482"/>
        <v>1.3125009999999957</v>
      </c>
      <c r="AL143" s="772">
        <f t="shared" si="482"/>
        <v>3.3336380000000077</v>
      </c>
      <c r="AM143" s="772">
        <f t="shared" si="482"/>
        <v>5.7374389999999984</v>
      </c>
      <c r="AN143" s="772">
        <f t="shared" si="482"/>
        <v>7.4000070000000093</v>
      </c>
      <c r="AO143" s="772">
        <f t="shared" si="482"/>
        <v>10.032754999999991</v>
      </c>
      <c r="AP143" s="772">
        <f t="shared" si="482"/>
        <v>16.289691999999988</v>
      </c>
      <c r="AQ143" s="772">
        <f t="shared" si="482"/>
        <v>22.290106999999999</v>
      </c>
      <c r="AR143" s="772">
        <f t="shared" si="482"/>
        <v>27.367999999999967</v>
      </c>
      <c r="AS143" s="772">
        <f t="shared" si="482"/>
        <v>35.528000000000013</v>
      </c>
      <c r="AT143" s="772">
        <f t="shared" si="482"/>
        <v>39.581999999999923</v>
      </c>
      <c r="AU143" s="772">
        <f t="shared" si="482"/>
        <v>42.189999999999984</v>
      </c>
      <c r="AV143" s="772">
        <f t="shared" si="482"/>
        <v>50.152000000000001</v>
      </c>
      <c r="AW143" s="772">
        <f t="shared" si="482"/>
        <v>68.022000000000006</v>
      </c>
      <c r="AX143" s="772">
        <f t="shared" si="482"/>
        <v>84.486000000000033</v>
      </c>
      <c r="AY143" s="772">
        <f t="shared" si="482"/>
        <v>93.732999999999919</v>
      </c>
      <c r="AZ143" s="772">
        <f t="shared" si="482"/>
        <v>119.41599999999994</v>
      </c>
      <c r="BA143" s="772">
        <f t="shared" si="482"/>
        <v>136.14499999999992</v>
      </c>
      <c r="BB143" s="772"/>
      <c r="BC143" s="772"/>
    </row>
    <row r="144" spans="1:55" hidden="1" outlineLevel="1" x14ac:dyDescent="0.25">
      <c r="A144" s="760" t="s">
        <v>154</v>
      </c>
      <c r="C144" s="772">
        <f>'CapIQ - standard'!Y92</f>
        <v>1.1900000000000001E-3</v>
      </c>
      <c r="D144" s="772">
        <f>'CapIQ - standard'!Z92</f>
        <v>4.2940000000000001E-3</v>
      </c>
      <c r="E144" s="773">
        <f>'CapIQ - standard'!AA92</f>
        <v>0.50581200000000004</v>
      </c>
      <c r="F144" s="772">
        <f>AU144-E144</f>
        <v>0.38218799999999997</v>
      </c>
      <c r="G144" s="772">
        <v>0.436</v>
      </c>
      <c r="H144" s="774">
        <f>AV144-G144</f>
        <v>0.8660000000000001</v>
      </c>
      <c r="I144" s="772">
        <f>I222</f>
        <v>1.3280000000000001</v>
      </c>
      <c r="J144" s="774">
        <f>+AW144-I144</f>
        <v>1.1569999999999998</v>
      </c>
      <c r="K144" s="772">
        <f>K222</f>
        <v>0.89800000000000002</v>
      </c>
      <c r="L144" s="774">
        <f t="shared" ref="L144:S144" si="483">L222</f>
        <v>0.83399999999999996</v>
      </c>
      <c r="M144" s="772">
        <f t="shared" si="483"/>
        <v>0.97099999999999997</v>
      </c>
      <c r="N144" s="774">
        <f t="shared" si="483"/>
        <v>0.98699999999999999</v>
      </c>
      <c r="O144" s="772">
        <f t="shared" si="483"/>
        <v>1.113</v>
      </c>
      <c r="P144" s="774">
        <f t="shared" si="483"/>
        <v>1.1539999999999999</v>
      </c>
      <c r="Q144" s="772">
        <f t="shared" si="483"/>
        <v>1.4159999999999999</v>
      </c>
      <c r="R144" s="774">
        <f t="shared" si="483"/>
        <v>1.125</v>
      </c>
      <c r="S144" s="772">
        <f t="shared" si="483"/>
        <v>1.591</v>
      </c>
      <c r="T144" s="774">
        <f t="shared" ref="T144:U144" si="484">T222</f>
        <v>1.7390000000000001</v>
      </c>
      <c r="U144" s="772">
        <f t="shared" si="484"/>
        <v>1.6990000000000001</v>
      </c>
      <c r="V144" s="774">
        <f t="shared" ref="V144:W144" si="485">V222</f>
        <v>1.913</v>
      </c>
      <c r="W144" s="772">
        <f t="shared" si="485"/>
        <v>1.6519999999999999</v>
      </c>
      <c r="AE144" s="772">
        <f>'CapIQ - standard'!F92</f>
        <v>0</v>
      </c>
      <c r="AF144" s="772">
        <f>'CapIQ - standard'!G92</f>
        <v>0</v>
      </c>
      <c r="AG144" s="772">
        <f>'CapIQ - standard'!H92</f>
        <v>0</v>
      </c>
      <c r="AH144" s="772">
        <f>'CapIQ - standard'!I92</f>
        <v>0</v>
      </c>
      <c r="AI144" s="772">
        <f>'CapIQ - standard'!J92</f>
        <v>0</v>
      </c>
      <c r="AJ144" s="772">
        <f>'CapIQ - standard'!K92</f>
        <v>0</v>
      </c>
      <c r="AK144" s="772">
        <f>'CapIQ - standard'!L92</f>
        <v>0.34357500000000002</v>
      </c>
      <c r="AL144" s="772">
        <f>'CapIQ - standard'!M92</f>
        <v>0.32500000000000001</v>
      </c>
      <c r="AM144" s="772">
        <f>'CapIQ - standard'!N92</f>
        <v>6.7757999999999999E-2</v>
      </c>
      <c r="AN144" s="772">
        <f>'CapIQ - standard'!O92</f>
        <v>0</v>
      </c>
      <c r="AO144" s="772">
        <f>'CapIQ - standard'!P92</f>
        <v>0</v>
      </c>
      <c r="AP144" s="772">
        <f>'CapIQ - standard'!Q92</f>
        <v>0.15603700000000001</v>
      </c>
      <c r="AQ144" s="772">
        <f>'CapIQ - standard'!R92</f>
        <v>0.915798</v>
      </c>
      <c r="AR144" s="772">
        <f>'CapIQ - standard'!S92</f>
        <v>0.73489099999999996</v>
      </c>
      <c r="AS144" s="772">
        <f>'CapIQ - standard'!T92</f>
        <v>2.41E-4</v>
      </c>
      <c r="AT144" s="772">
        <f>'CapIQ - standard'!U92</f>
        <v>5.4840000000000002E-3</v>
      </c>
      <c r="AU144" s="772">
        <v>0.88800000000000001</v>
      </c>
      <c r="AV144" s="772">
        <v>1.302</v>
      </c>
      <c r="AW144" s="772">
        <v>2.4849999999999999</v>
      </c>
      <c r="AX144" s="772">
        <v>2.4849999999999999</v>
      </c>
      <c r="AY144" s="772">
        <v>2.4849999999999999</v>
      </c>
      <c r="AZ144" s="772">
        <v>2.4849999999999999</v>
      </c>
      <c r="BA144" s="772">
        <v>2.4849999999999999</v>
      </c>
      <c r="BB144" s="772"/>
      <c r="BC144" s="772"/>
    </row>
    <row r="145" spans="1:62" ht="13" hidden="1" outlineLevel="1" x14ac:dyDescent="0.25">
      <c r="A145" s="760" t="s">
        <v>232</v>
      </c>
      <c r="C145" s="807">
        <f>C276*-1</f>
        <v>5.8000000000000003E-2</v>
      </c>
      <c r="D145" s="807">
        <f>D276*-1</f>
        <v>0.94099999999999995</v>
      </c>
      <c r="E145" s="808">
        <f>E276*-1</f>
        <v>3.673</v>
      </c>
      <c r="F145" s="812">
        <f>AU145-E145</f>
        <v>0</v>
      </c>
      <c r="G145" s="780">
        <f>G276*-1</f>
        <v>0</v>
      </c>
      <c r="H145" s="809">
        <f>H276*-1</f>
        <v>0</v>
      </c>
      <c r="I145" s="810">
        <f>I276*-1</f>
        <v>0</v>
      </c>
      <c r="J145" s="809">
        <f>+AW145-I145</f>
        <v>0</v>
      </c>
      <c r="K145" s="810">
        <f t="shared" ref="K145:S145" si="486">K276*-1</f>
        <v>0</v>
      </c>
      <c r="L145" s="809">
        <f t="shared" si="486"/>
        <v>0</v>
      </c>
      <c r="M145" s="810">
        <f t="shared" si="486"/>
        <v>0</v>
      </c>
      <c r="N145" s="809">
        <f t="shared" si="486"/>
        <v>0</v>
      </c>
      <c r="O145" s="810">
        <f t="shared" si="486"/>
        <v>0</v>
      </c>
      <c r="P145" s="809">
        <f t="shared" si="486"/>
        <v>0</v>
      </c>
      <c r="Q145" s="810">
        <f t="shared" si="486"/>
        <v>0</v>
      </c>
      <c r="R145" s="809">
        <f t="shared" si="486"/>
        <v>0</v>
      </c>
      <c r="S145" s="810">
        <f t="shared" si="486"/>
        <v>0</v>
      </c>
      <c r="T145" s="809">
        <f t="shared" ref="T145:U145" si="487">T276*-1</f>
        <v>0</v>
      </c>
      <c r="U145" s="810">
        <f t="shared" si="487"/>
        <v>0</v>
      </c>
      <c r="V145" s="809">
        <f t="shared" ref="V145:W145" si="488">V276*-1</f>
        <v>0</v>
      </c>
      <c r="W145" s="810">
        <f t="shared" si="488"/>
        <v>0</v>
      </c>
      <c r="X145" s="811"/>
      <c r="Y145" s="811"/>
      <c r="Z145" s="811"/>
      <c r="AA145" s="811"/>
      <c r="AB145" s="811"/>
      <c r="AC145" s="811"/>
      <c r="AD145" s="811"/>
      <c r="AE145" s="812">
        <v>0</v>
      </c>
      <c r="AF145" s="812">
        <v>0</v>
      </c>
      <c r="AG145" s="812">
        <v>0</v>
      </c>
      <c r="AH145" s="812">
        <v>0</v>
      </c>
      <c r="AI145" s="812">
        <v>0</v>
      </c>
      <c r="AJ145" s="812">
        <v>0</v>
      </c>
      <c r="AK145" s="812">
        <v>0</v>
      </c>
      <c r="AL145" s="812">
        <v>0</v>
      </c>
      <c r="AM145" s="812">
        <v>0</v>
      </c>
      <c r="AN145" s="812">
        <v>0</v>
      </c>
      <c r="AO145" s="812">
        <v>0</v>
      </c>
      <c r="AP145" s="812">
        <v>0</v>
      </c>
      <c r="AQ145" s="812">
        <v>0</v>
      </c>
      <c r="AR145" s="812">
        <v>0</v>
      </c>
      <c r="AS145" s="780">
        <v>0</v>
      </c>
      <c r="AT145" s="780">
        <v>0.999</v>
      </c>
      <c r="AU145" s="780">
        <v>3.673</v>
      </c>
      <c r="AV145" s="780">
        <v>0</v>
      </c>
      <c r="AW145" s="780">
        <v>0</v>
      </c>
      <c r="AX145" s="780">
        <v>0</v>
      </c>
      <c r="AY145" s="780">
        <v>0</v>
      </c>
      <c r="AZ145" s="780">
        <v>0</v>
      </c>
      <c r="BA145" s="780">
        <v>0</v>
      </c>
      <c r="BB145" s="780"/>
      <c r="BC145" s="780"/>
    </row>
    <row r="146" spans="1:62" hidden="1" outlineLevel="1" x14ac:dyDescent="0.25">
      <c r="A146" s="783" t="s">
        <v>233</v>
      </c>
      <c r="C146" s="772">
        <f t="shared" ref="C146:I146" si="489">SUM(C143:C145)</f>
        <v>17.292189999999984</v>
      </c>
      <c r="D146" s="772">
        <f t="shared" si="489"/>
        <v>23.294294000000026</v>
      </c>
      <c r="E146" s="773">
        <f t="shared" si="489"/>
        <v>19.506812000000011</v>
      </c>
      <c r="F146" s="772">
        <f t="shared" si="489"/>
        <v>27.244187999999973</v>
      </c>
      <c r="G146" s="772">
        <f t="shared" si="489"/>
        <v>21.335999999999999</v>
      </c>
      <c r="H146" s="774">
        <f t="shared" si="489"/>
        <v>30.118000000000002</v>
      </c>
      <c r="I146" s="772">
        <f t="shared" si="489"/>
        <v>25.437999999999999</v>
      </c>
      <c r="J146" s="774">
        <f t="shared" ref="J146" si="490">SUM(J143:J145)</f>
        <v>45.069000000000003</v>
      </c>
      <c r="K146" s="772">
        <f t="shared" ref="K146:S146" si="491">SUM(K143:K145)</f>
        <v>34.752000000000031</v>
      </c>
      <c r="L146" s="774">
        <f t="shared" si="491"/>
        <v>51.466000000000008</v>
      </c>
      <c r="M146" s="772">
        <f t="shared" si="491"/>
        <v>41.449000000000019</v>
      </c>
      <c r="N146" s="774">
        <f t="shared" si="491"/>
        <v>54.241999999999898</v>
      </c>
      <c r="O146" s="772">
        <f t="shared" si="491"/>
        <v>58.177000000000049</v>
      </c>
      <c r="P146" s="774">
        <f t="shared" si="491"/>
        <v>63.505999999999887</v>
      </c>
      <c r="Q146" s="772">
        <f t="shared" si="491"/>
        <v>65.549000000000063</v>
      </c>
      <c r="R146" s="774">
        <f t="shared" si="491"/>
        <v>73.136999999999858</v>
      </c>
      <c r="S146" s="772">
        <f t="shared" si="491"/>
        <v>64.661999999999964</v>
      </c>
      <c r="T146" s="774">
        <f t="shared" ref="T146:U146" si="492">SUM(T143:T145)</f>
        <v>79.56800000000004</v>
      </c>
      <c r="U146" s="772">
        <f t="shared" si="492"/>
        <v>68.430000000000021</v>
      </c>
      <c r="V146" s="774">
        <f t="shared" ref="V146:W146" si="493">SUM(V143:V145)</f>
        <v>89.245999999999967</v>
      </c>
      <c r="W146" s="772">
        <f t="shared" si="493"/>
        <v>75.314000000000007</v>
      </c>
      <c r="AE146" s="772">
        <f t="shared" ref="AE146:AT146" si="494">SUM(AE143:AE145)</f>
        <v>0.53351100000000029</v>
      </c>
      <c r="AF146" s="772">
        <f t="shared" si="494"/>
        <v>0.80633000000000088</v>
      </c>
      <c r="AG146" s="772">
        <f t="shared" si="494"/>
        <v>1.1837199999999992</v>
      </c>
      <c r="AH146" s="772">
        <f t="shared" si="494"/>
        <v>1.6568710000000015</v>
      </c>
      <c r="AI146" s="772">
        <f t="shared" si="494"/>
        <v>1.9936170000000022</v>
      </c>
      <c r="AJ146" s="772">
        <f t="shared" si="494"/>
        <v>1.147129000000005</v>
      </c>
      <c r="AK146" s="772">
        <f t="shared" si="494"/>
        <v>1.6560759999999957</v>
      </c>
      <c r="AL146" s="772">
        <f t="shared" si="494"/>
        <v>3.6586380000000078</v>
      </c>
      <c r="AM146" s="772">
        <f t="shared" si="494"/>
        <v>5.8051969999999988</v>
      </c>
      <c r="AN146" s="772">
        <f t="shared" si="494"/>
        <v>7.4000070000000093</v>
      </c>
      <c r="AO146" s="772">
        <f t="shared" si="494"/>
        <v>10.032754999999991</v>
      </c>
      <c r="AP146" s="772">
        <f t="shared" si="494"/>
        <v>16.445728999999989</v>
      </c>
      <c r="AQ146" s="772">
        <f t="shared" si="494"/>
        <v>23.205904999999998</v>
      </c>
      <c r="AR146" s="772">
        <f t="shared" si="494"/>
        <v>28.102890999999968</v>
      </c>
      <c r="AS146" s="772">
        <f t="shared" si="494"/>
        <v>35.528241000000016</v>
      </c>
      <c r="AT146" s="772">
        <f t="shared" si="494"/>
        <v>40.586483999999928</v>
      </c>
      <c r="AU146" s="772">
        <f t="shared" ref="AU146:AV146" si="495">SUM(AU143:AU145)</f>
        <v>46.750999999999983</v>
      </c>
      <c r="AV146" s="772">
        <f t="shared" si="495"/>
        <v>51.454000000000001</v>
      </c>
      <c r="AW146" s="772">
        <f t="shared" ref="AW146:BA146" si="496">SUM(AW143:AW145)</f>
        <v>70.507000000000005</v>
      </c>
      <c r="AX146" s="772">
        <f t="shared" si="496"/>
        <v>86.971000000000032</v>
      </c>
      <c r="AY146" s="772">
        <f t="shared" si="496"/>
        <v>96.217999999999918</v>
      </c>
      <c r="AZ146" s="772">
        <f t="shared" si="496"/>
        <v>121.90099999999994</v>
      </c>
      <c r="BA146" s="772">
        <f t="shared" si="496"/>
        <v>138.62999999999994</v>
      </c>
      <c r="BB146" s="772"/>
      <c r="BC146" s="772"/>
    </row>
    <row r="147" spans="1:62" s="776" customFormat="1" ht="12" hidden="1" outlineLevel="1" x14ac:dyDescent="0.3">
      <c r="A147" s="784" t="s">
        <v>37</v>
      </c>
      <c r="C147" s="1165"/>
      <c r="D147" s="1166"/>
      <c r="E147" s="1165">
        <f>E146/C146-1</f>
        <v>0.12807064923529232</v>
      </c>
      <c r="F147" s="1165">
        <f>F146/D146-1</f>
        <v>0.16956487283967236</v>
      </c>
      <c r="G147" s="1165">
        <f>G146/E146-1</f>
        <v>9.377175522068848E-2</v>
      </c>
      <c r="H147" s="1166">
        <f t="shared" ref="H147" si="497">H146/F146-1</f>
        <v>0.10548348880869685</v>
      </c>
      <c r="I147" s="1165">
        <f t="shared" ref="I147:K147" si="498">I146/G146-1</f>
        <v>0.19225721784776906</v>
      </c>
      <c r="J147" s="1166">
        <f t="shared" ref="J147" si="499">J146/H146-1</f>
        <v>0.49641410452221257</v>
      </c>
      <c r="K147" s="1165">
        <f t="shared" si="498"/>
        <v>0.3661451371963218</v>
      </c>
      <c r="L147" s="1166">
        <f t="shared" ref="L147" si="500">L146/J146-1</f>
        <v>0.14193791741551864</v>
      </c>
      <c r="M147" s="1165">
        <f t="shared" ref="M147" si="501">M146/K146-1</f>
        <v>0.19270833333333282</v>
      </c>
      <c r="N147" s="1166">
        <f t="shared" ref="N147" si="502">N146/L146-1</f>
        <v>5.3938522519719534E-2</v>
      </c>
      <c r="O147" s="1165">
        <f t="shared" ref="O147" si="503">O146/M146-1</f>
        <v>0.40358030350551344</v>
      </c>
      <c r="P147" s="1166">
        <f t="shared" ref="P147" si="504">P146/N146-1</f>
        <v>0.17079016260462376</v>
      </c>
      <c r="Q147" s="1165">
        <f t="shared" ref="Q147" si="505">Q146/O146-1</f>
        <v>0.12671674373034025</v>
      </c>
      <c r="R147" s="1166">
        <f t="shared" ref="R147" si="506">R146/P146-1</f>
        <v>0.15165496173589887</v>
      </c>
      <c r="S147" s="1165">
        <f t="shared" ref="S147" si="507">S146/Q146-1</f>
        <v>-1.3531861660743827E-2</v>
      </c>
      <c r="T147" s="1166">
        <f t="shared" ref="T147" si="508">T146/R146-1</f>
        <v>8.7930869464158956E-2</v>
      </c>
      <c r="U147" s="1165">
        <f t="shared" ref="U147:W147" si="509">U146/S146-1</f>
        <v>5.8272246450775667E-2</v>
      </c>
      <c r="V147" s="1166">
        <f t="shared" ref="V147" si="510">V146/T146-1</f>
        <v>0.12163181178363058</v>
      </c>
      <c r="W147" s="1165">
        <f t="shared" si="509"/>
        <v>0.10059915241852968</v>
      </c>
      <c r="X147" s="1165"/>
      <c r="Y147" s="1165"/>
      <c r="Z147" s="1165"/>
      <c r="AA147" s="1165"/>
      <c r="AB147" s="1165"/>
      <c r="AC147" s="1165"/>
      <c r="AD147" s="1165"/>
      <c r="AE147" s="1165"/>
      <c r="AF147" s="1165">
        <f t="shared" ref="AF147:AU147" si="511">AF146/AE146-1</f>
        <v>0.51136527644228602</v>
      </c>
      <c r="AG147" s="1165">
        <f t="shared" si="511"/>
        <v>0.46803417955427418</v>
      </c>
      <c r="AH147" s="1165">
        <f t="shared" si="511"/>
        <v>0.39971530429493685</v>
      </c>
      <c r="AI147" s="1165">
        <f t="shared" si="511"/>
        <v>0.2032421353261662</v>
      </c>
      <c r="AJ147" s="1165">
        <f t="shared" si="511"/>
        <v>-0.42459910805335044</v>
      </c>
      <c r="AK147" s="1165">
        <f t="shared" si="511"/>
        <v>0.44367024109754749</v>
      </c>
      <c r="AL147" s="1165">
        <f t="shared" si="511"/>
        <v>1.2092210743951468</v>
      </c>
      <c r="AM147" s="1165">
        <f t="shared" si="511"/>
        <v>0.58670986306925865</v>
      </c>
      <c r="AN147" s="1165">
        <f t="shared" si="511"/>
        <v>0.2747210818168635</v>
      </c>
      <c r="AO147" s="1165">
        <f t="shared" si="511"/>
        <v>0.35577642021149147</v>
      </c>
      <c r="AP147" s="1165">
        <f t="shared" si="511"/>
        <v>0.63920368831891183</v>
      </c>
      <c r="AQ147" s="1165">
        <f t="shared" si="511"/>
        <v>0.41105967391290554</v>
      </c>
      <c r="AR147" s="1165">
        <f t="shared" si="511"/>
        <v>0.21102327187842795</v>
      </c>
      <c r="AS147" s="1165">
        <f t="shared" si="511"/>
        <v>0.26422014731509491</v>
      </c>
      <c r="AT147" s="1165">
        <f t="shared" si="511"/>
        <v>0.14237245801163945</v>
      </c>
      <c r="AU147" s="1165">
        <f t="shared" si="511"/>
        <v>0.15188593325797983</v>
      </c>
      <c r="AV147" s="1165">
        <f t="shared" ref="AV147" si="512">AV146/AU146-1</f>
        <v>0.10059677867853134</v>
      </c>
      <c r="AW147" s="1165">
        <f t="shared" ref="AW147" si="513">AW146/AV146-1</f>
        <v>0.37029191122167382</v>
      </c>
      <c r="AX147" s="1165">
        <f t="shared" ref="AX147" si="514">AX146/AW146-1</f>
        <v>0.2335087296296825</v>
      </c>
      <c r="AY147" s="1165">
        <f t="shared" ref="AY147" si="515">AY146/AX146-1</f>
        <v>0.10632279725425575</v>
      </c>
      <c r="AZ147" s="1165">
        <f t="shared" ref="AZ147" si="516">AZ146/AY146-1</f>
        <v>0.26692510756823085</v>
      </c>
      <c r="BA147" s="1165">
        <f t="shared" ref="BA147" si="517">BA146/AZ146-1</f>
        <v>0.13723431309013057</v>
      </c>
    </row>
    <row r="148" spans="1:62" s="776" customFormat="1" ht="12" hidden="1" outlineLevel="1" x14ac:dyDescent="0.3">
      <c r="A148" s="784" t="s">
        <v>43</v>
      </c>
      <c r="C148" s="1165">
        <f t="shared" ref="C148:S148" si="518">C146/C255</f>
        <v>6.5052253404559418E-2</v>
      </c>
      <c r="D148" s="1166">
        <f t="shared" si="518"/>
        <v>7.0532343821912244E-2</v>
      </c>
      <c r="E148" s="1165">
        <f t="shared" si="518"/>
        <v>6.6442132081705532E-2</v>
      </c>
      <c r="F148" s="1165">
        <f t="shared" si="518"/>
        <v>7.192995036434674E-2</v>
      </c>
      <c r="G148" s="1165">
        <f t="shared" si="518"/>
        <v>5.6369881109643326E-2</v>
      </c>
      <c r="H148" s="1166">
        <f t="shared" si="518"/>
        <v>6.6342714152289997E-2</v>
      </c>
      <c r="I148" s="1165">
        <f t="shared" si="518"/>
        <v>5.3797983685916886E-2</v>
      </c>
      <c r="J148" s="1166">
        <f t="shared" si="518"/>
        <v>7.4024982138017684E-2</v>
      </c>
      <c r="K148" s="1165">
        <f t="shared" si="518"/>
        <v>5.7180842311717245E-2</v>
      </c>
      <c r="L148" s="1166">
        <f t="shared" si="518"/>
        <v>6.3829206705130065E-2</v>
      </c>
      <c r="M148" s="1165">
        <f t="shared" si="518"/>
        <v>5.6957189696065273E-2</v>
      </c>
      <c r="N148" s="1166">
        <f t="shared" si="518"/>
        <v>5.905697416026006E-2</v>
      </c>
      <c r="O148" s="1165">
        <f t="shared" si="518"/>
        <v>6.6807454157939289E-2</v>
      </c>
      <c r="P148" s="1166">
        <f t="shared" si="518"/>
        <v>5.9483488569009209E-2</v>
      </c>
      <c r="Q148" s="1165">
        <f t="shared" si="518"/>
        <v>5.6588690204352664E-2</v>
      </c>
      <c r="R148" s="1166">
        <f t="shared" si="518"/>
        <v>5.4207839335426319E-2</v>
      </c>
      <c r="S148" s="1165">
        <f t="shared" si="518"/>
        <v>5.3231669970561286E-2</v>
      </c>
      <c r="T148" s="1166">
        <f t="shared" ref="T148:U148" si="519">T146/T255</f>
        <v>5.9014798200956509E-2</v>
      </c>
      <c r="U148" s="1165">
        <f t="shared" si="519"/>
        <v>5.4159081915314621E-2</v>
      </c>
      <c r="V148" s="1166">
        <f t="shared" ref="V148:W148" si="520">V146/V255</f>
        <v>5.6175489393844008E-2</v>
      </c>
      <c r="W148" s="1165">
        <f t="shared" si="520"/>
        <v>4.9972795434941278E-2</v>
      </c>
      <c r="X148" s="1165"/>
      <c r="Y148" s="1165"/>
      <c r="Z148" s="1165"/>
      <c r="AA148" s="1165"/>
      <c r="AB148" s="1165"/>
      <c r="AC148" s="1165"/>
      <c r="AD148" s="1165"/>
      <c r="AE148" s="1165">
        <f t="shared" ref="AE148:BA148" si="521">AE146/AE255</f>
        <v>2.9047002471040452E-2</v>
      </c>
      <c r="AF148" s="1165">
        <f t="shared" si="521"/>
        <v>2.5301413883159728E-2</v>
      </c>
      <c r="AG148" s="1165">
        <f t="shared" si="521"/>
        <v>3.0659534048744889E-2</v>
      </c>
      <c r="AH148" s="1165">
        <f t="shared" si="521"/>
        <v>4.1970496218295628E-2</v>
      </c>
      <c r="AI148" s="1165">
        <f t="shared" si="521"/>
        <v>3.8989052375798888E-2</v>
      </c>
      <c r="AJ148" s="1165">
        <f t="shared" si="521"/>
        <v>2.0088080618148863E-2</v>
      </c>
      <c r="AK148" s="1165">
        <f t="shared" si="521"/>
        <v>2.4615460168848004E-2</v>
      </c>
      <c r="AL148" s="1165">
        <f t="shared" si="521"/>
        <v>4.1042586182422069E-2</v>
      </c>
      <c r="AM148" s="1165">
        <f t="shared" si="521"/>
        <v>5.6407189928514928E-2</v>
      </c>
      <c r="AN148" s="1165">
        <f t="shared" si="521"/>
        <v>6.5420645022726528E-2</v>
      </c>
      <c r="AO148" s="1165">
        <f t="shared" si="521"/>
        <v>6.8834707118870103E-2</v>
      </c>
      <c r="AP148" s="1165">
        <f t="shared" si="521"/>
        <v>7.5016513164611442E-2</v>
      </c>
      <c r="AQ148" s="1165">
        <f t="shared" si="521"/>
        <v>7.632128091405628E-2</v>
      </c>
      <c r="AR148" s="1165">
        <f t="shared" si="521"/>
        <v>7.1010650501824285E-2</v>
      </c>
      <c r="AS148" s="1165">
        <f t="shared" si="521"/>
        <v>7.0381244341784943E-2</v>
      </c>
      <c r="AT148" s="1165">
        <f t="shared" si="521"/>
        <v>6.808853114661681E-2</v>
      </c>
      <c r="AU148" s="1165">
        <f t="shared" si="521"/>
        <v>6.9533621575635321E-2</v>
      </c>
      <c r="AV148" s="1165">
        <f t="shared" si="521"/>
        <v>6.1808388470057998E-2</v>
      </c>
      <c r="AW148" s="1165">
        <f t="shared" si="521"/>
        <v>6.5182984215265541E-2</v>
      </c>
      <c r="AX148" s="1165">
        <f t="shared" si="521"/>
        <v>6.1504288349042216E-2</v>
      </c>
      <c r="AY148" s="1165">
        <f t="shared" si="521"/>
        <v>5.8448867719480858E-2</v>
      </c>
      <c r="AZ148" s="1165">
        <f t="shared" si="521"/>
        <v>6.2886135242772506E-2</v>
      </c>
      <c r="BA148" s="1165">
        <f t="shared" si="521"/>
        <v>5.5285325799778809E-2</v>
      </c>
    </row>
    <row r="149" spans="1:62" s="776" customFormat="1" ht="12" hidden="1" outlineLevel="1" x14ac:dyDescent="0.3">
      <c r="A149" s="784" t="s">
        <v>45</v>
      </c>
      <c r="C149" s="1165">
        <f t="shared" ref="C149:S149" si="522">C146/C264</f>
        <v>0.37076674028173828</v>
      </c>
      <c r="D149" s="1166">
        <f t="shared" si="522"/>
        <v>0.41496177141228474</v>
      </c>
      <c r="E149" s="1165">
        <f t="shared" si="522"/>
        <v>0.36342453656264567</v>
      </c>
      <c r="F149" s="1165">
        <f t="shared" si="522"/>
        <v>0.40637492914889151</v>
      </c>
      <c r="G149" s="1165">
        <f t="shared" si="522"/>
        <v>0.34805872756933115</v>
      </c>
      <c r="H149" s="1166">
        <f t="shared" si="522"/>
        <v>0.40155727104249167</v>
      </c>
      <c r="I149" s="1165">
        <f t="shared" si="522"/>
        <v>0.33992115988508059</v>
      </c>
      <c r="J149" s="1166">
        <f t="shared" si="522"/>
        <v>0.44921656965154283</v>
      </c>
      <c r="K149" s="1165">
        <f t="shared" si="522"/>
        <v>0.36707791110360005</v>
      </c>
      <c r="L149" s="1166">
        <f t="shared" si="522"/>
        <v>0.44187823578401497</v>
      </c>
      <c r="M149" s="1165">
        <f t="shared" si="522"/>
        <v>0.37116734723117711</v>
      </c>
      <c r="N149" s="1166">
        <f t="shared" si="522"/>
        <v>0.43731910056194673</v>
      </c>
      <c r="O149" s="1165">
        <f t="shared" si="522"/>
        <v>0.43265855544978599</v>
      </c>
      <c r="P149" s="1166">
        <f t="shared" si="522"/>
        <v>0.44755944578347173</v>
      </c>
      <c r="Q149" s="1165">
        <f t="shared" si="522"/>
        <v>0.43637949284672917</v>
      </c>
      <c r="R149" s="1166">
        <f t="shared" si="522"/>
        <v>0.41320572432612568</v>
      </c>
      <c r="S149" s="1165">
        <f t="shared" si="522"/>
        <v>0.36521061371107105</v>
      </c>
      <c r="T149" s="1166">
        <f t="shared" ref="T149:U149" si="523">T146/T264</f>
        <v>0.40435825507175688</v>
      </c>
      <c r="U149" s="1165">
        <f t="shared" si="523"/>
        <v>0.3482194652798275</v>
      </c>
      <c r="V149" s="1166">
        <f t="shared" ref="V149:W149" si="524">V146/V264</f>
        <v>0.40339180705029393</v>
      </c>
      <c r="W149" s="1165">
        <f t="shared" si="524"/>
        <v>0.34201766535728073</v>
      </c>
      <c r="X149" s="1165"/>
      <c r="Y149" s="1165"/>
      <c r="Z149" s="1165"/>
      <c r="AA149" s="1165"/>
      <c r="AB149" s="1165"/>
      <c r="AC149" s="1165"/>
      <c r="AD149" s="1165"/>
      <c r="AE149" s="1165">
        <f t="shared" ref="AE149:BA149" si="525">AE146/AE264</f>
        <v>0.16790375772506594</v>
      </c>
      <c r="AF149" s="1165">
        <f t="shared" si="525"/>
        <v>0.1777215982226299</v>
      </c>
      <c r="AG149" s="1165">
        <f t="shared" si="525"/>
        <v>0.1654979570008982</v>
      </c>
      <c r="AH149" s="1165">
        <f t="shared" si="525"/>
        <v>0.22546840046360037</v>
      </c>
      <c r="AI149" s="1165">
        <f t="shared" si="525"/>
        <v>0.22898374741525448</v>
      </c>
      <c r="AJ149" s="1165">
        <f t="shared" si="525"/>
        <v>0.13397200545217641</v>
      </c>
      <c r="AK149" s="1165">
        <f t="shared" si="525"/>
        <v>0.15251162502427745</v>
      </c>
      <c r="AL149" s="1165">
        <f t="shared" si="525"/>
        <v>0.24077835899795005</v>
      </c>
      <c r="AM149" s="1165">
        <f t="shared" si="525"/>
        <v>0.29380866199520839</v>
      </c>
      <c r="AN149" s="1165">
        <f t="shared" si="525"/>
        <v>0.33511165751367428</v>
      </c>
      <c r="AO149" s="1165">
        <f t="shared" si="525"/>
        <v>0.35179502244698485</v>
      </c>
      <c r="AP149" s="1165">
        <f t="shared" si="525"/>
        <v>0.37975459911618648</v>
      </c>
      <c r="AQ149" s="1165">
        <f t="shared" si="525"/>
        <v>0.41229708907398288</v>
      </c>
      <c r="AR149" s="1165">
        <f t="shared" si="525"/>
        <v>0.39856038064982741</v>
      </c>
      <c r="AS149" s="1165">
        <f t="shared" si="525"/>
        <v>0.40135381434913758</v>
      </c>
      <c r="AT149" s="1165">
        <f t="shared" si="525"/>
        <v>0.39490619314035474</v>
      </c>
      <c r="AU149" s="1165">
        <f t="shared" si="525"/>
        <v>0.38727768251364753</v>
      </c>
      <c r="AV149" s="1165">
        <f t="shared" si="525"/>
        <v>0.37749719375215512</v>
      </c>
      <c r="AW149" s="1165">
        <f t="shared" si="525"/>
        <v>0.40252222215878924</v>
      </c>
      <c r="AX149" s="1165">
        <f t="shared" si="525"/>
        <v>0.41190567530062572</v>
      </c>
      <c r="AY149" s="1165">
        <f t="shared" si="525"/>
        <v>0.4082136569016353</v>
      </c>
      <c r="AZ149" s="1165">
        <f t="shared" si="525"/>
        <v>0.4410981408173455</v>
      </c>
      <c r="BA149" s="1165">
        <f t="shared" si="525"/>
        <v>0.42367287063353803</v>
      </c>
    </row>
    <row r="150" spans="1:62" hidden="1" outlineLevel="2" x14ac:dyDescent="0.25">
      <c r="E150" s="790"/>
      <c r="H150" s="791"/>
      <c r="J150" s="791"/>
      <c r="L150" s="791"/>
      <c r="N150" s="791"/>
      <c r="P150" s="791"/>
      <c r="R150" s="791"/>
      <c r="T150" s="791"/>
      <c r="V150" s="791"/>
      <c r="AT150" s="772"/>
    </row>
    <row r="151" spans="1:62" hidden="1" outlineLevel="2" x14ac:dyDescent="0.25">
      <c r="A151" s="760" t="s">
        <v>234</v>
      </c>
      <c r="C151" s="772">
        <f>C143+C145</f>
        <v>17.290999999999983</v>
      </c>
      <c r="D151" s="772">
        <f>D143+D145</f>
        <v>23.290000000000024</v>
      </c>
      <c r="E151" s="773">
        <f>E143+E145</f>
        <v>19.001000000000012</v>
      </c>
      <c r="F151" s="772">
        <f>AU151-E151</f>
        <v>26.861999999999973</v>
      </c>
      <c r="G151" s="772">
        <f>G143+G145</f>
        <v>20.9</v>
      </c>
      <c r="H151" s="774">
        <f t="shared" ref="H151:I151" si="526">H143+H145</f>
        <v>29.252000000000002</v>
      </c>
      <c r="I151" s="772">
        <f t="shared" si="526"/>
        <v>24.11</v>
      </c>
      <c r="J151" s="774">
        <f t="shared" ref="J151:K151" si="527">J143+J145</f>
        <v>43.912000000000006</v>
      </c>
      <c r="K151" s="772">
        <f t="shared" si="527"/>
        <v>33.854000000000028</v>
      </c>
      <c r="L151" s="774">
        <f t="shared" ref="L151:S151" si="528">L143+L145</f>
        <v>50.632000000000005</v>
      </c>
      <c r="M151" s="772">
        <f t="shared" si="528"/>
        <v>40.478000000000023</v>
      </c>
      <c r="N151" s="774">
        <f t="shared" si="528"/>
        <v>53.254999999999896</v>
      </c>
      <c r="O151" s="772">
        <f t="shared" si="528"/>
        <v>57.06400000000005</v>
      </c>
      <c r="P151" s="774">
        <f t="shared" si="528"/>
        <v>62.35199999999989</v>
      </c>
      <c r="Q151" s="772">
        <f t="shared" si="528"/>
        <v>64.133000000000067</v>
      </c>
      <c r="R151" s="774">
        <f t="shared" si="528"/>
        <v>72.011999999999858</v>
      </c>
      <c r="S151" s="772">
        <f t="shared" si="528"/>
        <v>63.07099999999997</v>
      </c>
      <c r="T151" s="774">
        <f t="shared" ref="T151:U151" si="529">T143+T145</f>
        <v>77.829000000000036</v>
      </c>
      <c r="U151" s="772">
        <f t="shared" si="529"/>
        <v>66.731000000000023</v>
      </c>
      <c r="V151" s="774">
        <f t="shared" ref="V151:W151" si="530">V143+V145</f>
        <v>87.33299999999997</v>
      </c>
      <c r="W151" s="772">
        <f t="shared" si="530"/>
        <v>73.662000000000006</v>
      </c>
      <c r="AE151" s="772">
        <f t="shared" ref="AE151:AT151" si="531">AE143+AE145</f>
        <v>0.53351100000000029</v>
      </c>
      <c r="AF151" s="772">
        <f t="shared" si="531"/>
        <v>0.80633000000000088</v>
      </c>
      <c r="AG151" s="772">
        <f t="shared" si="531"/>
        <v>1.1837199999999992</v>
      </c>
      <c r="AH151" s="772">
        <f t="shared" si="531"/>
        <v>1.6568710000000015</v>
      </c>
      <c r="AI151" s="772">
        <f t="shared" si="531"/>
        <v>1.9936170000000022</v>
      </c>
      <c r="AJ151" s="772">
        <f t="shared" si="531"/>
        <v>1.147129000000005</v>
      </c>
      <c r="AK151" s="772">
        <f t="shared" si="531"/>
        <v>1.3125009999999957</v>
      </c>
      <c r="AL151" s="772">
        <f t="shared" si="531"/>
        <v>3.3336380000000077</v>
      </c>
      <c r="AM151" s="772">
        <f t="shared" si="531"/>
        <v>5.7374389999999984</v>
      </c>
      <c r="AN151" s="772">
        <f t="shared" si="531"/>
        <v>7.4000070000000093</v>
      </c>
      <c r="AO151" s="772">
        <f t="shared" si="531"/>
        <v>10.032754999999991</v>
      </c>
      <c r="AP151" s="772">
        <f t="shared" si="531"/>
        <v>16.289691999999988</v>
      </c>
      <c r="AQ151" s="772">
        <f t="shared" si="531"/>
        <v>22.290106999999999</v>
      </c>
      <c r="AR151" s="772">
        <f t="shared" si="531"/>
        <v>27.367999999999967</v>
      </c>
      <c r="AS151" s="772">
        <f t="shared" si="531"/>
        <v>35.528000000000013</v>
      </c>
      <c r="AT151" s="772">
        <f t="shared" si="531"/>
        <v>40.580999999999925</v>
      </c>
      <c r="AU151" s="772">
        <f t="shared" ref="AU151" si="532">AU143+AU145</f>
        <v>45.862999999999985</v>
      </c>
      <c r="AV151" s="772">
        <f>AV143+AV145</f>
        <v>50.152000000000001</v>
      </c>
      <c r="AW151" s="772">
        <f>AW143+AW145</f>
        <v>68.022000000000006</v>
      </c>
      <c r="AX151" s="772">
        <f t="shared" ref="AX151:BA151" si="533">AX143+AX145</f>
        <v>84.486000000000033</v>
      </c>
      <c r="AY151" s="772">
        <f t="shared" si="533"/>
        <v>93.732999999999919</v>
      </c>
      <c r="AZ151" s="772">
        <f t="shared" si="533"/>
        <v>119.41599999999994</v>
      </c>
      <c r="BA151" s="772">
        <f t="shared" si="533"/>
        <v>136.14499999999992</v>
      </c>
      <c r="BB151" s="772"/>
      <c r="BC151" s="772"/>
    </row>
    <row r="152" spans="1:62" ht="13" hidden="1" outlineLevel="2" x14ac:dyDescent="0.25">
      <c r="A152" s="760" t="s">
        <v>235</v>
      </c>
      <c r="C152" s="780">
        <f>C225</f>
        <v>-3.766</v>
      </c>
      <c r="D152" s="780">
        <f>D225</f>
        <v>-4.8940000000000001</v>
      </c>
      <c r="E152" s="781">
        <f>E225</f>
        <v>-3.5009999999999999</v>
      </c>
      <c r="F152" s="780">
        <f>AU152-E152</f>
        <v>-4.4220000000000006</v>
      </c>
      <c r="G152" s="780">
        <f>G225</f>
        <v>-4.2350000000000003</v>
      </c>
      <c r="H152" s="782">
        <f t="shared" ref="H152:I152" si="534">H225</f>
        <v>-5.9609999999999994</v>
      </c>
      <c r="I152" s="780">
        <f t="shared" si="534"/>
        <v>-4.7160000000000002</v>
      </c>
      <c r="J152" s="782">
        <f t="shared" ref="J152:K152" si="535">J225</f>
        <v>-8.4170000000000016</v>
      </c>
      <c r="K152" s="780">
        <f t="shared" si="535"/>
        <v>-6.5140000000000002</v>
      </c>
      <c r="L152" s="782">
        <f t="shared" ref="L152:S152" si="536">L225</f>
        <v>-9.8439999999999994</v>
      </c>
      <c r="M152" s="780">
        <f t="shared" si="536"/>
        <v>-7.4870000000000001</v>
      </c>
      <c r="N152" s="782">
        <f t="shared" si="536"/>
        <v>-10.466000000000001</v>
      </c>
      <c r="O152" s="780">
        <f t="shared" si="536"/>
        <v>-10.716000000000001</v>
      </c>
      <c r="P152" s="782">
        <f t="shared" si="536"/>
        <v>-12.065999999999999</v>
      </c>
      <c r="Q152" s="780">
        <f t="shared" si="536"/>
        <v>-12.180999999999999</v>
      </c>
      <c r="R152" s="782">
        <f t="shared" si="536"/>
        <v>-13.558</v>
      </c>
      <c r="S152" s="780">
        <f t="shared" si="536"/>
        <v>-13.28</v>
      </c>
      <c r="T152" s="782">
        <f t="shared" ref="T152:U152" si="537">T225</f>
        <v>-16.555</v>
      </c>
      <c r="U152" s="780">
        <f t="shared" si="537"/>
        <v>-17.169</v>
      </c>
      <c r="V152" s="782">
        <f t="shared" ref="V152:W152" si="538">V225</f>
        <v>-23.185999999999996</v>
      </c>
      <c r="W152" s="780">
        <f t="shared" si="538"/>
        <v>-19.327999999999999</v>
      </c>
      <c r="AE152" s="780">
        <f>'CapIQ - as disclosed'!G27/1000000</f>
        <v>-0.10513699999999999</v>
      </c>
      <c r="AF152" s="780">
        <f>'CapIQ - as disclosed'!H27/1000000</f>
        <v>-0.234599</v>
      </c>
      <c r="AG152" s="780">
        <f>'CapIQ - as disclosed'!I27/1000000</f>
        <v>-0.493697</v>
      </c>
      <c r="AH152" s="780">
        <f>'CapIQ - as disclosed'!J27/1000000</f>
        <v>-0.50621799999999995</v>
      </c>
      <c r="AI152" s="780">
        <f>'CapIQ - as disclosed'!K27/1000000</f>
        <v>-0.64450600000000002</v>
      </c>
      <c r="AJ152" s="780">
        <f>'CapIQ - as disclosed'!L27/1000000</f>
        <v>-0.39427699999999999</v>
      </c>
      <c r="AK152" s="780">
        <f>'CapIQ - as disclosed'!M27/1000000</f>
        <v>-0.55082399999999998</v>
      </c>
      <c r="AL152" s="780">
        <f>'CapIQ - as disclosed'!N27/1000000</f>
        <v>-1.4077809999999999</v>
      </c>
      <c r="AM152" s="780">
        <f>'CapIQ - as disclosed'!O27/1000000</f>
        <v>-2.1146470000000002</v>
      </c>
      <c r="AN152" s="780">
        <f>'CapIQ - as disclosed'!P27/1000000</f>
        <v>-2.466958</v>
      </c>
      <c r="AO152" s="780">
        <f>'CapIQ - as disclosed'!Q27/1000000</f>
        <v>-2.9612159999999998</v>
      </c>
      <c r="AP152" s="780">
        <f>'CapIQ - as disclosed'!R27/1000000</f>
        <v>-4.8133999999999997</v>
      </c>
      <c r="AQ152" s="780">
        <f>'CapIQ - as disclosed'!S27/1000000</f>
        <v>-5.2292509999999996</v>
      </c>
      <c r="AR152" s="780">
        <v>-6.4859999999999998</v>
      </c>
      <c r="AS152" s="780">
        <v>-7.923</v>
      </c>
      <c r="AT152" s="780">
        <v>-8.3879999999999999</v>
      </c>
      <c r="AU152" s="780">
        <v>-7.923</v>
      </c>
      <c r="AV152" s="780">
        <v>-10.196</v>
      </c>
      <c r="AW152" s="780">
        <v>-13.132999999999999</v>
      </c>
      <c r="AX152" s="780">
        <v>-13.132999999999999</v>
      </c>
      <c r="AY152" s="780">
        <v>-13.132999999999999</v>
      </c>
      <c r="AZ152" s="780">
        <v>-13.132999999999999</v>
      </c>
      <c r="BA152" s="780">
        <v>-13.132999999999999</v>
      </c>
      <c r="BB152" s="780"/>
      <c r="BC152" s="780"/>
    </row>
    <row r="153" spans="1:62" hidden="1" outlineLevel="2" x14ac:dyDescent="0.25">
      <c r="A153" s="783" t="s">
        <v>236</v>
      </c>
      <c r="C153" s="772">
        <f>SUM(C151:C152)</f>
        <v>13.524999999999983</v>
      </c>
      <c r="D153" s="772">
        <f>SUM(D151:D152)</f>
        <v>18.396000000000022</v>
      </c>
      <c r="E153" s="773">
        <f>SUM(E151:E152)</f>
        <v>15.500000000000012</v>
      </c>
      <c r="F153" s="772">
        <f t="shared" ref="F153" si="539">SUM(F151:F152)</f>
        <v>22.439999999999973</v>
      </c>
      <c r="G153" s="772">
        <f>SUM(G151:G152)</f>
        <v>16.664999999999999</v>
      </c>
      <c r="H153" s="774">
        <f t="shared" ref="H153:I153" si="540">SUM(H151:H152)</f>
        <v>23.291000000000004</v>
      </c>
      <c r="I153" s="772">
        <f t="shared" si="540"/>
        <v>19.393999999999998</v>
      </c>
      <c r="J153" s="774">
        <f t="shared" ref="J153:K153" si="541">SUM(J151:J152)</f>
        <v>35.495000000000005</v>
      </c>
      <c r="K153" s="772">
        <f t="shared" si="541"/>
        <v>27.340000000000028</v>
      </c>
      <c r="L153" s="774">
        <f t="shared" ref="L153:S153" si="542">SUM(L151:L152)</f>
        <v>40.788000000000004</v>
      </c>
      <c r="M153" s="772">
        <f t="shared" si="542"/>
        <v>32.991000000000021</v>
      </c>
      <c r="N153" s="774">
        <f t="shared" si="542"/>
        <v>42.788999999999895</v>
      </c>
      <c r="O153" s="772">
        <f t="shared" si="542"/>
        <v>46.348000000000049</v>
      </c>
      <c r="P153" s="774">
        <f t="shared" si="542"/>
        <v>50.285999999999888</v>
      </c>
      <c r="Q153" s="772">
        <f t="shared" si="542"/>
        <v>51.952000000000069</v>
      </c>
      <c r="R153" s="774">
        <f t="shared" si="542"/>
        <v>58.453999999999859</v>
      </c>
      <c r="S153" s="772">
        <f t="shared" si="542"/>
        <v>49.790999999999968</v>
      </c>
      <c r="T153" s="774">
        <f t="shared" ref="T153:U153" si="543">SUM(T151:T152)</f>
        <v>61.274000000000036</v>
      </c>
      <c r="U153" s="772">
        <f t="shared" si="543"/>
        <v>49.562000000000026</v>
      </c>
      <c r="V153" s="774">
        <f t="shared" ref="V153:W153" si="544">SUM(V151:V152)</f>
        <v>64.146999999999977</v>
      </c>
      <c r="W153" s="772">
        <f t="shared" si="544"/>
        <v>54.334000000000003</v>
      </c>
      <c r="AE153" s="772">
        <f t="shared" ref="AE153:AT153" si="545">SUM(AE151:AE152)</f>
        <v>0.42837400000000031</v>
      </c>
      <c r="AF153" s="772">
        <f t="shared" si="545"/>
        <v>0.57173100000000088</v>
      </c>
      <c r="AG153" s="772">
        <f t="shared" si="545"/>
        <v>0.69002299999999916</v>
      </c>
      <c r="AH153" s="772">
        <f t="shared" si="545"/>
        <v>1.1506530000000015</v>
      </c>
      <c r="AI153" s="772">
        <f t="shared" si="545"/>
        <v>1.3491110000000022</v>
      </c>
      <c r="AJ153" s="772">
        <f t="shared" si="545"/>
        <v>0.75285200000000496</v>
      </c>
      <c r="AK153" s="772">
        <f t="shared" si="545"/>
        <v>0.76167699999999572</v>
      </c>
      <c r="AL153" s="772">
        <f t="shared" si="545"/>
        <v>1.9258570000000077</v>
      </c>
      <c r="AM153" s="772">
        <f t="shared" si="545"/>
        <v>3.6227919999999982</v>
      </c>
      <c r="AN153" s="772">
        <f t="shared" si="545"/>
        <v>4.9330490000000093</v>
      </c>
      <c r="AO153" s="772">
        <f t="shared" si="545"/>
        <v>7.0715389999999907</v>
      </c>
      <c r="AP153" s="772">
        <f t="shared" si="545"/>
        <v>11.476291999999988</v>
      </c>
      <c r="AQ153" s="772">
        <f t="shared" si="545"/>
        <v>17.060856000000001</v>
      </c>
      <c r="AR153" s="772">
        <f t="shared" si="545"/>
        <v>20.881999999999966</v>
      </c>
      <c r="AS153" s="772">
        <f t="shared" si="545"/>
        <v>27.605000000000011</v>
      </c>
      <c r="AT153" s="772">
        <f t="shared" si="545"/>
        <v>32.192999999999927</v>
      </c>
      <c r="AU153" s="772">
        <f t="shared" ref="AU153:AV153" si="546">SUM(AU151:AU152)</f>
        <v>37.939999999999984</v>
      </c>
      <c r="AV153" s="772">
        <f t="shared" si="546"/>
        <v>39.956000000000003</v>
      </c>
      <c r="AW153" s="772">
        <f t="shared" ref="AW153:BA153" si="547">SUM(AW151:AW152)</f>
        <v>54.88900000000001</v>
      </c>
      <c r="AX153" s="772">
        <f t="shared" si="547"/>
        <v>71.353000000000037</v>
      </c>
      <c r="AY153" s="772">
        <f t="shared" si="547"/>
        <v>80.599999999999923</v>
      </c>
      <c r="AZ153" s="772">
        <f t="shared" si="547"/>
        <v>106.28299999999994</v>
      </c>
      <c r="BA153" s="772">
        <f t="shared" si="547"/>
        <v>123.01199999999993</v>
      </c>
      <c r="BB153" s="772"/>
      <c r="BC153" s="772"/>
    </row>
    <row r="154" spans="1:62" hidden="1" outlineLevel="2" x14ac:dyDescent="0.25">
      <c r="A154" s="760" t="s">
        <v>221</v>
      </c>
      <c r="C154" s="772">
        <f>C129</f>
        <v>241.84199999999998</v>
      </c>
      <c r="D154" s="772">
        <f>D129</f>
        <v>318.94200000000001</v>
      </c>
      <c r="E154" s="773">
        <f>E129</f>
        <v>291.42700000000002</v>
      </c>
      <c r="F154" s="772">
        <f t="shared" ref="F154" si="548">F129</f>
        <v>87.36399999999999</v>
      </c>
      <c r="G154" s="772">
        <f>G129</f>
        <v>353.09000000000003</v>
      </c>
      <c r="H154" s="774">
        <f t="shared" ref="H154:I154" si="549">H129</f>
        <v>409.786</v>
      </c>
      <c r="I154" s="772">
        <f t="shared" si="549"/>
        <v>433.88900000000001</v>
      </c>
      <c r="J154" s="774">
        <f t="shared" ref="J154:K154" si="550">J129</f>
        <v>487.654</v>
      </c>
      <c r="K154" s="772">
        <f t="shared" si="550"/>
        <v>590.00699999999995</v>
      </c>
      <c r="L154" s="774">
        <f t="shared" ref="L154:S154" si="551">L129</f>
        <v>652.88799999999992</v>
      </c>
      <c r="M154" s="772">
        <f t="shared" si="551"/>
        <v>638.49500000000012</v>
      </c>
      <c r="N154" s="774">
        <f t="shared" si="551"/>
        <v>721.14499999999998</v>
      </c>
      <c r="O154" s="772">
        <f t="shared" si="551"/>
        <v>648.9670000000001</v>
      </c>
      <c r="P154" s="774">
        <f t="shared" si="551"/>
        <v>815.57400000000007</v>
      </c>
      <c r="Q154" s="772">
        <f t="shared" si="551"/>
        <v>940.6099999999999</v>
      </c>
      <c r="R154" s="774">
        <f t="shared" si="551"/>
        <v>1133.0160000000001</v>
      </c>
      <c r="S154" s="772">
        <f t="shared" si="551"/>
        <v>1153.6869999999999</v>
      </c>
      <c r="T154" s="774">
        <f t="shared" ref="T154:U154" si="552">T129</f>
        <v>1043.999</v>
      </c>
      <c r="U154" s="772">
        <f t="shared" si="552"/>
        <v>1046.71</v>
      </c>
      <c r="V154" s="774">
        <f t="shared" ref="V154:W154" si="553">V129</f>
        <v>1263.461</v>
      </c>
      <c r="W154" s="772">
        <f t="shared" si="553"/>
        <v>1382.8530000000001</v>
      </c>
      <c r="AE154" s="772">
        <f t="shared" ref="AE154:AT154" si="554">AE129</f>
        <v>1.8936360000000008</v>
      </c>
      <c r="AF154" s="772">
        <f t="shared" si="554"/>
        <v>2.6036750000000008</v>
      </c>
      <c r="AG154" s="772">
        <f t="shared" si="554"/>
        <v>2.6526890000000023</v>
      </c>
      <c r="AH154" s="772">
        <f t="shared" si="554"/>
        <v>3.0357890000000012</v>
      </c>
      <c r="AI154" s="772">
        <f t="shared" si="554"/>
        <v>4.7134929999999997</v>
      </c>
      <c r="AJ154" s="772">
        <f t="shared" si="554"/>
        <v>3.2077239999999989</v>
      </c>
      <c r="AK154" s="772">
        <f t="shared" si="554"/>
        <v>4.3010390000000012</v>
      </c>
      <c r="AL154" s="772">
        <f t="shared" si="554"/>
        <v>6.6973470000000006</v>
      </c>
      <c r="AM154" s="772">
        <f t="shared" si="554"/>
        <v>9.9466639999999984</v>
      </c>
      <c r="AN154" s="772">
        <f t="shared" si="554"/>
        <v>14.976743000000006</v>
      </c>
      <c r="AO154" s="772">
        <f t="shared" si="554"/>
        <v>13.203077000000004</v>
      </c>
      <c r="AP154" s="772">
        <f t="shared" si="554"/>
        <v>25.048490000000001</v>
      </c>
      <c r="AQ154" s="772">
        <f t="shared" si="554"/>
        <v>41.958799999999989</v>
      </c>
      <c r="AR154" s="772">
        <f t="shared" si="554"/>
        <v>48.383000000000003</v>
      </c>
      <c r="AS154" s="772">
        <f t="shared" si="554"/>
        <v>72.298999999999978</v>
      </c>
      <c r="AT154" s="772">
        <f t="shared" si="554"/>
        <v>95.816000000000017</v>
      </c>
      <c r="AU154" s="772">
        <f t="shared" ref="AU154:AV154" si="555">AU129</f>
        <v>87.36399999999999</v>
      </c>
      <c r="AV154" s="772">
        <f t="shared" si="555"/>
        <v>88.418000000000006</v>
      </c>
      <c r="AW154" s="772">
        <f t="shared" ref="AW154:BA154" si="556">AW129</f>
        <v>487.654</v>
      </c>
      <c r="AX154" s="772">
        <f t="shared" si="556"/>
        <v>652.88799999999992</v>
      </c>
      <c r="AY154" s="772">
        <f t="shared" si="556"/>
        <v>721.14499999999998</v>
      </c>
      <c r="AZ154" s="772">
        <f t="shared" si="556"/>
        <v>815.57400000000007</v>
      </c>
      <c r="BA154" s="772">
        <f t="shared" si="556"/>
        <v>1133.0160000000001</v>
      </c>
      <c r="BB154" s="772"/>
      <c r="BC154" s="772"/>
    </row>
    <row r="155" spans="1:62" ht="12" hidden="1" outlineLevel="2" x14ac:dyDescent="0.3">
      <c r="A155" s="760" t="s">
        <v>237</v>
      </c>
      <c r="C155" s="1165">
        <f>C153/C154*2</f>
        <v>0.1118498854624092</v>
      </c>
      <c r="D155" s="1166">
        <f>D153/D154*2</f>
        <v>0.11535639708787192</v>
      </c>
      <c r="E155" s="1165">
        <f>E153/E154*2</f>
        <v>0.10637312260017096</v>
      </c>
      <c r="F155" s="1165">
        <f t="shared" ref="F155" si="557">F153/F154*2</f>
        <v>0.51371274209056306</v>
      </c>
      <c r="G155" s="1165">
        <f>G153/G154*2</f>
        <v>9.4395196692061506E-2</v>
      </c>
      <c r="H155" s="1166">
        <f t="shared" ref="H155:I155" si="558">H153/H154*2</f>
        <v>0.11367396641173688</v>
      </c>
      <c r="I155" s="1165">
        <f t="shared" si="558"/>
        <v>8.9396135878070188E-2</v>
      </c>
      <c r="J155" s="1166">
        <f t="shared" ref="J155:K155" si="559">J153/J154*2</f>
        <v>0.14557452620095399</v>
      </c>
      <c r="K155" s="1165">
        <f t="shared" si="559"/>
        <v>9.2676866545651257E-2</v>
      </c>
      <c r="L155" s="1166">
        <f t="shared" ref="L155:S155" si="560">L153/L154*2</f>
        <v>0.12494639203048612</v>
      </c>
      <c r="M155" s="1165">
        <f t="shared" si="560"/>
        <v>0.10333988519878783</v>
      </c>
      <c r="N155" s="1166">
        <f t="shared" si="560"/>
        <v>0.11866961568061872</v>
      </c>
      <c r="O155" s="1165">
        <f t="shared" si="560"/>
        <v>0.14283623050170516</v>
      </c>
      <c r="P155" s="1166">
        <f t="shared" si="560"/>
        <v>0.12331437735876789</v>
      </c>
      <c r="Q155" s="1165">
        <f t="shared" si="560"/>
        <v>0.1104644858123985</v>
      </c>
      <c r="R155" s="1166">
        <f t="shared" si="560"/>
        <v>0.10318300888954764</v>
      </c>
      <c r="S155" s="1165">
        <f t="shared" si="560"/>
        <v>8.6316305895793186E-2</v>
      </c>
      <c r="T155" s="1166">
        <f t="shared" ref="T155:U155" si="561">T153/T154*2</f>
        <v>0.11738325419851942</v>
      </c>
      <c r="U155" s="1165">
        <f t="shared" si="561"/>
        <v>9.4700537875820473E-2</v>
      </c>
      <c r="V155" s="1166">
        <f t="shared" ref="V155:W155" si="562">V153/V154*2</f>
        <v>0.10154171755202571</v>
      </c>
      <c r="W155" s="1165">
        <f t="shared" si="562"/>
        <v>7.8582466827638225E-2</v>
      </c>
      <c r="X155" s="1165"/>
      <c r="Y155" s="1165"/>
      <c r="Z155" s="1165"/>
      <c r="AA155" s="1165"/>
      <c r="AB155" s="1165"/>
      <c r="AC155" s="1165"/>
      <c r="AD155" s="1165"/>
      <c r="AE155" s="1165">
        <f t="shared" ref="AE155:AT155" si="563">AE153/AE154</f>
        <v>0.22621771026744322</v>
      </c>
      <c r="AF155" s="1165">
        <f t="shared" si="563"/>
        <v>0.21958616186736082</v>
      </c>
      <c r="AG155" s="1165">
        <f t="shared" si="563"/>
        <v>0.26012208743655912</v>
      </c>
      <c r="AH155" s="1165">
        <f t="shared" si="563"/>
        <v>0.37902930671400453</v>
      </c>
      <c r="AI155" s="1165">
        <f t="shared" si="563"/>
        <v>0.28622318946904179</v>
      </c>
      <c r="AJ155" s="1165">
        <f t="shared" si="563"/>
        <v>0.23469974349414263</v>
      </c>
      <c r="AK155" s="1165">
        <f t="shared" si="563"/>
        <v>0.17709139582319425</v>
      </c>
      <c r="AL155" s="1165">
        <f t="shared" si="563"/>
        <v>0.28755520656164413</v>
      </c>
      <c r="AM155" s="1165">
        <f t="shared" si="563"/>
        <v>0.36422181346429305</v>
      </c>
      <c r="AN155" s="1165">
        <f t="shared" si="563"/>
        <v>0.32938062701616816</v>
      </c>
      <c r="AO155" s="1165">
        <f t="shared" si="563"/>
        <v>0.53559780042182503</v>
      </c>
      <c r="AP155" s="1165">
        <f t="shared" si="563"/>
        <v>0.45816302699284417</v>
      </c>
      <c r="AQ155" s="1165">
        <f t="shared" si="563"/>
        <v>0.40660972191769079</v>
      </c>
      <c r="AR155" s="1165">
        <f t="shared" si="563"/>
        <v>0.43159787528677357</v>
      </c>
      <c r="AS155" s="1165">
        <f t="shared" si="563"/>
        <v>0.38181717589454928</v>
      </c>
      <c r="AT155" s="1165">
        <f t="shared" si="563"/>
        <v>0.33598772647574437</v>
      </c>
      <c r="AU155" s="1165">
        <f t="shared" ref="AU155:AV155" si="564">AU153/AU154</f>
        <v>0.43427498740900128</v>
      </c>
      <c r="AV155" s="1165">
        <f t="shared" si="564"/>
        <v>0.45189893460607566</v>
      </c>
      <c r="AW155" s="1165">
        <f t="shared" ref="AW155:BA155" si="565">AW153/AW154</f>
        <v>0.11255726396174338</v>
      </c>
      <c r="AX155" s="1165">
        <f t="shared" si="565"/>
        <v>0.10928826996360792</v>
      </c>
      <c r="AY155" s="1165">
        <f t="shared" si="565"/>
        <v>0.11176670433823978</v>
      </c>
      <c r="AZ155" s="1165">
        <f t="shared" si="565"/>
        <v>0.13031680754903902</v>
      </c>
      <c r="BA155" s="1165">
        <f t="shared" si="565"/>
        <v>0.10857039971191927</v>
      </c>
      <c r="BB155" s="776"/>
      <c r="BC155" s="776"/>
      <c r="BD155" s="776"/>
      <c r="BE155" s="776"/>
      <c r="BF155" s="776"/>
      <c r="BG155" s="776"/>
      <c r="BH155" s="776"/>
      <c r="BI155" s="776"/>
      <c r="BJ155" s="776"/>
    </row>
    <row r="156" spans="1:62" hidden="1" outlineLevel="1" collapsed="1" x14ac:dyDescent="0.25">
      <c r="E156" s="790"/>
      <c r="H156" s="791"/>
      <c r="J156" s="791"/>
      <c r="L156" s="791"/>
      <c r="N156" s="791"/>
      <c r="P156" s="791"/>
      <c r="R156" s="791"/>
      <c r="T156" s="791"/>
      <c r="V156" s="791"/>
    </row>
    <row r="157" spans="1:62" collapsed="1" x14ac:dyDescent="0.25">
      <c r="A157" s="771" t="s">
        <v>238</v>
      </c>
      <c r="E157" s="790"/>
      <c r="H157" s="791"/>
      <c r="J157" s="791"/>
      <c r="L157" s="791"/>
      <c r="N157" s="791"/>
      <c r="P157" s="791"/>
      <c r="R157" s="791"/>
      <c r="T157" s="791"/>
      <c r="V157" s="791"/>
    </row>
    <row r="158" spans="1:62" s="800" customFormat="1" hidden="1" outlineLevel="1" x14ac:dyDescent="0.25">
      <c r="A158" s="800" t="s">
        <v>239</v>
      </c>
      <c r="C158" s="1167">
        <f t="shared" ref="C158:S158" si="566">C264/C255</f>
        <v>0.17545331427281613</v>
      </c>
      <c r="D158" s="1168">
        <f t="shared" si="566"/>
        <v>0.16997311241915566</v>
      </c>
      <c r="E158" s="1167">
        <f t="shared" si="566"/>
        <v>0.18282236172089747</v>
      </c>
      <c r="F158" s="1167">
        <f t="shared" si="566"/>
        <v>0.17700390748759101</v>
      </c>
      <c r="G158" s="1167">
        <f t="shared" si="566"/>
        <v>0.16195508586525759</v>
      </c>
      <c r="H158" s="1168">
        <f t="shared" si="566"/>
        <v>0.16521357957248842</v>
      </c>
      <c r="I158" s="1167">
        <f t="shared" si="566"/>
        <v>0.15826606294266801</v>
      </c>
      <c r="J158" s="1168">
        <f t="shared" si="566"/>
        <v>0.164786847011095</v>
      </c>
      <c r="K158" s="1167">
        <f t="shared" si="566"/>
        <v>0.15577304049651508</v>
      </c>
      <c r="L158" s="1168">
        <f t="shared" si="566"/>
        <v>0.14444976361390438</v>
      </c>
      <c r="M158" s="1167">
        <f t="shared" si="566"/>
        <v>0.15345420366568555</v>
      </c>
      <c r="N158" s="1168">
        <f t="shared" si="566"/>
        <v>0.13504320777293508</v>
      </c>
      <c r="O158" s="1167">
        <f t="shared" si="566"/>
        <v>0.1544114945063022</v>
      </c>
      <c r="P158" s="1168">
        <f t="shared" si="566"/>
        <v>0.13290634155845119</v>
      </c>
      <c r="Q158" s="1167">
        <f t="shared" si="566"/>
        <v>0.12967770285261429</v>
      </c>
      <c r="R158" s="1168">
        <f t="shared" si="566"/>
        <v>0.13118850041061481</v>
      </c>
      <c r="S158" s="1167">
        <f t="shared" si="566"/>
        <v>0.14575608695938513</v>
      </c>
      <c r="T158" s="1168">
        <f t="shared" ref="T158:U158" si="567">T264/T255</f>
        <v>0.14594681191925662</v>
      </c>
      <c r="U158" s="1167">
        <f t="shared" si="567"/>
        <v>0.15553146022952119</v>
      </c>
      <c r="V158" s="1168">
        <f t="shared" ref="V158:W158" si="568">V264/V255</f>
        <v>0.13925788380436835</v>
      </c>
      <c r="W158" s="1167">
        <f t="shared" si="568"/>
        <v>0.14611173777453387</v>
      </c>
      <c r="X158" s="1167"/>
      <c r="Y158" s="1167"/>
      <c r="Z158" s="1167"/>
      <c r="AA158" s="1167"/>
      <c r="AB158" s="1167"/>
      <c r="AC158" s="1167"/>
      <c r="AD158" s="1167"/>
      <c r="AE158" s="1167">
        <f t="shared" ref="AE158:BA158" si="569">AE264/AE255</f>
        <v>0.1729979296747097</v>
      </c>
      <c r="AF158" s="1167">
        <f t="shared" si="569"/>
        <v>0.14236544199577209</v>
      </c>
      <c r="AG158" s="1167">
        <f t="shared" si="569"/>
        <v>0.1852562690461399</v>
      </c>
      <c r="AH158" s="1167">
        <f t="shared" si="569"/>
        <v>0.18614801955394786</v>
      </c>
      <c r="AI158" s="1167">
        <f t="shared" si="569"/>
        <v>0.17026995503350517</v>
      </c>
      <c r="AJ158" s="1167">
        <f t="shared" si="569"/>
        <v>0.149942374530772</v>
      </c>
      <c r="AK158" s="1167">
        <f t="shared" si="569"/>
        <v>0.16140055005596857</v>
      </c>
      <c r="AL158" s="1167">
        <f t="shared" si="569"/>
        <v>0.17045795292080837</v>
      </c>
      <c r="AM158" s="1167">
        <f t="shared" si="569"/>
        <v>0.19198613664233918</v>
      </c>
      <c r="AN158" s="1167">
        <f t="shared" si="569"/>
        <v>0.19522043938461622</v>
      </c>
      <c r="AO158" s="1167">
        <f t="shared" si="569"/>
        <v>0.19566708658944551</v>
      </c>
      <c r="AP158" s="1167">
        <f t="shared" si="569"/>
        <v>0.19753944610335061</v>
      </c>
      <c r="AQ158" s="1167">
        <f t="shared" si="569"/>
        <v>0.18511234480329095</v>
      </c>
      <c r="AR158" s="1167">
        <f t="shared" si="569"/>
        <v>0.1781678610052658</v>
      </c>
      <c r="AS158" s="1167">
        <f t="shared" si="569"/>
        <v>0.17535959999762282</v>
      </c>
      <c r="AT158" s="1167">
        <f t="shared" si="569"/>
        <v>0.17241697478878804</v>
      </c>
      <c r="AU158" s="1167">
        <f t="shared" si="569"/>
        <v>0.17954461285846229</v>
      </c>
      <c r="AV158" s="1167">
        <f t="shared" si="569"/>
        <v>0.16373204753049939</v>
      </c>
      <c r="AW158" s="1167">
        <f t="shared" si="569"/>
        <v>0.16193636183781124</v>
      </c>
      <c r="AX158" s="1167">
        <f t="shared" si="569"/>
        <v>0.14931643829416491</v>
      </c>
      <c r="AY158" s="1167">
        <f t="shared" si="569"/>
        <v>0.14318204874161014</v>
      </c>
      <c r="AZ158" s="1167">
        <f t="shared" si="569"/>
        <v>0.14256721900084601</v>
      </c>
      <c r="BA158" s="1167">
        <f t="shared" si="569"/>
        <v>0.13049059694832019</v>
      </c>
    </row>
    <row r="159" spans="1:62" hidden="1" outlineLevel="1" x14ac:dyDescent="0.25">
      <c r="A159" s="760" t="s">
        <v>233</v>
      </c>
      <c r="C159" s="772">
        <f t="shared" ref="C159:S159" si="570">C278</f>
        <v>17.291999999999984</v>
      </c>
      <c r="D159" s="772">
        <f t="shared" si="570"/>
        <v>23.294000000000025</v>
      </c>
      <c r="E159" s="773">
        <f t="shared" si="570"/>
        <v>19.507000000000012</v>
      </c>
      <c r="F159" s="772">
        <f t="shared" si="570"/>
        <v>27.243999999999975</v>
      </c>
      <c r="G159" s="772">
        <f t="shared" si="570"/>
        <v>21.373999999999999</v>
      </c>
      <c r="H159" s="774">
        <f t="shared" si="570"/>
        <v>30.080000000000002</v>
      </c>
      <c r="I159" s="772">
        <f t="shared" si="570"/>
        <v>25.437999999999978</v>
      </c>
      <c r="J159" s="774">
        <f t="shared" si="570"/>
        <v>45.069000000000024</v>
      </c>
      <c r="K159" s="772">
        <f t="shared" si="570"/>
        <v>34.752000000000031</v>
      </c>
      <c r="L159" s="774">
        <f t="shared" si="570"/>
        <v>51.466000000000008</v>
      </c>
      <c r="M159" s="772">
        <f t="shared" si="570"/>
        <v>41.449000000000019</v>
      </c>
      <c r="N159" s="774">
        <f t="shared" si="570"/>
        <v>54.241999999999898</v>
      </c>
      <c r="O159" s="772">
        <f t="shared" si="570"/>
        <v>58.177000000000049</v>
      </c>
      <c r="P159" s="774">
        <f t="shared" si="570"/>
        <v>63.505999999999887</v>
      </c>
      <c r="Q159" s="772">
        <f t="shared" si="570"/>
        <v>65.549000000000063</v>
      </c>
      <c r="R159" s="774">
        <f t="shared" si="570"/>
        <v>73.136999999999858</v>
      </c>
      <c r="S159" s="772">
        <f t="shared" si="570"/>
        <v>64.661999999999964</v>
      </c>
      <c r="T159" s="774">
        <f t="shared" ref="T159:U159" si="571">T278</f>
        <v>79.568000000000055</v>
      </c>
      <c r="U159" s="772">
        <f t="shared" si="571"/>
        <v>68.430000000000021</v>
      </c>
      <c r="V159" s="774">
        <f t="shared" ref="V159:W159" si="572">V278</f>
        <v>89.245999999999938</v>
      </c>
      <c r="W159" s="772">
        <f t="shared" si="572"/>
        <v>75.314000000000007</v>
      </c>
      <c r="AE159" s="772">
        <f t="shared" ref="AE159:AN159" si="573">AE220</f>
        <v>0.53351100000000029</v>
      </c>
      <c r="AF159" s="772">
        <f t="shared" si="573"/>
        <v>0.80633000000000088</v>
      </c>
      <c r="AG159" s="772">
        <f t="shared" si="573"/>
        <v>1.1837199999999992</v>
      </c>
      <c r="AH159" s="772">
        <f t="shared" si="573"/>
        <v>1.6568710000000015</v>
      </c>
      <c r="AI159" s="772">
        <f t="shared" si="573"/>
        <v>1.9936170000000022</v>
      </c>
      <c r="AJ159" s="772">
        <f t="shared" si="573"/>
        <v>1.147129000000005</v>
      </c>
      <c r="AK159" s="772">
        <f t="shared" si="573"/>
        <v>1.6560759999999957</v>
      </c>
      <c r="AL159" s="772">
        <f t="shared" si="573"/>
        <v>3.6586380000000078</v>
      </c>
      <c r="AM159" s="772">
        <f t="shared" si="573"/>
        <v>5.8051969999999988</v>
      </c>
      <c r="AN159" s="772">
        <f t="shared" si="573"/>
        <v>7.4000070000000093</v>
      </c>
      <c r="AO159" s="772">
        <f t="shared" ref="AO159:AT159" si="574">AO146</f>
        <v>10.032754999999991</v>
      </c>
      <c r="AP159" s="772">
        <f t="shared" si="574"/>
        <v>16.445728999999989</v>
      </c>
      <c r="AQ159" s="772">
        <f t="shared" si="574"/>
        <v>23.205904999999998</v>
      </c>
      <c r="AR159" s="772">
        <f t="shared" si="574"/>
        <v>28.102890999999968</v>
      </c>
      <c r="AS159" s="772">
        <f t="shared" si="574"/>
        <v>35.528241000000016</v>
      </c>
      <c r="AT159" s="772">
        <f t="shared" si="574"/>
        <v>40.586483999999928</v>
      </c>
      <c r="AU159" s="772">
        <f>AU146</f>
        <v>46.750999999999983</v>
      </c>
      <c r="AV159" s="772">
        <f t="shared" ref="AV159:AW159" si="575">AV146</f>
        <v>51.454000000000001</v>
      </c>
      <c r="AW159" s="772">
        <f t="shared" si="575"/>
        <v>70.507000000000005</v>
      </c>
      <c r="AX159" s="772">
        <f t="shared" ref="AX159:BA159" si="576">AX146</f>
        <v>86.971000000000032</v>
      </c>
      <c r="AY159" s="772">
        <f t="shared" si="576"/>
        <v>96.217999999999918</v>
      </c>
      <c r="AZ159" s="772">
        <f t="shared" si="576"/>
        <v>121.90099999999994</v>
      </c>
      <c r="BA159" s="772">
        <f t="shared" si="576"/>
        <v>138.62999999999994</v>
      </c>
      <c r="BB159" s="772"/>
      <c r="BC159" s="772"/>
    </row>
    <row r="160" spans="1:62" s="800" customFormat="1" hidden="1" outlineLevel="1" x14ac:dyDescent="0.25">
      <c r="A160" s="800" t="s">
        <v>240</v>
      </c>
      <c r="C160" s="1167">
        <f t="shared" ref="C160:S160" si="577">C159/C255</f>
        <v>6.5051538635166592E-2</v>
      </c>
      <c r="D160" s="1168">
        <f t="shared" si="577"/>
        <v>7.0531453624978882E-2</v>
      </c>
      <c r="E160" s="1167">
        <f t="shared" si="577"/>
        <v>6.6442772428310176E-2</v>
      </c>
      <c r="F160" s="1167">
        <f t="shared" si="577"/>
        <v>7.1929454007814905E-2</v>
      </c>
      <c r="G160" s="1167">
        <f t="shared" si="577"/>
        <v>5.6470277410832229E-2</v>
      </c>
      <c r="H160" s="1168">
        <f t="shared" si="577"/>
        <v>6.625900928683455E-2</v>
      </c>
      <c r="I160" s="1167">
        <f t="shared" si="577"/>
        <v>5.3797983685916838E-2</v>
      </c>
      <c r="J160" s="1168">
        <f t="shared" si="577"/>
        <v>7.4024982138017725E-2</v>
      </c>
      <c r="K160" s="1167">
        <f t="shared" si="577"/>
        <v>5.7180842311717245E-2</v>
      </c>
      <c r="L160" s="1168">
        <f t="shared" si="577"/>
        <v>6.3829206705130065E-2</v>
      </c>
      <c r="M160" s="1167">
        <f t="shared" si="577"/>
        <v>5.6957189696065273E-2</v>
      </c>
      <c r="N160" s="1168">
        <f t="shared" si="577"/>
        <v>5.905697416026006E-2</v>
      </c>
      <c r="O160" s="1167">
        <f t="shared" si="577"/>
        <v>6.6807454157939289E-2</v>
      </c>
      <c r="P160" s="1168">
        <f t="shared" si="577"/>
        <v>5.9483488569009209E-2</v>
      </c>
      <c r="Q160" s="1167">
        <f t="shared" si="577"/>
        <v>5.6588690204352664E-2</v>
      </c>
      <c r="R160" s="1168">
        <f t="shared" si="577"/>
        <v>5.4207839335426319E-2</v>
      </c>
      <c r="S160" s="1167">
        <f t="shared" si="577"/>
        <v>5.3231669970561286E-2</v>
      </c>
      <c r="T160" s="1168">
        <f t="shared" ref="T160:U160" si="578">T159/T255</f>
        <v>5.9014798200956516E-2</v>
      </c>
      <c r="U160" s="1167">
        <f t="shared" si="578"/>
        <v>5.4159081915314621E-2</v>
      </c>
      <c r="V160" s="1168">
        <f t="shared" ref="V160:W160" si="579">V159/V255</f>
        <v>5.6175489393843994E-2</v>
      </c>
      <c r="W160" s="1167">
        <f t="shared" si="579"/>
        <v>4.9972795434941278E-2</v>
      </c>
      <c r="X160" s="1167"/>
      <c r="Y160" s="1167"/>
      <c r="Z160" s="1167"/>
      <c r="AA160" s="1167"/>
      <c r="AB160" s="1167"/>
      <c r="AC160" s="1167"/>
      <c r="AD160" s="1167"/>
      <c r="AE160" s="1167">
        <f t="shared" ref="AE160:BA160" si="580">AE159/AE255</f>
        <v>2.9047002471040452E-2</v>
      </c>
      <c r="AF160" s="1167">
        <f t="shared" si="580"/>
        <v>2.5301413883159728E-2</v>
      </c>
      <c r="AG160" s="1167">
        <f t="shared" si="580"/>
        <v>3.0659534048744889E-2</v>
      </c>
      <c r="AH160" s="1167">
        <f t="shared" si="580"/>
        <v>4.1970496218295628E-2</v>
      </c>
      <c r="AI160" s="1167">
        <f t="shared" si="580"/>
        <v>3.8989052375798888E-2</v>
      </c>
      <c r="AJ160" s="1167">
        <f t="shared" si="580"/>
        <v>2.0088080618148863E-2</v>
      </c>
      <c r="AK160" s="1167">
        <f t="shared" si="580"/>
        <v>2.4615460168848004E-2</v>
      </c>
      <c r="AL160" s="1167">
        <f t="shared" si="580"/>
        <v>4.1042586182422069E-2</v>
      </c>
      <c r="AM160" s="1167">
        <f t="shared" si="580"/>
        <v>5.6407189928514928E-2</v>
      </c>
      <c r="AN160" s="1167">
        <f t="shared" si="580"/>
        <v>6.5420645022726528E-2</v>
      </c>
      <c r="AO160" s="1167">
        <f t="shared" si="580"/>
        <v>6.8834707118870103E-2</v>
      </c>
      <c r="AP160" s="1167">
        <f t="shared" si="580"/>
        <v>7.5016513164611442E-2</v>
      </c>
      <c r="AQ160" s="1167">
        <f t="shared" si="580"/>
        <v>7.632128091405628E-2</v>
      </c>
      <c r="AR160" s="1167">
        <f t="shared" si="580"/>
        <v>7.1010650501824285E-2</v>
      </c>
      <c r="AS160" s="1167">
        <f t="shared" si="580"/>
        <v>7.0381244341784943E-2</v>
      </c>
      <c r="AT160" s="1167">
        <f t="shared" si="580"/>
        <v>6.808853114661681E-2</v>
      </c>
      <c r="AU160" s="1167">
        <f t="shared" si="580"/>
        <v>6.9533621575635321E-2</v>
      </c>
      <c r="AV160" s="1167">
        <f t="shared" si="580"/>
        <v>6.1808388470057998E-2</v>
      </c>
      <c r="AW160" s="1167">
        <f t="shared" si="580"/>
        <v>6.5182984215265541E-2</v>
      </c>
      <c r="AX160" s="1167">
        <f t="shared" si="580"/>
        <v>6.1504288349042216E-2</v>
      </c>
      <c r="AY160" s="1167">
        <f t="shared" si="580"/>
        <v>5.8448867719480858E-2</v>
      </c>
      <c r="AZ160" s="1167">
        <f t="shared" si="580"/>
        <v>6.2886135242772506E-2</v>
      </c>
      <c r="BA160" s="1167">
        <f t="shared" si="580"/>
        <v>5.5285325799778809E-2</v>
      </c>
    </row>
    <row r="161" spans="1:62" s="800" customFormat="1" hidden="1" outlineLevel="1" x14ac:dyDescent="0.25">
      <c r="A161" s="800" t="s">
        <v>241</v>
      </c>
      <c r="C161" s="1167">
        <f t="shared" ref="C161:S161" si="581">C159/C264</f>
        <v>0.37076266643795946</v>
      </c>
      <c r="D161" s="1168">
        <f t="shared" si="581"/>
        <v>0.41495653413139544</v>
      </c>
      <c r="E161" s="1167">
        <f t="shared" si="581"/>
        <v>0.36342803912435973</v>
      </c>
      <c r="F161" s="1167">
        <f t="shared" si="581"/>
        <v>0.40637212493660668</v>
      </c>
      <c r="G161" s="1167">
        <f t="shared" si="581"/>
        <v>0.34867862969004892</v>
      </c>
      <c r="H161" s="1168">
        <f t="shared" si="581"/>
        <v>0.40105062464168101</v>
      </c>
      <c r="I161" s="1167">
        <f t="shared" si="581"/>
        <v>0.33992115988508032</v>
      </c>
      <c r="J161" s="1168">
        <f t="shared" si="581"/>
        <v>0.44921656965154305</v>
      </c>
      <c r="K161" s="1167">
        <f t="shared" si="581"/>
        <v>0.36707791110360005</v>
      </c>
      <c r="L161" s="1168">
        <f t="shared" si="581"/>
        <v>0.44187823578401497</v>
      </c>
      <c r="M161" s="1167">
        <f t="shared" si="581"/>
        <v>0.37116734723117711</v>
      </c>
      <c r="N161" s="1168">
        <f t="shared" si="581"/>
        <v>0.43731910056194673</v>
      </c>
      <c r="O161" s="1167">
        <f t="shared" si="581"/>
        <v>0.43265855544978599</v>
      </c>
      <c r="P161" s="1168">
        <f t="shared" si="581"/>
        <v>0.44755944578347173</v>
      </c>
      <c r="Q161" s="1167">
        <f t="shared" si="581"/>
        <v>0.43637949284672917</v>
      </c>
      <c r="R161" s="1168">
        <f t="shared" si="581"/>
        <v>0.41320572432612568</v>
      </c>
      <c r="S161" s="1167">
        <f t="shared" si="581"/>
        <v>0.36521061371107105</v>
      </c>
      <c r="T161" s="1168">
        <f t="shared" ref="T161:U161" si="582">T159/T264</f>
        <v>0.40435825507175699</v>
      </c>
      <c r="U161" s="1167">
        <f t="shared" si="582"/>
        <v>0.3482194652798275</v>
      </c>
      <c r="V161" s="1168">
        <f t="shared" ref="V161:W161" si="583">V159/V264</f>
        <v>0.40339180705029382</v>
      </c>
      <c r="W161" s="1167">
        <f t="shared" si="583"/>
        <v>0.34201766535728073</v>
      </c>
      <c r="X161" s="1167"/>
      <c r="Y161" s="1167"/>
      <c r="Z161" s="1167"/>
      <c r="AA161" s="1167"/>
      <c r="AB161" s="1167"/>
      <c r="AC161" s="1167"/>
      <c r="AD161" s="1167"/>
      <c r="AE161" s="1167">
        <f t="shared" ref="AE161:BA161" si="584">AE159/AE264</f>
        <v>0.16790375772506594</v>
      </c>
      <c r="AF161" s="1167">
        <f t="shared" si="584"/>
        <v>0.1777215982226299</v>
      </c>
      <c r="AG161" s="1167">
        <f t="shared" si="584"/>
        <v>0.1654979570008982</v>
      </c>
      <c r="AH161" s="1167">
        <f t="shared" si="584"/>
        <v>0.22546840046360037</v>
      </c>
      <c r="AI161" s="1167">
        <f t="shared" si="584"/>
        <v>0.22898374741525448</v>
      </c>
      <c r="AJ161" s="1167">
        <f t="shared" si="584"/>
        <v>0.13397200545217641</v>
      </c>
      <c r="AK161" s="1167">
        <f t="shared" si="584"/>
        <v>0.15251162502427745</v>
      </c>
      <c r="AL161" s="1167">
        <f t="shared" si="584"/>
        <v>0.24077835899795005</v>
      </c>
      <c r="AM161" s="1167">
        <f t="shared" si="584"/>
        <v>0.29380866199520839</v>
      </c>
      <c r="AN161" s="1167">
        <f t="shared" si="584"/>
        <v>0.33511165751367428</v>
      </c>
      <c r="AO161" s="1167">
        <f t="shared" si="584"/>
        <v>0.35179502244698485</v>
      </c>
      <c r="AP161" s="1167">
        <f t="shared" si="584"/>
        <v>0.37975459911618648</v>
      </c>
      <c r="AQ161" s="1167">
        <f t="shared" si="584"/>
        <v>0.41229708907398288</v>
      </c>
      <c r="AR161" s="1167">
        <f t="shared" si="584"/>
        <v>0.39856038064982741</v>
      </c>
      <c r="AS161" s="1167">
        <f t="shared" si="584"/>
        <v>0.40135381434913758</v>
      </c>
      <c r="AT161" s="1167">
        <f t="shared" si="584"/>
        <v>0.39490619314035474</v>
      </c>
      <c r="AU161" s="1167">
        <f t="shared" si="584"/>
        <v>0.38727768251364753</v>
      </c>
      <c r="AV161" s="1167">
        <f t="shared" si="584"/>
        <v>0.37749719375215512</v>
      </c>
      <c r="AW161" s="1167">
        <f t="shared" si="584"/>
        <v>0.40252222215878924</v>
      </c>
      <c r="AX161" s="1167">
        <f t="shared" si="584"/>
        <v>0.41190567530062572</v>
      </c>
      <c r="AY161" s="1167">
        <f t="shared" si="584"/>
        <v>0.4082136569016353</v>
      </c>
      <c r="AZ161" s="1167">
        <f t="shared" si="584"/>
        <v>0.4410981408173455</v>
      </c>
      <c r="BA161" s="1167">
        <f t="shared" si="584"/>
        <v>0.42367287063353803</v>
      </c>
    </row>
    <row r="162" spans="1:62" s="800" customFormat="1" hidden="1" outlineLevel="1" x14ac:dyDescent="0.25">
      <c r="A162" s="800" t="s">
        <v>242</v>
      </c>
      <c r="C162" s="1167">
        <v>0.70599999999999996</v>
      </c>
      <c r="D162" s="1168"/>
      <c r="E162" s="1167">
        <v>1.4179999999999999</v>
      </c>
      <c r="F162" s="1167"/>
      <c r="G162" s="1167">
        <v>1.1200000000000001</v>
      </c>
      <c r="H162" s="1168">
        <f>AV162*2-G162</f>
        <v>0.81999999999999984</v>
      </c>
      <c r="I162" s="1167">
        <f>+Canalyst!E90</f>
        <v>1.0328494400663633</v>
      </c>
      <c r="J162" s="1168">
        <f>+Canalyst!F90</f>
        <v>0.94655219529969015</v>
      </c>
      <c r="K162" s="1167">
        <f>+Canalyst!G90</f>
        <v>1.0342057068588639</v>
      </c>
      <c r="L162" s="1168">
        <f>+Canalyst!H90</f>
        <v>0.84657923842629179</v>
      </c>
      <c r="M162" s="1167">
        <f>+Canalyst!I90</f>
        <v>0.99851771332575667</v>
      </c>
      <c r="N162" s="1168">
        <f>+Canalyst!J90</f>
        <v>0.78700591493756622</v>
      </c>
      <c r="O162" s="1167">
        <f>+Canalyst!K90</f>
        <v>0.88164166549838685</v>
      </c>
      <c r="P162" s="1168">
        <f>+Canalyst!L90</f>
        <v>0.9145336156017464</v>
      </c>
      <c r="Q162" s="1167">
        <f>+Canalyst!M90</f>
        <v>0.84993684998362695</v>
      </c>
      <c r="R162" s="1168">
        <f>+Canalyst!N90</f>
        <v>0.6839832250180542</v>
      </c>
      <c r="S162" s="1167">
        <f>+Canalyst!O90</f>
        <v>1.1781167255949649</v>
      </c>
      <c r="T162" s="1168"/>
      <c r="U162" s="1167"/>
      <c r="V162" s="1168"/>
      <c r="W162" s="1167"/>
      <c r="X162" s="1167"/>
      <c r="Y162" s="1167"/>
      <c r="Z162" s="1167"/>
      <c r="AA162" s="1167"/>
      <c r="AB162" s="1167"/>
      <c r="AC162" s="1167"/>
      <c r="AD162" s="1167"/>
      <c r="AE162" s="1167"/>
      <c r="AF162" s="1167">
        <f t="shared" ref="AF162:AQ162" si="585">(AF395+AF401+AF402)/AF269</f>
        <v>0.82175536070839406</v>
      </c>
      <c r="AG162" s="1167">
        <f t="shared" si="585"/>
        <v>-0.61594126989490738</v>
      </c>
      <c r="AH162" s="1167">
        <f t="shared" si="585"/>
        <v>3.1317996391994272</v>
      </c>
      <c r="AI162" s="1167">
        <f t="shared" si="585"/>
        <v>-0.30916620393987365</v>
      </c>
      <c r="AJ162" s="1167">
        <f t="shared" si="585"/>
        <v>-2.7240711375965447</v>
      </c>
      <c r="AK162" s="1167">
        <f t="shared" si="585"/>
        <v>0.23791524730266966</v>
      </c>
      <c r="AL162" s="1167">
        <f t="shared" si="585"/>
        <v>1.0959438307338685</v>
      </c>
      <c r="AM162" s="1167">
        <f t="shared" si="585"/>
        <v>1.0972534958541613</v>
      </c>
      <c r="AN162" s="1167">
        <f t="shared" si="585"/>
        <v>1.0014058094809897</v>
      </c>
      <c r="AO162" s="1167">
        <f t="shared" si="585"/>
        <v>0.86805787642576793</v>
      </c>
      <c r="AP162" s="1167">
        <f t="shared" si="585"/>
        <v>5.4174198014302566E-2</v>
      </c>
      <c r="AQ162" s="1167">
        <f t="shared" si="585"/>
        <v>0.45296906829563433</v>
      </c>
      <c r="AR162" s="1167">
        <v>0.72199999999999998</v>
      </c>
      <c r="AS162" s="1167">
        <v>1.2350000000000001</v>
      </c>
      <c r="AT162" s="1167">
        <v>1.319</v>
      </c>
      <c r="AU162" s="1167">
        <v>0.85499999999999998</v>
      </c>
      <c r="AV162" s="1167">
        <v>0.97</v>
      </c>
      <c r="AW162" s="1167">
        <f>+Canalyst!AI90</f>
        <v>0.97713974890476618</v>
      </c>
      <c r="AX162" s="1167">
        <f>+Canalyst!AJ90</f>
        <v>0.92176218545084376</v>
      </c>
      <c r="AY162" s="1167">
        <f>+Canalyst!AK90</f>
        <v>0.87834594006379918</v>
      </c>
      <c r="AZ162" s="1167">
        <f>+Canalyst!AL90</f>
        <v>0.89881590406645706</v>
      </c>
      <c r="BA162" s="1167">
        <f>+Canalyst!AM90</f>
        <v>0.76215799331595024</v>
      </c>
    </row>
    <row r="163" spans="1:62" hidden="1" outlineLevel="1" x14ac:dyDescent="0.25">
      <c r="A163" s="760" t="s">
        <v>237</v>
      </c>
      <c r="C163" s="817"/>
      <c r="E163" s="790"/>
      <c r="H163" s="791"/>
      <c r="J163" s="791"/>
      <c r="L163" s="791"/>
      <c r="N163" s="791"/>
      <c r="P163" s="791"/>
      <c r="R163" s="791"/>
      <c r="T163" s="791"/>
      <c r="V163" s="791"/>
      <c r="AQ163" s="818">
        <f>AQ153/AQ341</f>
        <v>0.40776619391106084</v>
      </c>
      <c r="AR163" s="818">
        <v>0.432</v>
      </c>
      <c r="AS163" s="818">
        <v>0.38200000000000001</v>
      </c>
      <c r="AT163" s="818">
        <v>0.33600000000000002</v>
      </c>
      <c r="AU163" s="818"/>
      <c r="AV163" s="818"/>
      <c r="AW163" s="818"/>
      <c r="AX163" s="818"/>
      <c r="AY163" s="818"/>
      <c r="AZ163" s="818"/>
      <c r="BA163" s="818"/>
      <c r="BB163" s="818"/>
      <c r="BC163" s="818"/>
    </row>
    <row r="164" spans="1:62" hidden="1" outlineLevel="1" x14ac:dyDescent="0.25">
      <c r="A164" s="760" t="s">
        <v>243</v>
      </c>
      <c r="E164" s="790"/>
      <c r="H164" s="791"/>
      <c r="J164" s="791"/>
      <c r="L164" s="791"/>
      <c r="N164" s="791"/>
      <c r="P164" s="791"/>
      <c r="R164" s="791"/>
      <c r="T164" s="791"/>
      <c r="V164" s="791"/>
      <c r="AQ164" s="818"/>
      <c r="AR164" s="818">
        <v>0.432</v>
      </c>
      <c r="AS164" s="818">
        <v>0.55500000000000005</v>
      </c>
      <c r="AT164" s="818">
        <v>0.82399999999999995</v>
      </c>
      <c r="AU164" s="818"/>
      <c r="AV164" s="818"/>
      <c r="AW164" s="818"/>
      <c r="AX164" s="818"/>
      <c r="AY164" s="818"/>
      <c r="AZ164" s="818"/>
      <c r="BA164" s="818"/>
      <c r="BB164" s="818"/>
      <c r="BC164" s="818"/>
    </row>
    <row r="165" spans="1:62" collapsed="1" x14ac:dyDescent="0.25">
      <c r="E165" s="790"/>
      <c r="H165" s="791"/>
      <c r="J165" s="791"/>
      <c r="L165" s="791"/>
      <c r="N165" s="791"/>
      <c r="P165" s="791"/>
      <c r="R165" s="791"/>
      <c r="T165" s="791"/>
      <c r="V165" s="791"/>
      <c r="AQ165" s="818"/>
      <c r="AR165" s="818"/>
      <c r="AS165" s="818"/>
      <c r="AT165" s="818"/>
      <c r="AU165" s="818"/>
      <c r="AV165" s="818"/>
      <c r="AW165" s="818"/>
      <c r="AX165" s="818"/>
      <c r="AY165" s="818"/>
      <c r="AZ165" s="818"/>
      <c r="BA165" s="818"/>
      <c r="BB165" s="818"/>
      <c r="BC165" s="818"/>
    </row>
    <row r="166" spans="1:62" x14ac:dyDescent="0.25">
      <c r="A166" s="760" t="s">
        <v>244</v>
      </c>
      <c r="E166" s="790"/>
      <c r="H166" s="791"/>
      <c r="J166" s="791"/>
      <c r="L166" s="791"/>
      <c r="N166" s="791"/>
      <c r="P166" s="791"/>
      <c r="R166" s="791"/>
      <c r="T166" s="791"/>
      <c r="V166" s="791"/>
      <c r="AM166" s="821">
        <f>AM200</f>
        <v>4.3</v>
      </c>
      <c r="AN166" s="821">
        <f>AN200</f>
        <v>5</v>
      </c>
      <c r="AO166" s="821">
        <f>AO200</f>
        <v>6.2</v>
      </c>
      <c r="AP166" s="821">
        <f>AP200</f>
        <v>7.2</v>
      </c>
      <c r="AQ166" s="821">
        <f>AQ200</f>
        <v>8.5</v>
      </c>
      <c r="AR166" s="821">
        <v>9.82</v>
      </c>
      <c r="AS166" s="821">
        <v>10.712</v>
      </c>
      <c r="AT166" s="821">
        <v>11.413</v>
      </c>
      <c r="AU166" s="818"/>
      <c r="AV166" s="818"/>
      <c r="AW166" s="818"/>
      <c r="AX166" s="818"/>
      <c r="AY166" s="818"/>
      <c r="AZ166" s="818"/>
      <c r="BA166" s="818"/>
      <c r="BB166" s="818"/>
      <c r="BC166" s="818"/>
    </row>
    <row r="167" spans="1:62" ht="12" x14ac:dyDescent="0.3">
      <c r="A167" s="1170" t="s">
        <v>199</v>
      </c>
      <c r="E167" s="790"/>
      <c r="H167" s="791"/>
      <c r="J167" s="791"/>
      <c r="L167" s="791"/>
      <c r="N167" s="791"/>
      <c r="P167" s="791"/>
      <c r="R167" s="791"/>
      <c r="T167" s="791"/>
      <c r="V167" s="791"/>
      <c r="AM167" s="821"/>
      <c r="AN167" s="821"/>
      <c r="AO167" s="821"/>
      <c r="AP167" s="821"/>
      <c r="AQ167" s="1165">
        <f t="shared" ref="AQ167:AT167" si="586">AQ166/AP166-1</f>
        <v>0.18055555555555558</v>
      </c>
      <c r="AR167" s="1165">
        <f t="shared" si="586"/>
        <v>0.1552941176470588</v>
      </c>
      <c r="AS167" s="1165">
        <f t="shared" si="586"/>
        <v>9.0835030549898166E-2</v>
      </c>
      <c r="AT167" s="1165">
        <f t="shared" si="586"/>
        <v>6.5440627333831269E-2</v>
      </c>
      <c r="AU167" s="818"/>
      <c r="AV167" s="818"/>
      <c r="AW167" s="818"/>
      <c r="AX167" s="818"/>
      <c r="AY167" s="818"/>
      <c r="AZ167" s="818"/>
      <c r="BA167" s="818"/>
      <c r="BB167" s="818"/>
      <c r="BC167" s="818"/>
    </row>
    <row r="168" spans="1:62" ht="12" x14ac:dyDescent="0.3">
      <c r="E168" s="790"/>
      <c r="H168" s="791"/>
      <c r="J168" s="791"/>
      <c r="L168" s="791"/>
      <c r="N168" s="791"/>
      <c r="P168" s="791"/>
      <c r="R168" s="791"/>
      <c r="T168" s="791"/>
      <c r="V168" s="791"/>
      <c r="AM168" s="821"/>
      <c r="AN168" s="821"/>
      <c r="AO168" s="821"/>
      <c r="AP168" s="821"/>
      <c r="AQ168" s="1165"/>
      <c r="AR168" s="1165"/>
      <c r="AS168" s="1165"/>
      <c r="AT168" s="1165"/>
      <c r="AU168" s="818"/>
      <c r="AV168" s="818"/>
      <c r="AW168" s="818"/>
      <c r="AX168" s="818"/>
      <c r="AY168" s="818"/>
      <c r="AZ168" s="818"/>
      <c r="BA168" s="818"/>
      <c r="BB168" s="818"/>
      <c r="BC168" s="818"/>
    </row>
    <row r="169" spans="1:62" s="819" customFormat="1" x14ac:dyDescent="0.25">
      <c r="A169" s="819" t="str">
        <f>Canalyst!A93</f>
        <v>Customer base (rolling 12 month basis), 000s</v>
      </c>
      <c r="B169" s="820"/>
      <c r="C169" s="821"/>
      <c r="D169" s="821"/>
      <c r="E169" s="822"/>
      <c r="F169" s="821"/>
      <c r="G169" s="821"/>
      <c r="H169" s="823"/>
      <c r="I169" s="821"/>
      <c r="J169" s="823"/>
      <c r="K169" s="821">
        <f>Canalyst!G93</f>
        <v>9.1</v>
      </c>
      <c r="L169" s="823">
        <f>Canalyst!H93</f>
        <v>9.1999999999999993</v>
      </c>
      <c r="M169" s="821">
        <f>Canalyst!I93</f>
        <v>9.5</v>
      </c>
      <c r="N169" s="823">
        <f>Canalyst!J93</f>
        <v>9.5</v>
      </c>
      <c r="O169" s="821">
        <f>Canalyst!K93</f>
        <v>9.6</v>
      </c>
      <c r="P169" s="823">
        <f>Canalyst!L93</f>
        <v>9.6999999999999993</v>
      </c>
      <c r="Q169" s="821">
        <f>Canalyst!M93</f>
        <v>9.6999999999999993</v>
      </c>
      <c r="R169" s="823">
        <f>Canalyst!N93</f>
        <v>9.9</v>
      </c>
      <c r="S169" s="821">
        <f>+Q169*(1+S170)</f>
        <v>10.015249999999998</v>
      </c>
      <c r="T169" s="823">
        <f>+BB169</f>
        <v>10.11</v>
      </c>
      <c r="U169" s="821">
        <f>+S169*(1+U170)</f>
        <v>10.145448249999998</v>
      </c>
      <c r="V169" s="823">
        <f>+BC169</f>
        <v>10.291</v>
      </c>
      <c r="W169" s="821">
        <v>10.3</v>
      </c>
      <c r="AE169" s="821"/>
      <c r="AF169" s="821"/>
      <c r="AG169" s="821"/>
      <c r="AH169" s="821"/>
      <c r="AI169" s="821"/>
      <c r="AJ169" s="821"/>
      <c r="AK169" s="821"/>
      <c r="AL169" s="821"/>
      <c r="AU169" s="821">
        <f>Canalyst!AG93</f>
        <v>7.7</v>
      </c>
      <c r="AV169" s="821">
        <f>Canalyst!AH93</f>
        <v>8.3000000000000007</v>
      </c>
      <c r="AW169" s="821">
        <f>Canalyst!AI93</f>
        <v>8.8000000000000007</v>
      </c>
      <c r="AX169" s="821">
        <f>Canalyst!AJ93</f>
        <v>9.1999999999999993</v>
      </c>
      <c r="AY169" s="821">
        <f>Canalyst!AK93</f>
        <v>9.5</v>
      </c>
      <c r="AZ169" s="821">
        <f>Canalyst!AL93</f>
        <v>9.6999999999999993</v>
      </c>
      <c r="BA169" s="821">
        <f>Canalyst!AM93</f>
        <v>9.9</v>
      </c>
      <c r="BB169" s="821">
        <v>10.11</v>
      </c>
      <c r="BC169" s="821">
        <v>10.291</v>
      </c>
      <c r="BD169" s="760"/>
    </row>
    <row r="170" spans="1:62" s="798" customFormat="1" ht="12" x14ac:dyDescent="0.3">
      <c r="A170" s="1170" t="s">
        <v>199</v>
      </c>
      <c r="C170" s="1165"/>
      <c r="D170" s="1166"/>
      <c r="E170" s="1165"/>
      <c r="F170" s="1165"/>
      <c r="G170" s="1165"/>
      <c r="H170" s="1166"/>
      <c r="I170" s="1165"/>
      <c r="J170" s="1166"/>
      <c r="K170" s="1165"/>
      <c r="L170" s="1166"/>
      <c r="M170" s="1165">
        <f t="shared" ref="M170:R170" si="587">M169/K169-1</f>
        <v>4.3956043956044022E-2</v>
      </c>
      <c r="N170" s="1166">
        <f t="shared" si="587"/>
        <v>3.2608695652174058E-2</v>
      </c>
      <c r="O170" s="1165">
        <f t="shared" si="587"/>
        <v>1.0526315789473717E-2</v>
      </c>
      <c r="P170" s="1166">
        <f t="shared" si="587"/>
        <v>2.1052631578947212E-2</v>
      </c>
      <c r="Q170" s="1165">
        <f t="shared" si="587"/>
        <v>1.0416666666666741E-2</v>
      </c>
      <c r="R170" s="1166">
        <f t="shared" si="587"/>
        <v>2.0618556701031077E-2</v>
      </c>
      <c r="S170" s="1165">
        <v>3.2500000000000001E-2</v>
      </c>
      <c r="T170" s="1166">
        <v>3.2500000000000001E-2</v>
      </c>
      <c r="U170" s="1165">
        <v>1.2999999999999999E-2</v>
      </c>
      <c r="V170" s="1166">
        <f>+V169/T169-1</f>
        <v>1.7903066271018897E-2</v>
      </c>
      <c r="W170" s="1165">
        <f>+W169/U169-1</f>
        <v>1.5233604882860075E-2</v>
      </c>
      <c r="X170" s="1165"/>
      <c r="Y170" s="1165"/>
      <c r="Z170" s="1165"/>
      <c r="AA170" s="1165"/>
      <c r="AB170" s="1165"/>
      <c r="AC170" s="1165"/>
      <c r="AD170" s="1165"/>
      <c r="AE170" s="1165"/>
      <c r="AF170" s="1165"/>
      <c r="AG170" s="1165"/>
      <c r="AH170" s="1165"/>
      <c r="AI170" s="1165"/>
      <c r="AJ170" s="1165"/>
      <c r="AK170" s="1165"/>
      <c r="AL170" s="1165"/>
      <c r="AM170" s="1165"/>
      <c r="AN170" s="1165"/>
      <c r="AO170" s="1165"/>
      <c r="AP170" s="1165"/>
      <c r="AQ170" s="1165"/>
      <c r="AR170" s="1165"/>
      <c r="AS170" s="1165"/>
      <c r="AT170" s="1165"/>
      <c r="AU170" s="1165"/>
      <c r="AV170" s="1165">
        <f t="shared" ref="AV170:BC170" si="588">AV169/AU169-1</f>
        <v>7.7922077922077948E-2</v>
      </c>
      <c r="AW170" s="1165">
        <f t="shared" si="588"/>
        <v>6.024096385542177E-2</v>
      </c>
      <c r="AX170" s="1165">
        <f t="shared" si="588"/>
        <v>4.5454545454545192E-2</v>
      </c>
      <c r="AY170" s="1165">
        <f t="shared" si="588"/>
        <v>3.2608695652174058E-2</v>
      </c>
      <c r="AZ170" s="1165">
        <f t="shared" si="588"/>
        <v>2.1052631578947212E-2</v>
      </c>
      <c r="BA170" s="1165">
        <f t="shared" si="588"/>
        <v>2.0618556701031077E-2</v>
      </c>
      <c r="BB170" s="1165">
        <f t="shared" si="588"/>
        <v>2.1212121212121016E-2</v>
      </c>
      <c r="BC170" s="1165">
        <f t="shared" si="588"/>
        <v>1.7903066271018897E-2</v>
      </c>
      <c r="BD170" s="776"/>
      <c r="BE170" s="776"/>
      <c r="BF170" s="776"/>
      <c r="BG170" s="776"/>
      <c r="BH170" s="776"/>
      <c r="BI170" s="776"/>
      <c r="BJ170" s="776"/>
    </row>
    <row r="171" spans="1:62" x14ac:dyDescent="0.25">
      <c r="E171" s="790"/>
      <c r="H171" s="791"/>
      <c r="J171" s="791"/>
      <c r="L171" s="791"/>
      <c r="N171" s="791"/>
      <c r="P171" s="791"/>
      <c r="R171" s="791"/>
      <c r="T171" s="791"/>
      <c r="V171" s="791"/>
    </row>
    <row r="172" spans="1:62" ht="12" x14ac:dyDescent="0.3">
      <c r="A172" s="771" t="s">
        <v>245</v>
      </c>
      <c r="E172" s="790"/>
      <c r="H172" s="791"/>
      <c r="J172" s="791"/>
      <c r="L172" s="791"/>
      <c r="N172" s="791"/>
      <c r="O172" s="1165"/>
      <c r="P172" s="791"/>
      <c r="Q172" s="1165"/>
      <c r="R172" s="791"/>
      <c r="S172" s="1165"/>
      <c r="T172" s="791"/>
      <c r="U172" s="1165"/>
      <c r="V172" s="791"/>
      <c r="W172" s="1165"/>
    </row>
    <row r="173" spans="1:62" x14ac:dyDescent="0.25">
      <c r="A173" s="763"/>
      <c r="E173" s="790"/>
      <c r="H173" s="791"/>
      <c r="J173" s="791"/>
      <c r="L173" s="791"/>
      <c r="N173" s="791"/>
      <c r="P173" s="791"/>
      <c r="R173" s="791"/>
      <c r="T173" s="791"/>
      <c r="V173" s="791"/>
    </row>
    <row r="174" spans="1:62" ht="13" x14ac:dyDescent="0.25">
      <c r="A174" s="763" t="s">
        <v>189</v>
      </c>
      <c r="E174" s="790"/>
      <c r="H174" s="791"/>
      <c r="J174" s="791"/>
      <c r="L174" s="791"/>
      <c r="N174" s="791"/>
      <c r="P174" s="791"/>
      <c r="R174" s="791"/>
      <c r="T174" s="791"/>
      <c r="V174" s="791"/>
      <c r="BA174" s="780"/>
    </row>
    <row r="175" spans="1:62" x14ac:dyDescent="0.25">
      <c r="A175" s="760" t="s">
        <v>246</v>
      </c>
      <c r="C175" s="772"/>
      <c r="D175" s="772"/>
      <c r="E175" s="773"/>
      <c r="F175" s="772"/>
      <c r="G175" s="772"/>
      <c r="H175" s="774"/>
      <c r="I175" s="772"/>
      <c r="J175" s="774"/>
      <c r="L175" s="791"/>
      <c r="N175" s="791"/>
      <c r="P175" s="791"/>
      <c r="R175" s="791"/>
      <c r="T175" s="791"/>
      <c r="V175" s="791"/>
      <c r="AE175" s="772"/>
      <c r="AF175" s="772"/>
      <c r="AG175" s="772"/>
      <c r="AH175" s="772"/>
      <c r="AI175" s="772"/>
      <c r="AJ175" s="772"/>
      <c r="AK175" s="772"/>
      <c r="AL175" s="772"/>
      <c r="AM175" s="772"/>
      <c r="AN175" s="772"/>
      <c r="AO175" s="772"/>
      <c r="AP175" s="772"/>
      <c r="AQ175" s="772"/>
      <c r="AR175" s="867"/>
      <c r="AS175" s="867"/>
      <c r="AT175" s="867">
        <f>+Canalyst!AF99</f>
        <v>125</v>
      </c>
      <c r="AU175" s="867">
        <f>+Canalyst!AG99</f>
        <v>143</v>
      </c>
      <c r="AV175" s="867">
        <f>+Canalyst!AH99</f>
        <v>166</v>
      </c>
      <c r="AW175" s="867">
        <f>+Canalyst!AI99</f>
        <v>181</v>
      </c>
      <c r="AX175" s="867">
        <f>+Canalyst!AJ99</f>
        <v>194</v>
      </c>
      <c r="AY175" s="867">
        <f>+Canalyst!AK99</f>
        <v>241</v>
      </c>
      <c r="AZ175" s="867">
        <f>+Canalyst!AL99</f>
        <v>282</v>
      </c>
      <c r="BA175" s="867">
        <f>+Canalyst!AM99</f>
        <v>323</v>
      </c>
      <c r="BB175" s="760">
        <v>359</v>
      </c>
      <c r="BC175" s="1461"/>
    </row>
    <row r="176" spans="1:62" x14ac:dyDescent="0.25">
      <c r="A176" s="760" t="s">
        <v>247</v>
      </c>
      <c r="C176" s="772"/>
      <c r="D176" s="772"/>
      <c r="E176" s="773"/>
      <c r="F176" s="772"/>
      <c r="G176" s="772"/>
      <c r="H176" s="774"/>
      <c r="I176" s="772"/>
      <c r="J176" s="774"/>
      <c r="L176" s="791"/>
      <c r="N176" s="791"/>
      <c r="P176" s="791"/>
      <c r="R176" s="791"/>
      <c r="T176" s="791"/>
      <c r="V176" s="791"/>
      <c r="AE176" s="772"/>
      <c r="AF176" s="772"/>
      <c r="AG176" s="772"/>
      <c r="AH176" s="772"/>
      <c r="AI176" s="772"/>
      <c r="AJ176" s="772"/>
      <c r="AK176" s="772"/>
      <c r="AL176" s="772"/>
      <c r="AM176" s="772"/>
      <c r="AN176" s="772"/>
      <c r="AO176" s="772"/>
      <c r="AP176" s="772"/>
      <c r="AQ176" s="772"/>
      <c r="AR176" s="867"/>
      <c r="AS176" s="867"/>
      <c r="AT176" s="867">
        <f>+Canalyst!AF98</f>
        <v>97</v>
      </c>
      <c r="AU176" s="867">
        <f>+Canalyst!AG98</f>
        <v>114</v>
      </c>
      <c r="AV176" s="867">
        <f>+Canalyst!AH98</f>
        <v>147</v>
      </c>
      <c r="AW176" s="867">
        <f>+Canalyst!AI98</f>
        <v>148</v>
      </c>
      <c r="AX176" s="867">
        <f>+Canalyst!AJ98</f>
        <v>209</v>
      </c>
      <c r="AY176" s="867">
        <f>+Canalyst!AK98</f>
        <v>255</v>
      </c>
      <c r="AZ176" s="867">
        <f>+Canalyst!AL98</f>
        <v>286</v>
      </c>
      <c r="BA176" s="867">
        <f>+Canalyst!AM98</f>
        <v>332</v>
      </c>
      <c r="BB176" s="760">
        <v>377</v>
      </c>
      <c r="BC176" s="1461"/>
    </row>
    <row r="177" spans="1:55" s="769" customFormat="1" x14ac:dyDescent="0.25">
      <c r="A177" s="760" t="s">
        <v>248</v>
      </c>
      <c r="C177" s="851"/>
      <c r="D177" s="851"/>
      <c r="E177" s="852"/>
      <c r="F177" s="851"/>
      <c r="G177" s="851"/>
      <c r="H177" s="853"/>
      <c r="I177" s="851"/>
      <c r="J177" s="853"/>
      <c r="L177" s="868"/>
      <c r="N177" s="868"/>
      <c r="P177" s="868"/>
      <c r="R177" s="868"/>
      <c r="T177" s="868"/>
      <c r="V177" s="868"/>
      <c r="AE177" s="851"/>
      <c r="AF177" s="851"/>
      <c r="AG177" s="851"/>
      <c r="AH177" s="851"/>
      <c r="AI177" s="851"/>
      <c r="AJ177" s="851"/>
      <c r="AK177" s="851"/>
      <c r="AL177" s="851"/>
      <c r="AM177" s="851"/>
      <c r="AN177" s="851"/>
      <c r="AO177" s="851"/>
      <c r="AP177" s="851"/>
      <c r="AQ177" s="851"/>
      <c r="AR177" s="869"/>
      <c r="AS177" s="869"/>
      <c r="AT177" s="869">
        <f>+Canalyst!AF97</f>
        <v>500</v>
      </c>
      <c r="AU177" s="869">
        <f>+Canalyst!AG97</f>
        <v>616</v>
      </c>
      <c r="AV177" s="869">
        <f>+Canalyst!AH97</f>
        <v>714</v>
      </c>
      <c r="AW177" s="869">
        <f>+Canalyst!AI97</f>
        <v>799</v>
      </c>
      <c r="AX177" s="869">
        <f>+Canalyst!AJ97</f>
        <v>897</v>
      </c>
      <c r="AY177" s="869">
        <f>+Canalyst!AK97</f>
        <v>979</v>
      </c>
      <c r="AZ177" s="869">
        <f>+Canalyst!AL97</f>
        <v>1068</v>
      </c>
      <c r="BA177" s="869">
        <f>+Canalyst!AM97</f>
        <v>1141</v>
      </c>
      <c r="BB177" s="851">
        <v>1415</v>
      </c>
      <c r="BC177" s="1462"/>
    </row>
    <row r="178" spans="1:55" s="763" customFormat="1" x14ac:dyDescent="0.25">
      <c r="A178" s="786" t="s">
        <v>249</v>
      </c>
      <c r="C178" s="787"/>
      <c r="D178" s="787"/>
      <c r="E178" s="788"/>
      <c r="F178" s="787"/>
      <c r="G178" s="787"/>
      <c r="H178" s="789"/>
      <c r="I178" s="787"/>
      <c r="J178" s="789"/>
      <c r="K178" s="787"/>
      <c r="L178" s="789">
        <f t="shared" ref="L178:R178" si="589">+AVERAGE(K186:L186)</f>
        <v>1322.5</v>
      </c>
      <c r="M178" s="787">
        <f t="shared" si="589"/>
        <v>1405.5</v>
      </c>
      <c r="N178" s="789">
        <f t="shared" si="589"/>
        <v>1507.5</v>
      </c>
      <c r="O178" s="787">
        <f t="shared" si="589"/>
        <v>1596</v>
      </c>
      <c r="P178" s="789">
        <f t="shared" si="589"/>
        <v>1669.5</v>
      </c>
      <c r="Q178" s="787">
        <f t="shared" si="589"/>
        <v>1730</v>
      </c>
      <c r="R178" s="789">
        <f t="shared" si="589"/>
        <v>1850</v>
      </c>
      <c r="S178" s="787">
        <f>+AVERAGE(R186:S186)</f>
        <v>2037.5</v>
      </c>
      <c r="T178" s="789">
        <f>+AVERAGE(S186:T186)</f>
        <v>2234.5</v>
      </c>
      <c r="U178" s="787">
        <f t="shared" ref="U178:V178" si="590">+AVERAGE(T186:U186)</f>
        <v>2391.5</v>
      </c>
      <c r="V178" s="789">
        <f t="shared" si="590"/>
        <v>2488.5</v>
      </c>
      <c r="W178" s="787">
        <f t="shared" ref="W178" si="591">+AVERAGE(V186:W186)</f>
        <v>2563</v>
      </c>
      <c r="AE178" s="787"/>
      <c r="AF178" s="787"/>
      <c r="AG178" s="787"/>
      <c r="AH178" s="787"/>
      <c r="AI178" s="787"/>
      <c r="AJ178" s="787"/>
      <c r="AK178" s="787"/>
      <c r="AL178" s="787"/>
      <c r="AM178" s="787"/>
      <c r="AN178" s="787"/>
      <c r="AO178" s="787"/>
      <c r="AP178" s="787"/>
      <c r="AQ178" s="787"/>
      <c r="AR178" s="855">
        <f>+Canalyst!AD100</f>
        <v>488</v>
      </c>
      <c r="AS178" s="855">
        <f>+Canalyst!AE100</f>
        <v>602</v>
      </c>
      <c r="AT178" s="855">
        <f>+Canalyst!AF100</f>
        <v>722</v>
      </c>
      <c r="AU178" s="855">
        <f>+Canalyst!AG100</f>
        <v>873</v>
      </c>
      <c r="AV178" s="855">
        <f>+Canalyst!AH100</f>
        <v>1027</v>
      </c>
      <c r="AW178" s="855">
        <f>+Canalyst!AI100</f>
        <v>1128</v>
      </c>
      <c r="AX178" s="855">
        <f>+Canalyst!AJ100</f>
        <v>1300</v>
      </c>
      <c r="AY178" s="855">
        <f>+Canalyst!AK100</f>
        <v>1475</v>
      </c>
      <c r="AZ178" s="855">
        <f>+Canalyst!AL100</f>
        <v>1636</v>
      </c>
      <c r="BA178" s="855">
        <f>+Canalyst!AM100</f>
        <v>1796</v>
      </c>
      <c r="BB178" s="787">
        <v>2151</v>
      </c>
      <c r="BC178" s="787">
        <f>+BB178*1.143</f>
        <v>2458.5929999999998</v>
      </c>
    </row>
    <row r="179" spans="1:55" s="1174" customFormat="1" x14ac:dyDescent="0.25">
      <c r="A179" s="1173" t="s">
        <v>37</v>
      </c>
      <c r="C179" s="1175"/>
      <c r="D179" s="1176"/>
      <c r="E179" s="1175"/>
      <c r="F179" s="1175"/>
      <c r="G179" s="1175"/>
      <c r="H179" s="1176"/>
      <c r="I179" s="1175"/>
      <c r="J179" s="1176"/>
      <c r="K179" s="1175"/>
      <c r="L179" s="1176"/>
      <c r="M179" s="1175"/>
      <c r="N179" s="1176">
        <f t="shared" ref="N179" si="592">N178/L178-1</f>
        <v>0.13988657844990549</v>
      </c>
      <c r="O179" s="1175">
        <f t="shared" ref="O179" si="593">O178/M178-1</f>
        <v>0.13553895410885808</v>
      </c>
      <c r="P179" s="1176">
        <f t="shared" ref="P179" si="594">P178/N178-1</f>
        <v>0.10746268656716418</v>
      </c>
      <c r="Q179" s="1175">
        <f t="shared" ref="Q179" si="595">Q178/O178-1</f>
        <v>8.3959899749373346E-2</v>
      </c>
      <c r="R179" s="1176">
        <f t="shared" ref="R179" si="596">R178/P178-1</f>
        <v>0.10811620245582509</v>
      </c>
      <c r="S179" s="1175">
        <f t="shared" ref="S179" si="597">S178/Q178-1</f>
        <v>0.17774566473988429</v>
      </c>
      <c r="T179" s="1176">
        <f t="shared" ref="T179" si="598">T178/R178-1</f>
        <v>0.20783783783783782</v>
      </c>
      <c r="U179" s="1175">
        <f t="shared" ref="U179:V179" si="599">U178/S178-1</f>
        <v>0.17374233128834349</v>
      </c>
      <c r="V179" s="1176">
        <f t="shared" si="599"/>
        <v>0.11367196240769739</v>
      </c>
      <c r="W179" s="1175">
        <f t="shared" ref="W179" si="600">W178/U178-1</f>
        <v>7.171231444699977E-2</v>
      </c>
      <c r="X179" s="1175"/>
      <c r="Y179" s="1175"/>
      <c r="Z179" s="1175"/>
      <c r="AA179" s="1175"/>
      <c r="AB179" s="1175"/>
      <c r="AC179" s="1175"/>
      <c r="AD179" s="1175"/>
      <c r="AE179" s="1175"/>
      <c r="AF179" s="1175"/>
      <c r="AG179" s="1175"/>
      <c r="AH179" s="1175"/>
      <c r="AI179" s="1175"/>
      <c r="AJ179" s="1175"/>
      <c r="AK179" s="1175"/>
      <c r="AL179" s="1175"/>
      <c r="AM179" s="1175"/>
      <c r="AN179" s="1175"/>
      <c r="AO179" s="1175"/>
      <c r="AP179" s="1175"/>
      <c r="AQ179" s="1175"/>
      <c r="AR179" s="1175"/>
      <c r="AS179" s="1175">
        <f t="shared" ref="AS179" si="601">AS178/AR178-1</f>
        <v>0.23360655737704916</v>
      </c>
      <c r="AT179" s="1175">
        <f t="shared" ref="AT179" si="602">AT178/AS178-1</f>
        <v>0.19933554817275745</v>
      </c>
      <c r="AU179" s="1175">
        <f t="shared" ref="AU179" si="603">AU178/AT178-1</f>
        <v>0.20914127423822704</v>
      </c>
      <c r="AV179" s="1175">
        <f t="shared" ref="AV179" si="604">AV178/AU178-1</f>
        <v>0.17640320733104242</v>
      </c>
      <c r="AW179" s="1175">
        <f t="shared" ref="AW179" si="605">AW178/AV178-1</f>
        <v>9.8344693281402051E-2</v>
      </c>
      <c r="AX179" s="1175">
        <f t="shared" ref="AX179" si="606">AX178/AW178-1</f>
        <v>0.15248226950354615</v>
      </c>
      <c r="AY179" s="1175">
        <f t="shared" ref="AY179" si="607">AY178/AX178-1</f>
        <v>0.13461538461538458</v>
      </c>
      <c r="AZ179" s="1175">
        <f t="shared" ref="AZ179" si="608">AZ178/AY178-1</f>
        <v>0.10915254237288141</v>
      </c>
      <c r="BA179" s="1175">
        <f t="shared" ref="BA179" si="609">BA178/AZ178-1</f>
        <v>9.7799511002444994E-2</v>
      </c>
      <c r="BB179" s="1175">
        <f t="shared" ref="BB179:BC179" si="610">BB178/BA178-1</f>
        <v>0.1976614699331849</v>
      </c>
      <c r="BC179" s="1175">
        <f t="shared" si="610"/>
        <v>0.14300000000000002</v>
      </c>
    </row>
    <row r="180" spans="1:55" s="1174" customFormat="1" x14ac:dyDescent="0.25">
      <c r="A180" s="1173" t="s">
        <v>38</v>
      </c>
      <c r="C180" s="1175"/>
      <c r="D180" s="1175"/>
      <c r="E180" s="1175"/>
      <c r="F180" s="1175"/>
      <c r="G180" s="1175"/>
      <c r="H180" s="1176"/>
      <c r="I180" s="1175"/>
      <c r="J180" s="1176"/>
      <c r="K180" s="1175"/>
      <c r="L180" s="1176"/>
      <c r="M180" s="1178">
        <f>+M178-L178</f>
        <v>83</v>
      </c>
      <c r="N180" s="1179">
        <f t="shared" ref="N180:S180" si="611">+N178-M178</f>
        <v>102</v>
      </c>
      <c r="O180" s="1178">
        <f t="shared" si="611"/>
        <v>88.5</v>
      </c>
      <c r="P180" s="1179">
        <f t="shared" si="611"/>
        <v>73.5</v>
      </c>
      <c r="Q180" s="1178">
        <f t="shared" si="611"/>
        <v>60.5</v>
      </c>
      <c r="R180" s="1179">
        <f t="shared" si="611"/>
        <v>120</v>
      </c>
      <c r="S180" s="1180">
        <f t="shared" si="611"/>
        <v>187.5</v>
      </c>
      <c r="T180" s="1179">
        <f t="shared" ref="T180" si="612">+T178-S178</f>
        <v>197</v>
      </c>
      <c r="U180" s="1180">
        <f t="shared" ref="U180:V180" si="613">+U178-T178</f>
        <v>157</v>
      </c>
      <c r="V180" s="1179">
        <f t="shared" si="613"/>
        <v>97</v>
      </c>
      <c r="W180" s="1180">
        <f t="shared" ref="W180" si="614">+W178-V178</f>
        <v>74.5</v>
      </c>
      <c r="X180" s="1180"/>
      <c r="Y180" s="1180"/>
      <c r="Z180" s="1180"/>
      <c r="AA180" s="1180"/>
      <c r="AB180" s="1180"/>
      <c r="AC180" s="1180"/>
      <c r="AD180" s="1180"/>
      <c r="AE180" s="1180"/>
      <c r="AF180" s="1180"/>
      <c r="AG180" s="1180"/>
      <c r="AH180" s="1180"/>
      <c r="AI180" s="1180"/>
      <c r="AJ180" s="1180"/>
      <c r="AK180" s="1180"/>
      <c r="AL180" s="1180"/>
      <c r="AM180" s="1180"/>
      <c r="AN180" s="1180"/>
      <c r="AO180" s="1180"/>
      <c r="AP180" s="1180"/>
      <c r="AQ180" s="1180"/>
      <c r="AR180" s="1180"/>
      <c r="AS180" s="1180">
        <f t="shared" ref="AS180:BA180" si="615">+AS178-AR178</f>
        <v>114</v>
      </c>
      <c r="AT180" s="1180">
        <f t="shared" si="615"/>
        <v>120</v>
      </c>
      <c r="AU180" s="1180">
        <f t="shared" si="615"/>
        <v>151</v>
      </c>
      <c r="AV180" s="1180">
        <f t="shared" si="615"/>
        <v>154</v>
      </c>
      <c r="AW180" s="1180">
        <f t="shared" si="615"/>
        <v>101</v>
      </c>
      <c r="AX180" s="1180">
        <f t="shared" si="615"/>
        <v>172</v>
      </c>
      <c r="AY180" s="1180">
        <f t="shared" si="615"/>
        <v>175</v>
      </c>
      <c r="AZ180" s="1180">
        <f t="shared" si="615"/>
        <v>161</v>
      </c>
      <c r="BA180" s="1180">
        <f t="shared" si="615"/>
        <v>160</v>
      </c>
      <c r="BB180" s="1180">
        <f t="shared" ref="BB180:BC180" si="616">+BB178-BA178</f>
        <v>355</v>
      </c>
      <c r="BC180" s="1180">
        <f t="shared" si="616"/>
        <v>307.59299999999985</v>
      </c>
    </row>
    <row r="181" spans="1:55" s="763" customFormat="1" x14ac:dyDescent="0.25">
      <c r="A181" s="786"/>
      <c r="C181" s="787"/>
      <c r="D181" s="787"/>
      <c r="E181" s="788"/>
      <c r="F181" s="787"/>
      <c r="G181" s="787"/>
      <c r="H181" s="789"/>
      <c r="I181" s="787"/>
      <c r="J181" s="789"/>
      <c r="K181" s="787"/>
      <c r="L181" s="789"/>
      <c r="M181" s="787"/>
      <c r="N181" s="789"/>
      <c r="O181" s="787"/>
      <c r="P181" s="789"/>
      <c r="Q181" s="787"/>
      <c r="R181" s="789"/>
      <c r="S181" s="787"/>
      <c r="T181" s="789"/>
      <c r="U181" s="787"/>
      <c r="V181" s="789"/>
      <c r="W181" s="787"/>
      <c r="AE181" s="787"/>
      <c r="AF181" s="787"/>
      <c r="AG181" s="787"/>
      <c r="AH181" s="787"/>
      <c r="AI181" s="787"/>
      <c r="AJ181" s="787"/>
      <c r="AK181" s="787"/>
      <c r="AL181" s="787"/>
      <c r="AM181" s="787"/>
      <c r="AN181" s="787"/>
      <c r="AO181" s="787"/>
      <c r="AP181" s="787"/>
      <c r="AQ181" s="787"/>
      <c r="AR181" s="787"/>
      <c r="AS181" s="787"/>
      <c r="AT181" s="787"/>
      <c r="AU181" s="787"/>
      <c r="AV181" s="787"/>
      <c r="AW181" s="787"/>
      <c r="AX181" s="787"/>
      <c r="AY181" s="787"/>
      <c r="AZ181" s="787"/>
      <c r="BA181" s="787"/>
      <c r="BB181" s="787"/>
      <c r="BC181" s="787"/>
    </row>
    <row r="182" spans="1:55" x14ac:dyDescent="0.25">
      <c r="A182" s="763" t="s">
        <v>188</v>
      </c>
      <c r="E182" s="790"/>
      <c r="H182" s="791"/>
      <c r="J182" s="791"/>
      <c r="L182" s="791"/>
      <c r="N182" s="791"/>
      <c r="P182" s="791"/>
      <c r="R182" s="791"/>
      <c r="T182" s="791"/>
      <c r="V182" s="791"/>
    </row>
    <row r="183" spans="1:55" x14ac:dyDescent="0.25">
      <c r="A183" s="760" t="s">
        <v>250</v>
      </c>
      <c r="C183" s="772"/>
      <c r="D183" s="772"/>
      <c r="E183" s="773"/>
      <c r="F183" s="772"/>
      <c r="G183" s="772"/>
      <c r="H183" s="774"/>
      <c r="I183" s="772"/>
      <c r="J183" s="774"/>
      <c r="K183" s="772"/>
      <c r="L183" s="774"/>
      <c r="M183" s="772"/>
      <c r="N183" s="774"/>
      <c r="O183" s="772"/>
      <c r="P183" s="774"/>
      <c r="Q183" s="772"/>
      <c r="R183" s="774"/>
      <c r="S183" s="772"/>
      <c r="T183" s="774"/>
      <c r="U183" s="772"/>
      <c r="V183" s="774"/>
      <c r="W183" s="772"/>
      <c r="AE183" s="772"/>
      <c r="AF183" s="772"/>
      <c r="AG183" s="772"/>
      <c r="AH183" s="772"/>
      <c r="AI183" s="772"/>
      <c r="AJ183" s="772"/>
      <c r="AK183" s="772"/>
      <c r="AL183" s="772"/>
      <c r="AM183" s="772"/>
      <c r="AN183" s="772"/>
      <c r="AO183" s="772"/>
      <c r="AP183" s="772"/>
      <c r="AQ183" s="772"/>
      <c r="AR183" s="772">
        <v>36</v>
      </c>
      <c r="AS183" s="772">
        <v>37</v>
      </c>
      <c r="AT183" s="772">
        <v>37</v>
      </c>
    </row>
    <row r="184" spans="1:55" x14ac:dyDescent="0.25">
      <c r="A184" s="760" t="s">
        <v>246</v>
      </c>
      <c r="C184" s="772"/>
      <c r="D184" s="772"/>
      <c r="E184" s="773"/>
      <c r="F184" s="772"/>
      <c r="G184" s="772"/>
      <c r="H184" s="774"/>
      <c r="I184" s="772"/>
      <c r="J184" s="774"/>
      <c r="K184" s="772"/>
      <c r="L184" s="774"/>
      <c r="M184" s="772"/>
      <c r="N184" s="774"/>
      <c r="O184" s="772"/>
      <c r="P184" s="774"/>
      <c r="Q184" s="772"/>
      <c r="R184" s="774"/>
      <c r="S184" s="772"/>
      <c r="T184" s="774"/>
      <c r="U184" s="772"/>
      <c r="V184" s="774"/>
      <c r="W184" s="772"/>
      <c r="AE184" s="772"/>
      <c r="AF184" s="772"/>
      <c r="AG184" s="772"/>
      <c r="AH184" s="772"/>
      <c r="AI184" s="772"/>
      <c r="AJ184" s="772"/>
      <c r="AK184" s="772"/>
      <c r="AL184" s="772"/>
      <c r="AM184" s="772"/>
      <c r="AN184" s="772"/>
      <c r="AO184" s="772"/>
      <c r="AP184" s="772"/>
      <c r="AQ184" s="772"/>
      <c r="AR184" s="772">
        <v>104</v>
      </c>
      <c r="AS184" s="772">
        <v>138</v>
      </c>
      <c r="AT184" s="772">
        <v>142</v>
      </c>
    </row>
    <row r="185" spans="1:55" ht="13" x14ac:dyDescent="0.25">
      <c r="A185" s="760" t="s">
        <v>251</v>
      </c>
      <c r="C185" s="780"/>
      <c r="D185" s="780"/>
      <c r="E185" s="781"/>
      <c r="F185" s="780"/>
      <c r="G185" s="780"/>
      <c r="H185" s="782"/>
      <c r="I185" s="780"/>
      <c r="J185" s="782"/>
      <c r="K185" s="780"/>
      <c r="L185" s="782"/>
      <c r="M185" s="780"/>
      <c r="N185" s="782"/>
      <c r="O185" s="780"/>
      <c r="P185" s="782"/>
      <c r="Q185" s="780"/>
      <c r="R185" s="782"/>
      <c r="S185" s="780"/>
      <c r="T185" s="782"/>
      <c r="U185" s="780"/>
      <c r="V185" s="782"/>
      <c r="W185" s="780"/>
      <c r="AE185" s="780"/>
      <c r="AF185" s="780"/>
      <c r="AG185" s="780"/>
      <c r="AH185" s="780"/>
      <c r="AI185" s="780"/>
      <c r="AJ185" s="780"/>
      <c r="AK185" s="780"/>
      <c r="AL185" s="780"/>
      <c r="AM185" s="780"/>
      <c r="AN185" s="780"/>
      <c r="AO185" s="780"/>
      <c r="AP185" s="780"/>
      <c r="AQ185" s="780"/>
      <c r="AR185" s="780">
        <v>418</v>
      </c>
      <c r="AS185" s="780">
        <v>498</v>
      </c>
      <c r="AT185" s="780">
        <v>615</v>
      </c>
      <c r="AU185" s="780"/>
      <c r="AV185" s="780"/>
      <c r="AW185" s="780"/>
      <c r="AX185" s="780"/>
      <c r="AY185" s="780"/>
      <c r="AZ185" s="780"/>
      <c r="BA185" s="780"/>
      <c r="BB185" s="780"/>
      <c r="BC185" s="780"/>
    </row>
    <row r="186" spans="1:55" s="763" customFormat="1" x14ac:dyDescent="0.25">
      <c r="A186" s="786" t="s">
        <v>252</v>
      </c>
      <c r="C186" s="787"/>
      <c r="D186" s="787"/>
      <c r="E186" s="788"/>
      <c r="F186" s="787"/>
      <c r="G186" s="787"/>
      <c r="H186" s="789"/>
      <c r="I186" s="787"/>
      <c r="J186" s="789">
        <f>+AW186</f>
        <v>1188</v>
      </c>
      <c r="K186" s="787">
        <f>+Canalyst!G102</f>
        <v>1315</v>
      </c>
      <c r="L186" s="789">
        <f>+Canalyst!H102</f>
        <v>1330</v>
      </c>
      <c r="M186" s="787">
        <f>+Canalyst!I102</f>
        <v>1481</v>
      </c>
      <c r="N186" s="789">
        <f>+Canalyst!J102</f>
        <v>1534</v>
      </c>
      <c r="O186" s="787">
        <f>+Canalyst!K102</f>
        <v>1658</v>
      </c>
      <c r="P186" s="789">
        <f>+Canalyst!L102</f>
        <v>1681</v>
      </c>
      <c r="Q186" s="787">
        <f>+Canalyst!M102</f>
        <v>1779</v>
      </c>
      <c r="R186" s="789">
        <f>+Canalyst!N102</f>
        <v>1921</v>
      </c>
      <c r="S186" s="787">
        <f>+Canalyst!O102</f>
        <v>2154</v>
      </c>
      <c r="T186" s="789">
        <f>+BB186</f>
        <v>2315</v>
      </c>
      <c r="U186" s="787">
        <f>+S186+314</f>
        <v>2468</v>
      </c>
      <c r="V186" s="789">
        <v>2509</v>
      </c>
      <c r="W186" s="787">
        <v>2617</v>
      </c>
      <c r="AE186" s="787">
        <v>67</v>
      </c>
      <c r="AF186" s="787"/>
      <c r="AG186" s="787"/>
      <c r="AH186" s="787"/>
      <c r="AI186" s="787"/>
      <c r="AJ186" s="787">
        <v>127</v>
      </c>
      <c r="AK186" s="787"/>
      <c r="AL186" s="787"/>
      <c r="AM186" s="787"/>
      <c r="AN186" s="787"/>
      <c r="AO186" s="787">
        <v>214</v>
      </c>
      <c r="AP186" s="787">
        <v>333</v>
      </c>
      <c r="AQ186" s="787">
        <v>432</v>
      </c>
      <c r="AR186" s="787">
        <f>SUM(AR183:AR185)</f>
        <v>558</v>
      </c>
      <c r="AS186" s="787">
        <f t="shared" ref="AS186:AT186" si="617">SUM(AS183:AS185)</f>
        <v>673</v>
      </c>
      <c r="AT186" s="787">
        <f t="shared" si="617"/>
        <v>794</v>
      </c>
      <c r="AU186" s="787">
        <f>AV186/(1+18%)</f>
        <v>886.4406779661017</v>
      </c>
      <c r="AV186" s="787">
        <f>+Canalyst!AH102</f>
        <v>1046</v>
      </c>
      <c r="AW186" s="787">
        <f>+Canalyst!AI102</f>
        <v>1188</v>
      </c>
      <c r="AX186" s="787">
        <f>+Canalyst!AJ102</f>
        <v>1330</v>
      </c>
      <c r="AY186" s="787">
        <f>+Canalyst!AK102</f>
        <v>1534</v>
      </c>
      <c r="AZ186" s="787">
        <f>+Canalyst!AL102</f>
        <v>1681</v>
      </c>
      <c r="BA186" s="787">
        <f>+Canalyst!AM102</f>
        <v>1921</v>
      </c>
      <c r="BB186" s="787">
        <v>2315</v>
      </c>
      <c r="BC186" s="787">
        <f>+V186</f>
        <v>2509</v>
      </c>
    </row>
    <row r="187" spans="1:55" s="1174" customFormat="1" x14ac:dyDescent="0.25">
      <c r="A187" s="1173" t="s">
        <v>37</v>
      </c>
      <c r="C187" s="1175"/>
      <c r="D187" s="1176"/>
      <c r="E187" s="1175"/>
      <c r="F187" s="1175"/>
      <c r="G187" s="1175"/>
      <c r="H187" s="1176"/>
      <c r="I187" s="1175"/>
      <c r="J187" s="1176"/>
      <c r="K187" s="1175"/>
      <c r="L187" s="1176">
        <f t="shared" ref="L187:M187" si="618">L186/J186-1</f>
        <v>0.1195286195286196</v>
      </c>
      <c r="M187" s="1175">
        <f t="shared" si="618"/>
        <v>0.12623574144486693</v>
      </c>
      <c r="N187" s="1176">
        <f t="shared" ref="N187" si="619">N186/L186-1</f>
        <v>0.15338345864661651</v>
      </c>
      <c r="O187" s="1175">
        <f t="shared" ref="O187" si="620">O186/M186-1</f>
        <v>0.11951384199864945</v>
      </c>
      <c r="P187" s="1176">
        <f t="shared" ref="P187" si="621">P186/N186-1</f>
        <v>9.5827900912646591E-2</v>
      </c>
      <c r="Q187" s="1175">
        <f t="shared" ref="Q187" si="622">Q186/O186-1</f>
        <v>7.2979493365500581E-2</v>
      </c>
      <c r="R187" s="1176">
        <f t="shared" ref="R187" si="623">R186/P186-1</f>
        <v>0.1427721594289113</v>
      </c>
      <c r="S187" s="1175">
        <f t="shared" ref="S187" si="624">S186/Q186-1</f>
        <v>0.21079258010118052</v>
      </c>
      <c r="T187" s="1176">
        <f t="shared" ref="T187" si="625">T186/R186-1</f>
        <v>0.20510150963040075</v>
      </c>
      <c r="U187" s="1175">
        <f t="shared" ref="U187:V187" si="626">U186/S186-1</f>
        <v>0.14577530176415965</v>
      </c>
      <c r="V187" s="1176">
        <f t="shared" si="626"/>
        <v>8.3801295896328343E-2</v>
      </c>
      <c r="W187" s="1175">
        <f t="shared" ref="W187" si="627">W186/U186-1</f>
        <v>6.0372771474878517E-2</v>
      </c>
      <c r="X187" s="1175"/>
      <c r="Y187" s="1175"/>
      <c r="Z187" s="1175"/>
      <c r="AA187" s="1175"/>
      <c r="AB187" s="1175"/>
      <c r="AC187" s="1175"/>
      <c r="AD187" s="1175"/>
      <c r="AE187" s="1175"/>
      <c r="AF187" s="1175"/>
      <c r="AG187" s="1175"/>
      <c r="AH187" s="1175"/>
      <c r="AI187" s="1175"/>
      <c r="AJ187" s="1175"/>
      <c r="AK187" s="1175"/>
      <c r="AL187" s="1175"/>
      <c r="AM187" s="1175"/>
      <c r="AN187" s="1175"/>
      <c r="AO187" s="1175"/>
      <c r="AP187" s="1175">
        <f t="shared" ref="AP187" si="628">AP186/AO186-1</f>
        <v>0.55607476635514019</v>
      </c>
      <c r="AQ187" s="1175">
        <f t="shared" ref="AQ187" si="629">AQ186/AP186-1</f>
        <v>0.29729729729729737</v>
      </c>
      <c r="AR187" s="1175">
        <f t="shared" ref="AR187" si="630">AR186/AQ186-1</f>
        <v>0.29166666666666674</v>
      </c>
      <c r="AS187" s="1175">
        <f t="shared" ref="AS187" si="631">AS186/AR186-1</f>
        <v>0.2060931899641576</v>
      </c>
      <c r="AT187" s="1175">
        <f t="shared" ref="AT187" si="632">AT186/AS186-1</f>
        <v>0.17979197622585441</v>
      </c>
      <c r="AU187" s="1175">
        <f t="shared" ref="AU187" si="633">AU186/AT186-1</f>
        <v>0.11642402766511539</v>
      </c>
      <c r="AV187" s="1175">
        <f t="shared" ref="AV187" si="634">AV186/AU186-1</f>
        <v>0.17999999999999994</v>
      </c>
      <c r="AW187" s="1175">
        <f t="shared" ref="AW187" si="635">AW186/AV186-1</f>
        <v>0.13575525812619493</v>
      </c>
      <c r="AX187" s="1175">
        <f t="shared" ref="AX187" si="636">AX186/AW186-1</f>
        <v>0.1195286195286196</v>
      </c>
      <c r="AY187" s="1175">
        <f t="shared" ref="AY187" si="637">AY186/AX186-1</f>
        <v>0.15338345864661651</v>
      </c>
      <c r="AZ187" s="1175">
        <f t="shared" ref="AZ187" si="638">AZ186/AY186-1</f>
        <v>9.5827900912646591E-2</v>
      </c>
      <c r="BA187" s="1175">
        <f t="shared" ref="BA187:BC187" si="639">BA186/AZ186-1</f>
        <v>0.1427721594289113</v>
      </c>
      <c r="BB187" s="1175">
        <f t="shared" si="639"/>
        <v>0.20510150963040075</v>
      </c>
      <c r="BC187" s="1175">
        <f t="shared" si="639"/>
        <v>8.3801295896328343E-2</v>
      </c>
    </row>
    <row r="188" spans="1:55" s="1174" customFormat="1" x14ac:dyDescent="0.25">
      <c r="A188" s="1173" t="s">
        <v>38</v>
      </c>
      <c r="C188" s="1175"/>
      <c r="D188" s="1175"/>
      <c r="E188" s="1175"/>
      <c r="F188" s="1175"/>
      <c r="G188" s="1175"/>
      <c r="H188" s="1176"/>
      <c r="I188" s="1175"/>
      <c r="J188" s="1176"/>
      <c r="K188" s="1178">
        <f>+K186-J186</f>
        <v>127</v>
      </c>
      <c r="L188" s="1179">
        <f>+L186-K186</f>
        <v>15</v>
      </c>
      <c r="M188" s="1178">
        <f>+M186-L186</f>
        <v>151</v>
      </c>
      <c r="N188" s="1179">
        <f t="shared" ref="N188:S188" si="640">+N186-M186</f>
        <v>53</v>
      </c>
      <c r="O188" s="1178">
        <f t="shared" si="640"/>
        <v>124</v>
      </c>
      <c r="P188" s="1179">
        <f t="shared" si="640"/>
        <v>23</v>
      </c>
      <c r="Q188" s="1178">
        <f t="shared" si="640"/>
        <v>98</v>
      </c>
      <c r="R188" s="1179">
        <f t="shared" si="640"/>
        <v>142</v>
      </c>
      <c r="S188" s="1180">
        <f t="shared" si="640"/>
        <v>233</v>
      </c>
      <c r="T188" s="1179">
        <f t="shared" ref="T188" si="641">+T186-S186</f>
        <v>161</v>
      </c>
      <c r="U188" s="1180">
        <f t="shared" ref="U188:V188" si="642">+U186-T186</f>
        <v>153</v>
      </c>
      <c r="V188" s="1179">
        <f t="shared" si="642"/>
        <v>41</v>
      </c>
      <c r="W188" s="1180">
        <f t="shared" ref="W188" si="643">+W186-V186</f>
        <v>108</v>
      </c>
      <c r="X188" s="1180"/>
      <c r="Y188" s="1180"/>
      <c r="Z188" s="1180"/>
      <c r="AA188" s="1180"/>
      <c r="AB188" s="1180"/>
      <c r="AC188" s="1180"/>
      <c r="AD188" s="1180"/>
      <c r="AE188" s="1180"/>
      <c r="AF188" s="1180"/>
      <c r="AG188" s="1180"/>
      <c r="AH188" s="1180"/>
      <c r="AI188" s="1180"/>
      <c r="AJ188" s="1180"/>
      <c r="AK188" s="1180"/>
      <c r="AL188" s="1180"/>
      <c r="AM188" s="1180"/>
      <c r="AN188" s="1180"/>
      <c r="AO188" s="1180"/>
      <c r="AP188" s="1180">
        <f t="shared" ref="AP188:AR188" si="644">+AP186-AO186</f>
        <v>119</v>
      </c>
      <c r="AQ188" s="1180">
        <f t="shared" si="644"/>
        <v>99</v>
      </c>
      <c r="AR188" s="1180">
        <f t="shared" si="644"/>
        <v>126</v>
      </c>
      <c r="AS188" s="1180">
        <f t="shared" ref="AS188:BC188" si="645">+AS186-AR186</f>
        <v>115</v>
      </c>
      <c r="AT188" s="1180">
        <f t="shared" si="645"/>
        <v>121</v>
      </c>
      <c r="AU188" s="1180">
        <f t="shared" si="645"/>
        <v>92.440677966101703</v>
      </c>
      <c r="AV188" s="1180">
        <f t="shared" si="645"/>
        <v>159.5593220338983</v>
      </c>
      <c r="AW188" s="1180">
        <f t="shared" si="645"/>
        <v>142</v>
      </c>
      <c r="AX188" s="1180">
        <f t="shared" si="645"/>
        <v>142</v>
      </c>
      <c r="AY188" s="1180">
        <f t="shared" si="645"/>
        <v>204</v>
      </c>
      <c r="AZ188" s="1180">
        <f t="shared" si="645"/>
        <v>147</v>
      </c>
      <c r="BA188" s="1180">
        <f t="shared" si="645"/>
        <v>240</v>
      </c>
      <c r="BB188" s="1180">
        <f t="shared" si="645"/>
        <v>394</v>
      </c>
      <c r="BC188" s="1180">
        <f t="shared" si="645"/>
        <v>194</v>
      </c>
    </row>
    <row r="189" spans="1:55" s="1174" customFormat="1" x14ac:dyDescent="0.25">
      <c r="A189" s="1173"/>
      <c r="C189" s="1175"/>
      <c r="D189" s="1175"/>
      <c r="E189" s="1175"/>
      <c r="F189" s="1175"/>
      <c r="G189" s="1175"/>
      <c r="H189" s="1176"/>
      <c r="I189" s="1175"/>
      <c r="J189" s="1176"/>
      <c r="K189" s="1175"/>
      <c r="L189" s="1179"/>
      <c r="M189" s="1178"/>
      <c r="N189" s="1179"/>
      <c r="O189" s="1178"/>
      <c r="P189" s="1179"/>
      <c r="Q189" s="1178"/>
      <c r="R189" s="1179"/>
      <c r="S189" s="1180"/>
      <c r="T189" s="1179"/>
      <c r="U189" s="1180"/>
      <c r="V189" s="1179"/>
      <c r="W189" s="1180"/>
      <c r="X189" s="1180"/>
      <c r="Y189" s="1180"/>
      <c r="Z189" s="1180"/>
      <c r="AA189" s="1180"/>
      <c r="AB189" s="1180"/>
      <c r="AC189" s="1180"/>
      <c r="AD189" s="1180"/>
      <c r="AE189" s="1180"/>
      <c r="AF189" s="1180"/>
      <c r="AG189" s="1180"/>
      <c r="AH189" s="1180"/>
      <c r="AI189" s="1180"/>
      <c r="AJ189" s="1180"/>
      <c r="AK189" s="1180"/>
      <c r="AL189" s="1180"/>
      <c r="AM189" s="1180"/>
      <c r="AN189" s="1180"/>
      <c r="AO189" s="1180"/>
      <c r="AP189" s="1180"/>
      <c r="AQ189" s="1180"/>
      <c r="AR189" s="1180"/>
      <c r="AS189" s="1180"/>
      <c r="AT189" s="1180"/>
      <c r="AU189" s="1180"/>
      <c r="AV189" s="1180"/>
      <c r="AW189" s="1180"/>
      <c r="AX189" s="1180"/>
      <c r="AY189" s="1180"/>
      <c r="AZ189" s="1180"/>
      <c r="BA189" s="1180"/>
    </row>
    <row r="190" spans="1:55" s="1174" customFormat="1" x14ac:dyDescent="0.25">
      <c r="A190" s="763" t="s">
        <v>188</v>
      </c>
      <c r="C190" s="1175"/>
      <c r="D190" s="1175"/>
      <c r="E190" s="1175"/>
      <c r="F190" s="1175"/>
      <c r="G190" s="1175"/>
      <c r="H190" s="1176"/>
      <c r="I190" s="1175"/>
      <c r="J190" s="1176"/>
      <c r="K190" s="1175"/>
      <c r="L190" s="1176"/>
      <c r="M190" s="1175"/>
      <c r="N190" s="1176"/>
      <c r="O190" s="1175"/>
      <c r="P190" s="1176"/>
      <c r="Q190" s="1175"/>
      <c r="R190" s="1176"/>
      <c r="S190" s="1175"/>
      <c r="T190" s="1176"/>
      <c r="U190" s="1175"/>
      <c r="V190" s="1176"/>
      <c r="W190" s="1175"/>
      <c r="X190" s="1175"/>
      <c r="Y190" s="1175"/>
      <c r="Z190" s="1175"/>
      <c r="AA190" s="1175"/>
      <c r="AB190" s="1175"/>
      <c r="AC190" s="1175"/>
      <c r="AD190" s="1175"/>
      <c r="AE190" s="1175"/>
      <c r="AF190" s="1175"/>
      <c r="AG190" s="1175"/>
      <c r="AH190" s="1175"/>
      <c r="AI190" s="1175"/>
      <c r="AJ190" s="1175"/>
      <c r="AK190" s="1175"/>
      <c r="AL190" s="1175"/>
      <c r="AM190" s="1175"/>
      <c r="AN190" s="1175"/>
      <c r="AO190" s="1175"/>
      <c r="AP190" s="1175"/>
      <c r="AQ190" s="1175"/>
      <c r="AR190" s="1175"/>
      <c r="AS190" s="1175"/>
      <c r="AT190" s="1175"/>
      <c r="AU190" s="1175"/>
      <c r="AV190" s="1175"/>
      <c r="AW190" s="1175"/>
      <c r="AX190" s="1175"/>
      <c r="AY190" s="1175"/>
      <c r="AZ190" s="1175"/>
      <c r="BA190" s="1175"/>
    </row>
    <row r="191" spans="1:55" x14ac:dyDescent="0.25">
      <c r="A191" s="760" t="s">
        <v>253</v>
      </c>
      <c r="E191" s="790"/>
      <c r="H191" s="791"/>
      <c r="J191" s="791"/>
      <c r="L191" s="791"/>
      <c r="N191" s="791"/>
      <c r="P191" s="791"/>
      <c r="R191" s="791"/>
      <c r="T191" s="791"/>
      <c r="V191" s="791"/>
    </row>
    <row r="192" spans="1:55" x14ac:dyDescent="0.25">
      <c r="A192" s="760" t="s">
        <v>254</v>
      </c>
      <c r="E192" s="790"/>
      <c r="H192" s="791"/>
      <c r="J192" s="791"/>
      <c r="L192" s="791"/>
      <c r="N192" s="791"/>
      <c r="P192" s="791"/>
      <c r="R192" s="791"/>
      <c r="T192" s="791"/>
      <c r="V192" s="791"/>
    </row>
    <row r="193" spans="1:55" x14ac:dyDescent="0.25">
      <c r="A193" s="760" t="s">
        <v>255</v>
      </c>
      <c r="E193" s="790"/>
      <c r="H193" s="791"/>
      <c r="J193" s="791"/>
      <c r="L193" s="791"/>
      <c r="N193" s="791"/>
      <c r="P193" s="791"/>
      <c r="R193" s="791"/>
      <c r="T193" s="791"/>
      <c r="V193" s="791"/>
      <c r="AR193" s="760">
        <v>0</v>
      </c>
      <c r="AS193" s="760">
        <v>0</v>
      </c>
      <c r="AT193" s="1460">
        <v>26</v>
      </c>
    </row>
    <row r="194" spans="1:55" x14ac:dyDescent="0.25">
      <c r="A194" s="760" t="s">
        <v>256</v>
      </c>
      <c r="E194" s="790"/>
      <c r="H194" s="791"/>
      <c r="J194" s="791"/>
      <c r="L194" s="791"/>
      <c r="N194" s="791"/>
      <c r="P194" s="791"/>
      <c r="R194" s="791"/>
      <c r="T194" s="791"/>
      <c r="V194" s="791"/>
      <c r="AR194" s="760">
        <v>0</v>
      </c>
      <c r="AS194" s="1460">
        <v>29</v>
      </c>
      <c r="AT194" s="760">
        <v>46</v>
      </c>
    </row>
    <row r="195" spans="1:55" x14ac:dyDescent="0.25">
      <c r="A195" s="760" t="s">
        <v>257</v>
      </c>
      <c r="E195" s="790"/>
      <c r="H195" s="791"/>
      <c r="J195" s="791"/>
      <c r="L195" s="791"/>
      <c r="N195" s="791"/>
      <c r="P195" s="791"/>
      <c r="R195" s="791"/>
      <c r="T195" s="791"/>
      <c r="V195" s="791"/>
      <c r="AO195" s="856"/>
      <c r="AP195" s="772"/>
      <c r="AQ195" s="772"/>
      <c r="AR195" s="772">
        <v>52</v>
      </c>
      <c r="AS195" s="772">
        <v>73</v>
      </c>
      <c r="AT195" s="772">
        <v>94</v>
      </c>
    </row>
    <row r="196" spans="1:55" x14ac:dyDescent="0.25">
      <c r="A196" s="760" t="s">
        <v>258</v>
      </c>
      <c r="E196" s="790"/>
      <c r="H196" s="791"/>
      <c r="J196" s="791"/>
      <c r="L196" s="791"/>
      <c r="N196" s="791"/>
      <c r="P196" s="791"/>
      <c r="R196" s="791"/>
      <c r="T196" s="791"/>
      <c r="V196" s="791"/>
      <c r="AM196" s="856"/>
      <c r="AP196" s="772"/>
      <c r="AQ196" s="772"/>
      <c r="AR196" s="772">
        <v>120</v>
      </c>
      <c r="AS196" s="772">
        <v>139</v>
      </c>
      <c r="AT196" s="772">
        <v>181</v>
      </c>
    </row>
    <row r="197" spans="1:55" ht="13" x14ac:dyDescent="0.25">
      <c r="A197" s="760" t="s">
        <v>259</v>
      </c>
      <c r="C197" s="780"/>
      <c r="D197" s="780"/>
      <c r="E197" s="781"/>
      <c r="F197" s="780"/>
      <c r="G197" s="780"/>
      <c r="H197" s="782"/>
      <c r="I197" s="780"/>
      <c r="J197" s="782"/>
      <c r="K197" s="780"/>
      <c r="L197" s="782"/>
      <c r="M197" s="780"/>
      <c r="N197" s="782"/>
      <c r="O197" s="780"/>
      <c r="P197" s="782"/>
      <c r="Q197" s="780"/>
      <c r="R197" s="782"/>
      <c r="S197" s="780"/>
      <c r="T197" s="782"/>
      <c r="U197" s="780"/>
      <c r="V197" s="782"/>
      <c r="W197" s="780"/>
      <c r="AE197" s="780"/>
      <c r="AF197" s="780"/>
      <c r="AG197" s="780"/>
      <c r="AH197" s="780"/>
      <c r="AI197" s="780"/>
      <c r="AJ197" s="780"/>
      <c r="AK197" s="780"/>
      <c r="AL197" s="780"/>
      <c r="AM197" s="780"/>
      <c r="AN197" s="780"/>
      <c r="AO197" s="780"/>
      <c r="AP197" s="780"/>
      <c r="AQ197" s="780"/>
      <c r="AR197" s="780">
        <v>386</v>
      </c>
      <c r="AS197" s="780">
        <v>432</v>
      </c>
      <c r="AT197" s="780">
        <v>447</v>
      </c>
      <c r="AU197" s="780"/>
      <c r="AV197" s="780"/>
      <c r="AW197" s="780"/>
      <c r="AX197" s="780"/>
      <c r="AY197" s="780"/>
      <c r="AZ197" s="780"/>
      <c r="BA197" s="780"/>
      <c r="BB197" s="780"/>
      <c r="BC197" s="780"/>
    </row>
    <row r="198" spans="1:55" s="763" customFormat="1" x14ac:dyDescent="0.25">
      <c r="A198" s="786" t="s">
        <v>252</v>
      </c>
      <c r="C198" s="787"/>
      <c r="D198" s="787"/>
      <c r="E198" s="788"/>
      <c r="F198" s="787"/>
      <c r="G198" s="787"/>
      <c r="H198" s="789"/>
      <c r="I198" s="787"/>
      <c r="J198" s="789"/>
      <c r="K198" s="787"/>
      <c r="L198" s="789"/>
      <c r="M198" s="787"/>
      <c r="N198" s="789"/>
      <c r="O198" s="787"/>
      <c r="P198" s="789"/>
      <c r="Q198" s="787"/>
      <c r="R198" s="789"/>
      <c r="S198" s="787"/>
      <c r="T198" s="789"/>
      <c r="U198" s="787"/>
      <c r="V198" s="789"/>
      <c r="W198" s="787"/>
      <c r="AE198" s="787">
        <f>AE186</f>
        <v>67</v>
      </c>
      <c r="AF198" s="787"/>
      <c r="AG198" s="787"/>
      <c r="AH198" s="787"/>
      <c r="AI198" s="787"/>
      <c r="AJ198" s="787">
        <f>AJ186</f>
        <v>127</v>
      </c>
      <c r="AK198" s="787"/>
      <c r="AL198" s="787"/>
      <c r="AM198" s="787"/>
      <c r="AN198" s="787"/>
      <c r="AO198" s="787">
        <f>AO186</f>
        <v>214</v>
      </c>
      <c r="AP198" s="787">
        <f>AP186</f>
        <v>333</v>
      </c>
      <c r="AQ198" s="787">
        <f>AQ186</f>
        <v>432</v>
      </c>
      <c r="AR198" s="787">
        <f>SUM(AR194:AR197)</f>
        <v>558</v>
      </c>
      <c r="AS198" s="787">
        <f t="shared" ref="AS198:AT198" si="646">SUM(AS194:AS197)</f>
        <v>673</v>
      </c>
      <c r="AT198" s="787">
        <f t="shared" si="646"/>
        <v>768</v>
      </c>
      <c r="AU198" s="787">
        <f>AV198/(1+18%)</f>
        <v>886.4406779661017</v>
      </c>
      <c r="AV198" s="787">
        <f>+AV186</f>
        <v>1046</v>
      </c>
      <c r="AW198" s="787">
        <f t="shared" ref="AW198:BA198" si="647">+AW186</f>
        <v>1188</v>
      </c>
      <c r="AX198" s="787">
        <f t="shared" si="647"/>
        <v>1330</v>
      </c>
      <c r="AY198" s="787">
        <f t="shared" si="647"/>
        <v>1534</v>
      </c>
      <c r="AZ198" s="787">
        <f t="shared" si="647"/>
        <v>1681</v>
      </c>
      <c r="BA198" s="787">
        <f t="shared" si="647"/>
        <v>1921</v>
      </c>
      <c r="BB198" s="787">
        <f t="shared" ref="BB198" si="648">+BB186</f>
        <v>2315</v>
      </c>
      <c r="BC198" s="787"/>
    </row>
    <row r="199" spans="1:55" s="763" customFormat="1" x14ac:dyDescent="0.25">
      <c r="A199" s="1173" t="s">
        <v>38</v>
      </c>
      <c r="E199" s="849"/>
      <c r="H199" s="850"/>
      <c r="J199" s="850"/>
      <c r="L199" s="850"/>
      <c r="N199" s="850"/>
      <c r="P199" s="850"/>
      <c r="R199" s="850"/>
      <c r="T199" s="850"/>
      <c r="V199" s="850"/>
      <c r="AP199" s="1180">
        <f>+AP198-AO198</f>
        <v>119</v>
      </c>
      <c r="AQ199" s="1180">
        <f t="shared" ref="AQ199:BB199" si="649">+AQ198-AP198</f>
        <v>99</v>
      </c>
      <c r="AR199" s="1180">
        <f t="shared" si="649"/>
        <v>126</v>
      </c>
      <c r="AS199" s="1180">
        <f t="shared" si="649"/>
        <v>115</v>
      </c>
      <c r="AT199" s="1180">
        <f t="shared" si="649"/>
        <v>95</v>
      </c>
      <c r="AU199" s="1180">
        <f t="shared" si="649"/>
        <v>118.4406779661017</v>
      </c>
      <c r="AV199" s="1180">
        <f t="shared" si="649"/>
        <v>159.5593220338983</v>
      </c>
      <c r="AW199" s="1180">
        <f t="shared" si="649"/>
        <v>142</v>
      </c>
      <c r="AX199" s="1180">
        <f t="shared" si="649"/>
        <v>142</v>
      </c>
      <c r="AY199" s="1180">
        <f t="shared" si="649"/>
        <v>204</v>
      </c>
      <c r="AZ199" s="1180">
        <f t="shared" si="649"/>
        <v>147</v>
      </c>
      <c r="BA199" s="1180">
        <f t="shared" si="649"/>
        <v>240</v>
      </c>
      <c r="BB199" s="1180">
        <f t="shared" si="649"/>
        <v>394</v>
      </c>
      <c r="BC199" s="1180"/>
    </row>
    <row r="200" spans="1:55" s="763" customFormat="1" hidden="1" outlineLevel="1" x14ac:dyDescent="0.25">
      <c r="A200" s="771" t="s">
        <v>260</v>
      </c>
      <c r="C200" s="857"/>
      <c r="D200" s="857"/>
      <c r="E200" s="858">
        <v>9.1999999999999993</v>
      </c>
      <c r="F200" s="857"/>
      <c r="G200" s="857">
        <v>10</v>
      </c>
      <c r="H200" s="859"/>
      <c r="I200" s="857">
        <f>G200*1.06</f>
        <v>10.600000000000001</v>
      </c>
      <c r="J200" s="859"/>
      <c r="K200" s="857"/>
      <c r="L200" s="859"/>
      <c r="M200" s="857"/>
      <c r="N200" s="859"/>
      <c r="O200" s="857"/>
      <c r="P200" s="859"/>
      <c r="Q200" s="857"/>
      <c r="R200" s="859"/>
      <c r="S200" s="857"/>
      <c r="T200" s="859"/>
      <c r="U200" s="857"/>
      <c r="V200" s="859"/>
      <c r="W200" s="857"/>
      <c r="AE200" s="857"/>
      <c r="AF200" s="857"/>
      <c r="AG200" s="857"/>
      <c r="AH200" s="857"/>
      <c r="AI200" s="857"/>
      <c r="AJ200" s="857"/>
      <c r="AK200" s="857"/>
      <c r="AL200" s="857"/>
      <c r="AM200" s="857">
        <v>4.3</v>
      </c>
      <c r="AN200" s="857">
        <v>5</v>
      </c>
      <c r="AO200" s="857">
        <v>6.2</v>
      </c>
      <c r="AP200" s="857">
        <v>7.2</v>
      </c>
      <c r="AQ200" s="857">
        <v>8.5</v>
      </c>
      <c r="AR200" s="857">
        <v>9.8000000000000007</v>
      </c>
      <c r="AS200" s="857">
        <v>10.7</v>
      </c>
      <c r="AT200" s="857">
        <v>11.4</v>
      </c>
      <c r="AU200" s="857">
        <v>12.2</v>
      </c>
      <c r="AV200" s="857">
        <v>13</v>
      </c>
      <c r="AW200" s="857"/>
      <c r="AX200" s="857"/>
      <c r="AY200" s="857"/>
      <c r="AZ200" s="857"/>
      <c r="BA200" s="857"/>
      <c r="BB200" s="857"/>
      <c r="BC200" s="857"/>
    </row>
    <row r="201" spans="1:55" collapsed="1" x14ac:dyDescent="0.25">
      <c r="E201" s="790"/>
      <c r="H201" s="791"/>
      <c r="J201" s="791"/>
      <c r="L201" s="791"/>
      <c r="N201" s="791"/>
      <c r="P201" s="791"/>
      <c r="R201" s="791"/>
      <c r="T201" s="791"/>
      <c r="V201" s="791"/>
      <c r="AP201" s="1180"/>
      <c r="AQ201" s="1180"/>
      <c r="AR201" s="1180"/>
      <c r="AS201" s="1180"/>
      <c r="AT201" s="1180"/>
      <c r="AU201" s="1180"/>
      <c r="AV201" s="1180"/>
      <c r="AW201" s="1180"/>
      <c r="AX201" s="1180"/>
      <c r="AY201" s="1180"/>
      <c r="AZ201" s="1180"/>
      <c r="BA201" s="1180"/>
    </row>
    <row r="202" spans="1:55" s="763" customFormat="1" x14ac:dyDescent="0.25">
      <c r="C202" s="813"/>
      <c r="D202" s="814"/>
      <c r="E202" s="815"/>
      <c r="F202" s="813"/>
      <c r="G202" s="813"/>
      <c r="H202" s="816"/>
      <c r="I202" s="813"/>
      <c r="J202" s="816"/>
      <c r="K202" s="813"/>
      <c r="L202" s="816"/>
      <c r="M202" s="813"/>
      <c r="N202" s="816"/>
      <c r="O202" s="813"/>
      <c r="P202" s="816"/>
      <c r="Q202" s="813"/>
      <c r="R202" s="816"/>
      <c r="S202" s="813"/>
      <c r="T202" s="816"/>
      <c r="U202" s="813"/>
      <c r="V202" s="816"/>
      <c r="W202" s="813"/>
      <c r="X202" s="760"/>
      <c r="Y202" s="760"/>
      <c r="Z202" s="760"/>
      <c r="AA202" s="760"/>
      <c r="AB202" s="760"/>
      <c r="AC202" s="760"/>
      <c r="AD202" s="760"/>
      <c r="AE202" s="813"/>
      <c r="AF202" s="813"/>
      <c r="AG202" s="813"/>
      <c r="AH202" s="813"/>
      <c r="AI202" s="813"/>
      <c r="AJ202" s="813"/>
      <c r="AK202" s="813"/>
      <c r="AL202" s="813"/>
      <c r="AM202" s="813"/>
      <c r="AN202" s="813"/>
      <c r="AO202" s="813"/>
      <c r="AP202" s="813"/>
      <c r="AQ202" s="813"/>
      <c r="AR202" s="813"/>
      <c r="AS202" s="813"/>
      <c r="AT202" s="813"/>
      <c r="AU202" s="813"/>
      <c r="AV202" s="813"/>
      <c r="AW202" s="813"/>
      <c r="AX202" s="813"/>
      <c r="AY202" s="813"/>
      <c r="AZ202" s="813"/>
      <c r="BA202" s="813"/>
      <c r="BB202" s="813"/>
      <c r="BC202" s="813"/>
    </row>
    <row r="203" spans="1:55" hidden="1" outlineLevel="1" x14ac:dyDescent="0.25">
      <c r="A203" s="763" t="s">
        <v>261</v>
      </c>
      <c r="E203" s="790"/>
      <c r="H203" s="791"/>
      <c r="J203" s="791"/>
      <c r="L203" s="791"/>
      <c r="N203" s="791"/>
      <c r="P203" s="791"/>
      <c r="R203" s="791"/>
      <c r="T203" s="791"/>
      <c r="V203" s="791"/>
    </row>
    <row r="204" spans="1:55" hidden="1" outlineLevel="1" x14ac:dyDescent="0.25">
      <c r="A204" s="763"/>
      <c r="E204" s="790"/>
      <c r="H204" s="791"/>
      <c r="J204" s="791"/>
      <c r="L204" s="791"/>
      <c r="N204" s="791"/>
      <c r="P204" s="791"/>
      <c r="R204" s="791"/>
      <c r="T204" s="791"/>
      <c r="V204" s="791"/>
    </row>
    <row r="205" spans="1:55" hidden="1" outlineLevel="1" x14ac:dyDescent="0.25">
      <c r="A205" s="760" t="str">
        <f>+A255</f>
        <v>Gross Invoiced Income</v>
      </c>
      <c r="C205" s="772">
        <f t="shared" ref="C205:S205" si="650">C255</f>
        <v>265.82</v>
      </c>
      <c r="D205" s="772">
        <f t="shared" si="650"/>
        <v>330.26400000000001</v>
      </c>
      <c r="E205" s="773">
        <f t="shared" si="650"/>
        <v>293.59100000000001</v>
      </c>
      <c r="F205" s="772">
        <f t="shared" si="650"/>
        <v>378.76</v>
      </c>
      <c r="G205" s="772">
        <f t="shared" si="650"/>
        <v>378.5</v>
      </c>
      <c r="H205" s="774">
        <f t="shared" si="650"/>
        <v>453.976</v>
      </c>
      <c r="I205" s="772">
        <f t="shared" si="650"/>
        <v>472.84300000000002</v>
      </c>
      <c r="J205" s="774">
        <f t="shared" si="650"/>
        <v>608.83500000000004</v>
      </c>
      <c r="K205" s="772">
        <f t="shared" si="650"/>
        <v>607.75600000000009</v>
      </c>
      <c r="L205" s="774">
        <f t="shared" si="650"/>
        <v>806.30799999999999</v>
      </c>
      <c r="M205" s="772">
        <f t="shared" si="650"/>
        <v>727.72200000000009</v>
      </c>
      <c r="N205" s="774">
        <f t="shared" si="650"/>
        <v>918.46900000000005</v>
      </c>
      <c r="O205" s="772">
        <f t="shared" si="650"/>
        <v>870.81599999999992</v>
      </c>
      <c r="P205" s="774">
        <f t="shared" si="650"/>
        <v>1067.624</v>
      </c>
      <c r="Q205" s="772">
        <f t="shared" si="650"/>
        <v>1158.3409999999999</v>
      </c>
      <c r="R205" s="774">
        <f t="shared" si="650"/>
        <v>1349.1960000000001</v>
      </c>
      <c r="S205" s="772">
        <f t="shared" si="650"/>
        <v>1214.7279999999998</v>
      </c>
      <c r="T205" s="774">
        <f t="shared" ref="T205:U205" si="651">T255</f>
        <v>1348.2720000000002</v>
      </c>
      <c r="U205" s="772">
        <f t="shared" si="651"/>
        <v>1263.5</v>
      </c>
      <c r="V205" s="774">
        <f>+BC205-U205</f>
        <v>1588.6999999999998</v>
      </c>
      <c r="W205" s="772">
        <f t="shared" ref="W205" si="652">W255</f>
        <v>1507.1000000000001</v>
      </c>
      <c r="AE205" s="772">
        <f t="shared" ref="AE205:BA205" si="653">AE255</f>
        <v>18.367162</v>
      </c>
      <c r="AF205" s="772">
        <f t="shared" si="653"/>
        <v>31.868970000000001</v>
      </c>
      <c r="AG205" s="772">
        <f t="shared" si="653"/>
        <v>38.608544999999999</v>
      </c>
      <c r="AH205" s="772">
        <f t="shared" si="653"/>
        <v>39.477041</v>
      </c>
      <c r="AI205" s="772">
        <f t="shared" si="653"/>
        <v>51.132738000000003</v>
      </c>
      <c r="AJ205" s="772">
        <f t="shared" si="653"/>
        <v>57.104958000000003</v>
      </c>
      <c r="AK205" s="772">
        <f t="shared" si="653"/>
        <v>67.277880999999994</v>
      </c>
      <c r="AL205" s="772">
        <f t="shared" si="653"/>
        <v>89.142482000000001</v>
      </c>
      <c r="AM205" s="772">
        <f t="shared" si="653"/>
        <v>102.915905</v>
      </c>
      <c r="AN205" s="772">
        <f t="shared" si="653"/>
        <v>113.11424700000001</v>
      </c>
      <c r="AO205" s="772">
        <f t="shared" si="653"/>
        <v>145.75140099999999</v>
      </c>
      <c r="AP205" s="772">
        <f t="shared" si="653"/>
        <v>219.22811799999999</v>
      </c>
      <c r="AQ205" s="772">
        <f t="shared" si="653"/>
        <v>304.055497</v>
      </c>
      <c r="AR205" s="772">
        <f t="shared" si="653"/>
        <v>395.75599999999997</v>
      </c>
      <c r="AS205" s="772">
        <f t="shared" si="653"/>
        <v>504.79700000000003</v>
      </c>
      <c r="AT205" s="772">
        <f t="shared" si="653"/>
        <v>596.08399999999995</v>
      </c>
      <c r="AU205" s="772">
        <f t="shared" si="653"/>
        <v>672.351</v>
      </c>
      <c r="AV205" s="772">
        <f t="shared" si="653"/>
        <v>832.476</v>
      </c>
      <c r="AW205" s="772">
        <f t="shared" si="653"/>
        <v>1081.6780000000001</v>
      </c>
      <c r="AX205" s="772">
        <f t="shared" si="653"/>
        <v>1414.0640000000001</v>
      </c>
      <c r="AY205" s="772">
        <f t="shared" si="653"/>
        <v>1646.191</v>
      </c>
      <c r="AZ205" s="772">
        <f t="shared" si="653"/>
        <v>1938.44</v>
      </c>
      <c r="BA205" s="772">
        <f t="shared" si="653"/>
        <v>2507.5369999999998</v>
      </c>
      <c r="BB205" s="772">
        <f t="shared" ref="BB205:BC205" si="654">BB255</f>
        <v>2563</v>
      </c>
      <c r="BC205" s="772">
        <f t="shared" si="654"/>
        <v>2852.2</v>
      </c>
    </row>
    <row r="206" spans="1:55" s="776" customFormat="1" ht="12" hidden="1" outlineLevel="1" x14ac:dyDescent="0.3">
      <c r="A206" s="775" t="s">
        <v>37</v>
      </c>
      <c r="C206" s="777"/>
      <c r="D206" s="777"/>
      <c r="E206" s="778">
        <f t="shared" ref="E206" si="655">E205/C205-1</f>
        <v>0.10447295162139802</v>
      </c>
      <c r="F206" s="776">
        <f t="shared" ref="F206" si="656">F205/D205-1</f>
        <v>0.14684010367463607</v>
      </c>
      <c r="G206" s="776">
        <f t="shared" ref="G206" si="657">G205/E205-1</f>
        <v>0.28920845666249995</v>
      </c>
      <c r="H206" s="779">
        <f t="shared" ref="H206" si="658">H205/F205-1</f>
        <v>0.19858485584539021</v>
      </c>
      <c r="I206" s="776">
        <f t="shared" ref="I206" si="659">I205/G205-1</f>
        <v>0.2492549537648614</v>
      </c>
      <c r="J206" s="779">
        <f t="shared" ref="J206" si="660">J205/H205-1</f>
        <v>0.34111715156748379</v>
      </c>
      <c r="K206" s="776">
        <f t="shared" ref="K206" si="661">K205/I205-1</f>
        <v>0.28532303534154058</v>
      </c>
      <c r="L206" s="779">
        <f t="shared" ref="L206" si="662">L205/J205-1</f>
        <v>0.32434567657904023</v>
      </c>
      <c r="M206" s="776">
        <f t="shared" ref="M206" si="663">M205/K205-1</f>
        <v>0.19739171641250763</v>
      </c>
      <c r="N206" s="779">
        <f t="shared" ref="N206" si="664">N205/L205-1</f>
        <v>0.13910441171363797</v>
      </c>
      <c r="O206" s="776">
        <f t="shared" ref="O206" si="665">O205/M205-1</f>
        <v>0.19663278010009289</v>
      </c>
      <c r="P206" s="779">
        <f t="shared" ref="P206" si="666">P205/N205-1</f>
        <v>0.16239524687278495</v>
      </c>
      <c r="Q206" s="776">
        <f t="shared" ref="Q206" si="667">Q205/O205-1</f>
        <v>0.33017882078418404</v>
      </c>
      <c r="R206" s="779">
        <f t="shared" ref="R206" si="668">R205/P205-1</f>
        <v>0.26373704600121406</v>
      </c>
      <c r="S206" s="776">
        <f t="shared" ref="S206" si="669">S205/Q205-1</f>
        <v>4.8679102267812357E-2</v>
      </c>
      <c r="T206" s="779">
        <f t="shared" ref="T206" si="670">T205/R205-1</f>
        <v>-6.8485231204362673E-4</v>
      </c>
      <c r="U206" s="776">
        <f t="shared" ref="U206:W206" si="671">U205/S205-1</f>
        <v>4.0150552222390612E-2</v>
      </c>
      <c r="V206" s="779">
        <f t="shared" si="671"/>
        <v>0.17832306834229272</v>
      </c>
      <c r="W206" s="776">
        <f t="shared" si="671"/>
        <v>0.19279778393351821</v>
      </c>
      <c r="AE206" s="777"/>
      <c r="AF206" s="776">
        <f t="shared" ref="AF206" si="672">AF205/AE205-1</f>
        <v>0.73510583725455247</v>
      </c>
      <c r="AG206" s="776">
        <f t="shared" ref="AG206" si="673">AG205/AF205-1</f>
        <v>0.2114776536549503</v>
      </c>
      <c r="AH206" s="776">
        <f t="shared" ref="AH206" si="674">AH205/AG205-1</f>
        <v>2.2494916604601345E-2</v>
      </c>
      <c r="AI206" s="776">
        <f t="shared" ref="AI206" si="675">AI205/AH205-1</f>
        <v>0.2952525494501983</v>
      </c>
      <c r="AJ206" s="776">
        <f t="shared" ref="AJ206" si="676">AJ205/AI205-1</f>
        <v>0.11679836115953734</v>
      </c>
      <c r="AK206" s="776">
        <f t="shared" ref="AK206" si="677">AK205/AJ205-1</f>
        <v>0.17814430403748815</v>
      </c>
      <c r="AL206" s="776">
        <f t="shared" ref="AL206" si="678">AL205/AK205-1</f>
        <v>0.3249894419237136</v>
      </c>
      <c r="AM206" s="776">
        <f t="shared" ref="AM206" si="679">AM205/AL205-1</f>
        <v>0.15451020311505337</v>
      </c>
      <c r="AN206" s="776">
        <f t="shared" ref="AN206" si="680">AN205/AM205-1</f>
        <v>9.9093934994790356E-2</v>
      </c>
      <c r="AO206" s="776">
        <f t="shared" ref="AO206" si="681">AO205/AN205-1</f>
        <v>0.28853265495371216</v>
      </c>
      <c r="AP206" s="776">
        <f t="shared" ref="AP206" si="682">AP205/AO205-1</f>
        <v>0.50412357271269048</v>
      </c>
      <c r="AQ206" s="776">
        <f t="shared" ref="AQ206" si="683">AQ205/AP205-1</f>
        <v>0.38693658356361027</v>
      </c>
      <c r="AR206" s="776">
        <f t="shared" ref="AR206" si="684">AR205/AQ205-1</f>
        <v>0.30159133416357853</v>
      </c>
      <c r="AS206" s="776">
        <f t="shared" ref="AS206" si="685">AS205/AR205-1</f>
        <v>0.27552582904618017</v>
      </c>
      <c r="AT206" s="776">
        <f t="shared" ref="AT206" si="686">AT205/AS205-1</f>
        <v>0.18083903034289017</v>
      </c>
      <c r="AU206" s="776">
        <f t="shared" ref="AU206" si="687">AU205/AT205-1</f>
        <v>0.12794673233973741</v>
      </c>
      <c r="AV206" s="776">
        <f t="shared" ref="AV206" si="688">AV205/AU205-1</f>
        <v>0.2381568555709741</v>
      </c>
      <c r="AW206" s="776">
        <f t="shared" ref="AW206" si="689">AW205/AV205-1</f>
        <v>0.29935037166236644</v>
      </c>
      <c r="AX206" s="776">
        <f t="shared" ref="AX206" si="690">AX205/AW205-1</f>
        <v>0.30728738127243038</v>
      </c>
      <c r="AY206" s="776">
        <f t="shared" ref="AY206" si="691">AY205/AX205-1</f>
        <v>0.16415593636497361</v>
      </c>
      <c r="AZ206" s="776">
        <f t="shared" ref="AZ206" si="692">AZ205/AY205-1</f>
        <v>0.17753043237388622</v>
      </c>
      <c r="BA206" s="776">
        <f t="shared" ref="BA206" si="693">BA205/AZ205-1</f>
        <v>0.29358504777037187</v>
      </c>
      <c r="BB206" s="776">
        <f t="shared" ref="BB206:BC206" si="694">BB205/BA205-1</f>
        <v>2.211851709466317E-2</v>
      </c>
      <c r="BC206" s="776">
        <f t="shared" si="694"/>
        <v>0.11283651970347242</v>
      </c>
    </row>
    <row r="207" spans="1:55" s="763" customFormat="1" hidden="1" outlineLevel="1" x14ac:dyDescent="0.25">
      <c r="C207" s="787"/>
      <c r="D207" s="787"/>
      <c r="E207" s="788"/>
      <c r="F207" s="787"/>
      <c r="G207" s="787"/>
      <c r="H207" s="789"/>
      <c r="I207" s="787"/>
      <c r="J207" s="789"/>
      <c r="K207" s="787"/>
      <c r="L207" s="789"/>
      <c r="M207" s="787"/>
      <c r="N207" s="789"/>
      <c r="O207" s="787"/>
      <c r="P207" s="789"/>
      <c r="Q207" s="787"/>
      <c r="R207" s="789"/>
      <c r="S207" s="787"/>
      <c r="T207" s="789"/>
      <c r="U207" s="787"/>
      <c r="V207" s="789"/>
      <c r="W207" s="787"/>
      <c r="X207" s="760"/>
      <c r="Y207" s="760"/>
      <c r="Z207" s="760"/>
      <c r="AA207" s="760"/>
      <c r="AB207" s="760"/>
      <c r="AC207" s="760"/>
      <c r="AD207" s="760"/>
      <c r="AE207" s="787"/>
      <c r="AF207" s="787"/>
      <c r="AG207" s="787"/>
      <c r="AH207" s="787"/>
      <c r="AI207" s="787"/>
      <c r="AJ207" s="787"/>
      <c r="AK207" s="787"/>
      <c r="AL207" s="787"/>
      <c r="AM207" s="787"/>
      <c r="AN207" s="787"/>
      <c r="AO207" s="787"/>
      <c r="AP207" s="787"/>
      <c r="AQ207" s="787"/>
      <c r="AR207" s="787"/>
      <c r="AS207" s="787"/>
      <c r="AT207" s="787"/>
      <c r="AU207" s="787"/>
      <c r="AV207" s="787"/>
      <c r="AW207" s="787"/>
      <c r="AX207" s="787"/>
      <c r="AY207" s="787"/>
      <c r="AZ207" s="787"/>
      <c r="BA207" s="787"/>
      <c r="BB207" s="787"/>
      <c r="BC207" s="787"/>
    </row>
    <row r="208" spans="1:55" hidden="1" outlineLevel="1" x14ac:dyDescent="0.25">
      <c r="A208" s="760" t="s">
        <v>39</v>
      </c>
      <c r="C208" s="772"/>
      <c r="D208" s="772"/>
      <c r="E208" s="773"/>
      <c r="F208" s="772"/>
      <c r="G208" s="772"/>
      <c r="H208" s="774"/>
      <c r="I208" s="772">
        <f t="shared" ref="I208:S208" si="695">+I259</f>
        <v>358.30399999999992</v>
      </c>
      <c r="J208" s="774">
        <f t="shared" si="695"/>
        <v>438.904</v>
      </c>
      <c r="K208" s="772">
        <f t="shared" si="695"/>
        <v>433.96999999999997</v>
      </c>
      <c r="L208" s="774">
        <f t="shared" si="695"/>
        <v>557.87900000000002</v>
      </c>
      <c r="M208" s="772">
        <f t="shared" si="695"/>
        <v>524.14800000000002</v>
      </c>
      <c r="N208" s="774">
        <f t="shared" si="695"/>
        <v>552.97899999999993</v>
      </c>
      <c r="O208" s="772">
        <f t="shared" si="695"/>
        <v>576.98800000000006</v>
      </c>
      <c r="P208" s="774">
        <f t="shared" si="695"/>
        <v>579.67899999999997</v>
      </c>
      <c r="Q208" s="772">
        <f t="shared" si="695"/>
        <v>577.82000000000005</v>
      </c>
      <c r="R208" s="774">
        <f t="shared" si="695"/>
        <v>500.12600000000009</v>
      </c>
      <c r="S208" s="772">
        <f t="shared" si="695"/>
        <v>512.40499999999997</v>
      </c>
      <c r="T208" s="774">
        <f t="shared" ref="T208:U208" si="696">+T259</f>
        <v>472.89499999999998</v>
      </c>
      <c r="U208" s="772">
        <f t="shared" si="696"/>
        <v>467.15199999999999</v>
      </c>
      <c r="V208" s="774">
        <f>+BC208-U208</f>
        <v>495.48100000000005</v>
      </c>
      <c r="W208" s="772">
        <f t="shared" ref="W208" si="697">+W259</f>
        <v>545.58399999999995</v>
      </c>
      <c r="AE208" s="772"/>
      <c r="AF208" s="772"/>
      <c r="AG208" s="772"/>
      <c r="AH208" s="772"/>
      <c r="AI208" s="772"/>
      <c r="AJ208" s="772"/>
      <c r="AK208" s="772"/>
      <c r="AL208" s="772"/>
      <c r="AM208" s="772"/>
      <c r="AN208" s="772"/>
      <c r="AO208" s="772"/>
      <c r="AP208" s="772"/>
      <c r="AQ208" s="772"/>
      <c r="AR208" s="772"/>
      <c r="AS208" s="772"/>
      <c r="AT208" s="772"/>
      <c r="AU208" s="772"/>
      <c r="AV208" s="772"/>
      <c r="AW208" s="772">
        <f>+AW259</f>
        <v>797.20799999999997</v>
      </c>
      <c r="AX208" s="772">
        <f>+AX259</f>
        <v>991.84900000000005</v>
      </c>
      <c r="AY208" s="772">
        <f>+AY259</f>
        <v>1077.127</v>
      </c>
      <c r="AZ208" s="772">
        <f>+AZ259</f>
        <v>1156.6669999999999</v>
      </c>
      <c r="BA208" s="772">
        <f>+BA259</f>
        <v>1077.9459999999999</v>
      </c>
      <c r="BB208" s="772">
        <f t="shared" ref="BB208:BC208" si="698">+BB259</f>
        <v>985.3</v>
      </c>
      <c r="BC208" s="772">
        <f t="shared" si="698"/>
        <v>962.63300000000004</v>
      </c>
    </row>
    <row r="209" spans="1:55" s="776" customFormat="1" ht="12" hidden="1" outlineLevel="1" x14ac:dyDescent="0.3">
      <c r="A209" s="775" t="s">
        <v>37</v>
      </c>
      <c r="C209" s="777"/>
      <c r="D209" s="777"/>
      <c r="E209" s="778"/>
      <c r="H209" s="779"/>
      <c r="J209" s="779"/>
      <c r="K209" s="776">
        <f t="shared" ref="K209" si="699">K208/I208-1</f>
        <v>0.21117821737965548</v>
      </c>
      <c r="L209" s="779">
        <f t="shared" ref="L209" si="700">L208/J208-1</f>
        <v>0.27107294533656567</v>
      </c>
      <c r="M209" s="776">
        <f t="shared" ref="M209" si="701">M208/K208-1</f>
        <v>0.20779777403968036</v>
      </c>
      <c r="N209" s="779">
        <f t="shared" ref="N209" si="702">N208/L208-1</f>
        <v>-8.7832666223321976E-3</v>
      </c>
      <c r="O209" s="776">
        <f t="shared" ref="O209" si="703">O208/M208-1</f>
        <v>0.10081122125811803</v>
      </c>
      <c r="P209" s="779">
        <f t="shared" ref="P209" si="704">P208/N208-1</f>
        <v>4.8283931216194453E-2</v>
      </c>
      <c r="Q209" s="776">
        <f t="shared" ref="Q209" si="705">Q208/O208-1</f>
        <v>1.441971063522951E-3</v>
      </c>
      <c r="R209" s="779">
        <f t="shared" ref="R209" si="706">R208/P208-1</f>
        <v>-0.13723629802011095</v>
      </c>
      <c r="S209" s="776">
        <f t="shared" ref="S209" si="707">S208/Q208-1</f>
        <v>-0.11320999619258609</v>
      </c>
      <c r="T209" s="779">
        <f t="shared" ref="T209" si="708">T208/R208-1</f>
        <v>-5.4448279033683766E-2</v>
      </c>
      <c r="U209" s="776">
        <f t="shared" ref="U209:W209" si="709">U208/S208-1</f>
        <v>-8.8314907153521083E-2</v>
      </c>
      <c r="V209" s="779">
        <f t="shared" si="709"/>
        <v>4.7761130906438076E-2</v>
      </c>
      <c r="W209" s="776">
        <f t="shared" si="709"/>
        <v>0.16789396170839455</v>
      </c>
      <c r="AE209" s="777"/>
      <c r="AX209" s="776">
        <f t="shared" ref="AX209" si="710">AX208/AW208-1</f>
        <v>0.24415334517465959</v>
      </c>
      <c r="AY209" s="776">
        <f t="shared" ref="AY209" si="711">AY208/AX208-1</f>
        <v>8.5978813307267421E-2</v>
      </c>
      <c r="AZ209" s="776">
        <f t="shared" ref="AZ209" si="712">AZ208/AY208-1</f>
        <v>7.3844588428291225E-2</v>
      </c>
      <c r="BA209" s="776">
        <f t="shared" ref="BA209" si="713">BA208/AZ208-1</f>
        <v>-6.8058481827526829E-2</v>
      </c>
      <c r="BB209" s="776">
        <f t="shared" ref="BB209" si="714">BB208/BA208-1</f>
        <v>-8.5946791397713773E-2</v>
      </c>
      <c r="BC209" s="776">
        <f t="shared" ref="BC209" si="715">BC208/BB208-1</f>
        <v>-2.3005176088500834E-2</v>
      </c>
    </row>
    <row r="210" spans="1:55" s="776" customFormat="1" ht="12" hidden="1" outlineLevel="1" x14ac:dyDescent="0.3">
      <c r="A210" s="775" t="s">
        <v>262</v>
      </c>
      <c r="C210" s="777"/>
      <c r="D210" s="777"/>
      <c r="E210" s="778"/>
      <c r="H210" s="779"/>
      <c r="I210" s="776">
        <f>+I208/I205</f>
        <v>0.75776526246555387</v>
      </c>
      <c r="J210" s="779">
        <f t="shared" ref="J210:S210" si="716">+J208/J205</f>
        <v>0.72089153875844847</v>
      </c>
      <c r="K210" s="776">
        <f t="shared" si="716"/>
        <v>0.71405300811509864</v>
      </c>
      <c r="L210" s="779">
        <f t="shared" si="716"/>
        <v>0.69189317233612968</v>
      </c>
      <c r="M210" s="776">
        <f t="shared" si="716"/>
        <v>0.72025856027439039</v>
      </c>
      <c r="N210" s="779">
        <f t="shared" si="716"/>
        <v>0.60206604686712328</v>
      </c>
      <c r="O210" s="776">
        <f t="shared" si="716"/>
        <v>0.66258314041083322</v>
      </c>
      <c r="P210" s="779">
        <f t="shared" si="716"/>
        <v>0.54296175432549287</v>
      </c>
      <c r="Q210" s="776">
        <f t="shared" si="716"/>
        <v>0.49883410843611692</v>
      </c>
      <c r="R210" s="779">
        <f t="shared" si="716"/>
        <v>0.3706844668973226</v>
      </c>
      <c r="S210" s="776">
        <f t="shared" si="716"/>
        <v>0.42182694397428894</v>
      </c>
      <c r="T210" s="779">
        <f t="shared" ref="T210:U210" si="717">+T208/T205</f>
        <v>0.3507415417660531</v>
      </c>
      <c r="U210" s="776">
        <f t="shared" si="717"/>
        <v>0.36972853185595567</v>
      </c>
      <c r="V210" s="779">
        <f t="shared" ref="V210:W210" si="718">+V208/V205</f>
        <v>0.3118782652483163</v>
      </c>
      <c r="W210" s="776">
        <f t="shared" si="718"/>
        <v>0.3620091566584831</v>
      </c>
      <c r="AE210" s="777"/>
      <c r="AW210" s="776">
        <f t="shared" ref="AW210:BA210" si="719">+AW208/AW205</f>
        <v>0.73701045967469048</v>
      </c>
      <c r="AX210" s="776">
        <f t="shared" si="719"/>
        <v>0.70141733330316025</v>
      </c>
      <c r="AY210" s="776">
        <f t="shared" si="719"/>
        <v>0.65431471803697139</v>
      </c>
      <c r="AZ210" s="776">
        <f t="shared" si="719"/>
        <v>0.59669992364994529</v>
      </c>
      <c r="BA210" s="776">
        <f t="shared" si="719"/>
        <v>0.42988239056891286</v>
      </c>
      <c r="BB210" s="776">
        <f t="shared" ref="BB210:BC210" si="720">+BB208/BB205</f>
        <v>0.38443230589153332</v>
      </c>
      <c r="BC210" s="776">
        <f t="shared" si="720"/>
        <v>0.33750543440151465</v>
      </c>
    </row>
    <row r="211" spans="1:55" s="763" customFormat="1" hidden="1" outlineLevel="1" x14ac:dyDescent="0.25">
      <c r="C211" s="787"/>
      <c r="D211" s="787"/>
      <c r="E211" s="788"/>
      <c r="F211" s="787"/>
      <c r="G211" s="787"/>
      <c r="H211" s="789"/>
      <c r="I211" s="787"/>
      <c r="J211" s="789"/>
      <c r="K211" s="787"/>
      <c r="L211" s="789"/>
      <c r="M211" s="787"/>
      <c r="N211" s="789"/>
      <c r="O211" s="787"/>
      <c r="P211" s="789"/>
      <c r="Q211" s="787"/>
      <c r="R211" s="789"/>
      <c r="S211" s="787"/>
      <c r="T211" s="789"/>
      <c r="U211" s="787"/>
      <c r="V211" s="789"/>
      <c r="W211" s="787"/>
      <c r="X211" s="760"/>
      <c r="Y211" s="760"/>
      <c r="Z211" s="760"/>
      <c r="AA211" s="760"/>
      <c r="AB211" s="760"/>
      <c r="AC211" s="760"/>
      <c r="AD211" s="760"/>
      <c r="AE211" s="787"/>
      <c r="AF211" s="787"/>
      <c r="AG211" s="787"/>
      <c r="AH211" s="787"/>
      <c r="AI211" s="787"/>
      <c r="AJ211" s="787"/>
      <c r="AK211" s="787"/>
      <c r="AL211" s="787"/>
      <c r="AM211" s="787"/>
      <c r="AN211" s="787"/>
      <c r="AO211" s="787"/>
      <c r="AP211" s="787"/>
      <c r="AQ211" s="787"/>
      <c r="AR211" s="787"/>
      <c r="AS211" s="787"/>
      <c r="AT211" s="787"/>
      <c r="AU211" s="787"/>
      <c r="AV211" s="787"/>
      <c r="AW211" s="787"/>
      <c r="AX211" s="787"/>
      <c r="AY211" s="787"/>
      <c r="AZ211" s="787"/>
      <c r="BA211" s="787"/>
      <c r="BB211" s="787"/>
      <c r="BC211" s="787"/>
    </row>
    <row r="212" spans="1:55" ht="13" hidden="1" outlineLevel="2" x14ac:dyDescent="0.25">
      <c r="A212" s="760" t="s">
        <v>263</v>
      </c>
      <c r="C212" s="780">
        <f t="shared" ref="C212:J213" si="721">C263</f>
        <v>-219.18100000000001</v>
      </c>
      <c r="D212" s="780">
        <f t="shared" si="721"/>
        <v>-274.12799999999999</v>
      </c>
      <c r="E212" s="781">
        <f t="shared" si="721"/>
        <v>-239.916</v>
      </c>
      <c r="F212" s="780">
        <f t="shared" si="721"/>
        <v>-311.71800000000002</v>
      </c>
      <c r="G212" s="780">
        <f t="shared" si="721"/>
        <v>-317.2</v>
      </c>
      <c r="H212" s="782">
        <f t="shared" si="721"/>
        <v>-378.97300000000001</v>
      </c>
      <c r="I212" s="780">
        <f t="shared" si="721"/>
        <v>0</v>
      </c>
      <c r="J212" s="782">
        <f t="shared" si="721"/>
        <v>0</v>
      </c>
      <c r="K212" s="780"/>
      <c r="L212" s="782"/>
      <c r="M212" s="780"/>
      <c r="N212" s="782"/>
      <c r="O212" s="780"/>
      <c r="P212" s="782"/>
      <c r="Q212" s="780"/>
      <c r="R212" s="782"/>
      <c r="S212" s="780"/>
      <c r="T212" s="782"/>
      <c r="U212" s="780"/>
      <c r="V212" s="782"/>
      <c r="W212" s="780"/>
      <c r="AE212" s="780">
        <f t="shared" ref="AE212:AW212" si="722">AE263</f>
        <v>-15.189681</v>
      </c>
      <c r="AF212" s="780">
        <f t="shared" si="722"/>
        <v>-27.33193</v>
      </c>
      <c r="AG212" s="780">
        <f t="shared" si="722"/>
        <v>-31.45607</v>
      </c>
      <c r="AH212" s="780">
        <f t="shared" si="722"/>
        <v>-32.128467999999998</v>
      </c>
      <c r="AI212" s="780">
        <f t="shared" si="722"/>
        <v>-42.426369000000001</v>
      </c>
      <c r="AJ212" s="780">
        <f t="shared" si="722"/>
        <v>-48.542504999999998</v>
      </c>
      <c r="AK212" s="780">
        <f t="shared" si="722"/>
        <v>-56.419193999999997</v>
      </c>
      <c r="AL212" s="780">
        <f t="shared" si="722"/>
        <v>-73.947436999999994</v>
      </c>
      <c r="AM212" s="780">
        <f t="shared" si="722"/>
        <v>-83.157477999999998</v>
      </c>
      <c r="AN212" s="780">
        <f t="shared" si="722"/>
        <v>-91.032033999999996</v>
      </c>
      <c r="AO212" s="780">
        <f t="shared" si="722"/>
        <v>-117.23264899999999</v>
      </c>
      <c r="AP212" s="780">
        <f t="shared" si="722"/>
        <v>-175.92191700000001</v>
      </c>
      <c r="AQ212" s="780">
        <f t="shared" si="722"/>
        <v>-247.77107100000001</v>
      </c>
      <c r="AR212" s="780">
        <f t="shared" si="722"/>
        <v>-325.245</v>
      </c>
      <c r="AS212" s="780">
        <f t="shared" si="722"/>
        <v>-416.27600000000001</v>
      </c>
      <c r="AT212" s="780">
        <f t="shared" si="722"/>
        <v>-493.30900000000003</v>
      </c>
      <c r="AU212" s="780">
        <f t="shared" si="722"/>
        <v>-551.63400000000001</v>
      </c>
      <c r="AV212" s="780">
        <f t="shared" si="722"/>
        <v>-696.173</v>
      </c>
      <c r="AW212" s="780">
        <f t="shared" si="722"/>
        <v>0</v>
      </c>
      <c r="AX212" s="780"/>
      <c r="AY212" s="780"/>
      <c r="AZ212" s="780"/>
      <c r="BA212" s="780"/>
      <c r="BB212" s="780"/>
      <c r="BC212" s="780"/>
    </row>
    <row r="213" spans="1:55" hidden="1" outlineLevel="1" collapsed="1" x14ac:dyDescent="0.25">
      <c r="A213" s="785" t="s">
        <v>264</v>
      </c>
      <c r="C213" s="772">
        <f t="shared" si="721"/>
        <v>46.638999999999982</v>
      </c>
      <c r="D213" s="772">
        <f t="shared" si="721"/>
        <v>56.136000000000024</v>
      </c>
      <c r="E213" s="773">
        <f t="shared" si="721"/>
        <v>53.675000000000011</v>
      </c>
      <c r="F213" s="772">
        <f t="shared" si="721"/>
        <v>67.041999999999973</v>
      </c>
      <c r="G213" s="772">
        <f t="shared" si="721"/>
        <v>61.3</v>
      </c>
      <c r="H213" s="774">
        <f t="shared" si="721"/>
        <v>75.003</v>
      </c>
      <c r="I213" s="772">
        <f t="shared" si="721"/>
        <v>74.83499999999998</v>
      </c>
      <c r="J213" s="774">
        <f t="shared" si="721"/>
        <v>100.32800000000003</v>
      </c>
      <c r="K213" s="772">
        <f t="shared" ref="K213:S213" si="723">K264</f>
        <v>94.672000000000025</v>
      </c>
      <c r="L213" s="774">
        <f t="shared" si="723"/>
        <v>116.471</v>
      </c>
      <c r="M213" s="772">
        <f t="shared" si="723"/>
        <v>111.67200000000003</v>
      </c>
      <c r="N213" s="774">
        <f t="shared" si="723"/>
        <v>124.0329999999999</v>
      </c>
      <c r="O213" s="772">
        <f t="shared" si="723"/>
        <v>134.46400000000006</v>
      </c>
      <c r="P213" s="774">
        <f t="shared" si="723"/>
        <v>141.89399999999989</v>
      </c>
      <c r="Q213" s="772">
        <f t="shared" si="723"/>
        <v>150.21100000000007</v>
      </c>
      <c r="R213" s="774">
        <f t="shared" si="723"/>
        <v>176.99899999999985</v>
      </c>
      <c r="S213" s="772">
        <f t="shared" si="723"/>
        <v>177.05399999999997</v>
      </c>
      <c r="T213" s="774">
        <f t="shared" ref="T213:U213" si="724">T264</f>
        <v>196.77600000000001</v>
      </c>
      <c r="U213" s="772">
        <f t="shared" si="724"/>
        <v>196.51400000000001</v>
      </c>
      <c r="V213" s="774">
        <f>+BC213-U213</f>
        <v>221.23899999999998</v>
      </c>
      <c r="W213" s="772">
        <f t="shared" ref="W213" si="725">W264</f>
        <v>220.20500000000001</v>
      </c>
      <c r="AE213" s="772">
        <f t="shared" ref="AE213:AW213" si="726">AE264</f>
        <v>3.1774810000000002</v>
      </c>
      <c r="AF213" s="772">
        <f t="shared" si="726"/>
        <v>4.5370400000000011</v>
      </c>
      <c r="AG213" s="772">
        <f t="shared" si="726"/>
        <v>7.152474999999999</v>
      </c>
      <c r="AH213" s="772">
        <f t="shared" si="726"/>
        <v>7.3485730000000018</v>
      </c>
      <c r="AI213" s="772">
        <f t="shared" si="726"/>
        <v>8.7063690000000022</v>
      </c>
      <c r="AJ213" s="772">
        <f t="shared" si="726"/>
        <v>8.562453000000005</v>
      </c>
      <c r="AK213" s="772">
        <f t="shared" si="726"/>
        <v>10.858686999999996</v>
      </c>
      <c r="AL213" s="772">
        <f t="shared" si="726"/>
        <v>15.195045000000007</v>
      </c>
      <c r="AM213" s="772">
        <f t="shared" si="726"/>
        <v>19.758426999999998</v>
      </c>
      <c r="AN213" s="772">
        <f t="shared" si="726"/>
        <v>22.08221300000001</v>
      </c>
      <c r="AO213" s="772">
        <f t="shared" si="726"/>
        <v>28.518751999999992</v>
      </c>
      <c r="AP213" s="772">
        <f t="shared" si="726"/>
        <v>43.306200999999987</v>
      </c>
      <c r="AQ213" s="772">
        <f t="shared" si="726"/>
        <v>56.284425999999996</v>
      </c>
      <c r="AR213" s="772">
        <f t="shared" si="726"/>
        <v>70.510999999999967</v>
      </c>
      <c r="AS213" s="772">
        <f t="shared" si="726"/>
        <v>88.521000000000015</v>
      </c>
      <c r="AT213" s="772">
        <f t="shared" si="726"/>
        <v>102.77499999999992</v>
      </c>
      <c r="AU213" s="772">
        <f t="shared" si="726"/>
        <v>120.71699999999998</v>
      </c>
      <c r="AV213" s="772">
        <f t="shared" si="726"/>
        <v>136.303</v>
      </c>
      <c r="AW213" s="772">
        <f t="shared" si="726"/>
        <v>175.16300000000001</v>
      </c>
      <c r="AX213" s="772">
        <f>AX264</f>
        <v>211.14300000000003</v>
      </c>
      <c r="AY213" s="772">
        <f>AY264</f>
        <v>235.70499999999993</v>
      </c>
      <c r="AZ213" s="772">
        <f>AZ264</f>
        <v>276.35799999999995</v>
      </c>
      <c r="BA213" s="772">
        <f>BA264</f>
        <v>327.20999999999992</v>
      </c>
      <c r="BB213" s="772">
        <f t="shared" ref="BB213:BC213" si="727">BB264</f>
        <v>373.83</v>
      </c>
      <c r="BC213" s="772">
        <f t="shared" si="727"/>
        <v>417.75299999999999</v>
      </c>
    </row>
    <row r="214" spans="1:55" s="776" customFormat="1" ht="12" hidden="1" outlineLevel="1" x14ac:dyDescent="0.3">
      <c r="A214" s="775" t="s">
        <v>37</v>
      </c>
      <c r="C214" s="777"/>
      <c r="D214" s="777"/>
      <c r="E214" s="778">
        <f t="shared" ref="E214" si="728">E213/C213-1</f>
        <v>0.15086086751431282</v>
      </c>
      <c r="F214" s="776">
        <f t="shared" ref="F214" si="729">F213/D213-1</f>
        <v>0.19427818155906973</v>
      </c>
      <c r="G214" s="776">
        <f t="shared" ref="G214" si="730">G213/E213-1</f>
        <v>0.14205868653935694</v>
      </c>
      <c r="H214" s="779">
        <f t="shared" ref="H214" si="731">H213/F213-1</f>
        <v>0.11874645744458734</v>
      </c>
      <c r="I214" s="776">
        <f t="shared" ref="I214" si="732">I213/G213-1</f>
        <v>0.22079934747145158</v>
      </c>
      <c r="J214" s="779">
        <f t="shared" ref="J214" si="733">J213/H213-1</f>
        <v>0.33765316054024552</v>
      </c>
      <c r="K214" s="776">
        <f t="shared" ref="K214" si="734">K213/I213-1</f>
        <v>0.26507650163693519</v>
      </c>
      <c r="L214" s="779">
        <f t="shared" ref="L214" si="735">L213/J213-1</f>
        <v>0.1609022406506655</v>
      </c>
      <c r="M214" s="776">
        <f t="shared" ref="M214" si="736">M213/K213-1</f>
        <v>0.1795673483184046</v>
      </c>
      <c r="N214" s="779">
        <f t="shared" ref="N214" si="737">N213/L213-1</f>
        <v>6.4926033089781177E-2</v>
      </c>
      <c r="O214" s="776">
        <f t="shared" ref="O214" si="738">O213/M213-1</f>
        <v>0.20409771473601279</v>
      </c>
      <c r="P214" s="779">
        <f t="shared" ref="P214" si="739">P213/N213-1</f>
        <v>0.14400199946788361</v>
      </c>
      <c r="Q214" s="776">
        <f t="shared" ref="Q214" si="740">Q213/O213-1</f>
        <v>0.11710941218467408</v>
      </c>
      <c r="R214" s="779">
        <f t="shared" ref="R214" si="741">R213/P213-1</f>
        <v>0.24740299096508656</v>
      </c>
      <c r="S214" s="776">
        <f t="shared" ref="S214" si="742">S213/Q213-1</f>
        <v>0.17870195924399601</v>
      </c>
      <c r="T214" s="779">
        <f t="shared" ref="T214" si="743">T213/R213-1</f>
        <v>0.11173509454855779</v>
      </c>
      <c r="U214" s="776">
        <f t="shared" ref="U214:W214" si="744">U213/S213-1</f>
        <v>0.10990997096930899</v>
      </c>
      <c r="V214" s="779">
        <f t="shared" ref="V214" si="745">V213/T213-1</f>
        <v>0.12431902264503791</v>
      </c>
      <c r="W214" s="776">
        <f t="shared" si="744"/>
        <v>0.12055629624352471</v>
      </c>
      <c r="AE214" s="777"/>
      <c r="AF214" s="776">
        <f t="shared" ref="AF214" si="746">AF213/AE213-1</f>
        <v>0.42787321151566315</v>
      </c>
      <c r="AG214" s="776">
        <f t="shared" ref="AG214" si="747">AG213/AF213-1</f>
        <v>0.57646284802426195</v>
      </c>
      <c r="AH214" s="776">
        <f t="shared" ref="AH214" si="748">AH213/AG213-1</f>
        <v>2.7416803274391333E-2</v>
      </c>
      <c r="AI214" s="776">
        <f t="shared" ref="AI214" si="749">AI213/AH213-1</f>
        <v>0.18477002269692355</v>
      </c>
      <c r="AJ214" s="776">
        <f t="shared" ref="AJ214" si="750">AJ213/AI213-1</f>
        <v>-1.6529967889024388E-2</v>
      </c>
      <c r="AK214" s="776">
        <f t="shared" ref="AK214" si="751">AK213/AJ213-1</f>
        <v>0.26817478589371402</v>
      </c>
      <c r="AL214" s="776">
        <f t="shared" ref="AL214" si="752">AL213/AK213-1</f>
        <v>0.39934459847677828</v>
      </c>
      <c r="AM214" s="776">
        <f t="shared" ref="AM214" si="753">AM213/AL213-1</f>
        <v>0.30032040049897768</v>
      </c>
      <c r="AN214" s="776">
        <f t="shared" ref="AN214" si="754">AN213/AM213-1</f>
        <v>0.11760986843740207</v>
      </c>
      <c r="AO214" s="776">
        <f t="shared" ref="AO214" si="755">AO213/AN213-1</f>
        <v>0.2914807044022254</v>
      </c>
      <c r="AP214" s="776">
        <f t="shared" ref="AP214" si="756">AP213/AO213-1</f>
        <v>0.51851669385813226</v>
      </c>
      <c r="AQ214" s="776">
        <f t="shared" ref="AQ214" si="757">AQ213/AP213-1</f>
        <v>0.29968514208854313</v>
      </c>
      <c r="AR214" s="776">
        <f t="shared" ref="AR214" si="758">AR213/AQ213-1</f>
        <v>0.25276217616574748</v>
      </c>
      <c r="AS214" s="776">
        <f t="shared" ref="AS214" si="759">AS213/AR213-1</f>
        <v>0.25542113996397808</v>
      </c>
      <c r="AT214" s="776">
        <f t="shared" ref="AT214" si="760">AT213/AS213-1</f>
        <v>0.16102393782266256</v>
      </c>
      <c r="AU214" s="776">
        <f t="shared" ref="AU214" si="761">AU213/AT213-1</f>
        <v>0.17457552906835394</v>
      </c>
      <c r="AV214" s="776">
        <f t="shared" ref="AV214" si="762">AV213/AU213-1</f>
        <v>0.12911188979182731</v>
      </c>
      <c r="AW214" s="776">
        <f t="shared" ref="AW214" si="763">AW213/AV213-1</f>
        <v>0.28510010784795647</v>
      </c>
      <c r="AX214" s="776">
        <f t="shared" ref="AX214" si="764">AX213/AW213-1</f>
        <v>0.20540867648989813</v>
      </c>
      <c r="AY214" s="776">
        <f t="shared" ref="AY214" si="765">AY213/AX213-1</f>
        <v>0.11632874402655968</v>
      </c>
      <c r="AZ214" s="776">
        <f t="shared" ref="AZ214" si="766">AZ213/AY213-1</f>
        <v>0.17247406716022162</v>
      </c>
      <c r="BA214" s="776">
        <f t="shared" ref="BA214" si="767">BA213/AZ213-1</f>
        <v>0.1840077001570426</v>
      </c>
      <c r="BB214" s="776">
        <f t="shared" ref="BB214" si="768">BB213/BA213-1</f>
        <v>0.14247730815072912</v>
      </c>
      <c r="BC214" s="776">
        <f t="shared" ref="BC214" si="769">BC213/BB213-1</f>
        <v>0.11749458309926974</v>
      </c>
    </row>
    <row r="215" spans="1:55" s="776" customFormat="1" ht="12" hidden="1" outlineLevel="1" x14ac:dyDescent="0.3">
      <c r="A215" s="775" t="s">
        <v>43</v>
      </c>
      <c r="C215" s="777"/>
      <c r="D215" s="777"/>
      <c r="E215" s="778"/>
      <c r="H215" s="779"/>
      <c r="I215" s="776">
        <f t="shared" ref="I215:S215" si="770">+I213/I208</f>
        <v>0.20885895775654192</v>
      </c>
      <c r="J215" s="779">
        <f t="shared" si="770"/>
        <v>0.22858757268104193</v>
      </c>
      <c r="K215" s="776">
        <f t="shared" si="770"/>
        <v>0.21815332857109945</v>
      </c>
      <c r="L215" s="779">
        <f t="shared" si="770"/>
        <v>0.20877466260604899</v>
      </c>
      <c r="M215" s="776">
        <f t="shared" si="770"/>
        <v>0.21305432816685368</v>
      </c>
      <c r="N215" s="779">
        <f t="shared" si="770"/>
        <v>0.22429965694899792</v>
      </c>
      <c r="O215" s="776">
        <f t="shared" si="770"/>
        <v>0.23304470803552246</v>
      </c>
      <c r="P215" s="779">
        <f t="shared" si="770"/>
        <v>0.24478030082166147</v>
      </c>
      <c r="Q215" s="776">
        <f t="shared" si="770"/>
        <v>0.2599615797307121</v>
      </c>
      <c r="R215" s="779">
        <f t="shared" si="770"/>
        <v>0.35390881497862503</v>
      </c>
      <c r="S215" s="776">
        <f t="shared" si="770"/>
        <v>0.34553526995247896</v>
      </c>
      <c r="T215" s="779">
        <f t="shared" ref="T215:U215" si="771">+T213/T208</f>
        <v>0.41610928430201211</v>
      </c>
      <c r="U215" s="776">
        <f t="shared" si="771"/>
        <v>0.42066393807582975</v>
      </c>
      <c r="V215" s="779">
        <f t="shared" ref="V215:W215" si="772">+V213/V208</f>
        <v>0.4465135898248368</v>
      </c>
      <c r="W215" s="776">
        <f t="shared" si="772"/>
        <v>0.40361337575881995</v>
      </c>
      <c r="AE215" s="777"/>
      <c r="AX215" s="776">
        <f t="shared" ref="AX215:AZ215" si="773">+AX213/AX208</f>
        <v>0.21287816996337147</v>
      </c>
      <c r="AY215" s="776">
        <f t="shared" si="773"/>
        <v>0.2188274920227605</v>
      </c>
      <c r="AZ215" s="776">
        <f t="shared" si="773"/>
        <v>0.23892615592906166</v>
      </c>
      <c r="BA215" s="776">
        <f>+BA213/BA208</f>
        <v>0.30354952845504318</v>
      </c>
      <c r="BB215" s="776">
        <f t="shared" ref="BB215:BC215" si="774">+BB213/BB208</f>
        <v>0.3794072871206739</v>
      </c>
      <c r="BC215" s="776">
        <f t="shared" si="774"/>
        <v>0.43396912426646495</v>
      </c>
    </row>
    <row r="216" spans="1:55" s="776" customFormat="1" ht="12" hidden="1" outlineLevel="1" x14ac:dyDescent="0.3">
      <c r="A216" s="775" t="s">
        <v>262</v>
      </c>
      <c r="C216" s="777">
        <f t="shared" ref="C216:H216" si="775">+C213/C205</f>
        <v>0.17545331427281613</v>
      </c>
      <c r="D216" s="777">
        <f t="shared" si="775"/>
        <v>0.16997311241915566</v>
      </c>
      <c r="E216" s="778">
        <f t="shared" si="775"/>
        <v>0.18282236172089747</v>
      </c>
      <c r="F216" s="776">
        <f t="shared" si="775"/>
        <v>0.17700390748759101</v>
      </c>
      <c r="G216" s="776">
        <f t="shared" si="775"/>
        <v>0.16195508586525759</v>
      </c>
      <c r="H216" s="779">
        <f t="shared" si="775"/>
        <v>0.16521357957248842</v>
      </c>
      <c r="I216" s="776">
        <f>+I213/I205</f>
        <v>0.15826606294266801</v>
      </c>
      <c r="J216" s="779">
        <f t="shared" ref="J216:S216" si="776">+J213/J205</f>
        <v>0.164786847011095</v>
      </c>
      <c r="K216" s="776">
        <f t="shared" si="776"/>
        <v>0.15577304049651508</v>
      </c>
      <c r="L216" s="779">
        <f t="shared" si="776"/>
        <v>0.14444976361390438</v>
      </c>
      <c r="M216" s="776">
        <f t="shared" si="776"/>
        <v>0.15345420366568555</v>
      </c>
      <c r="N216" s="779">
        <f t="shared" si="776"/>
        <v>0.13504320777293508</v>
      </c>
      <c r="O216" s="776">
        <f t="shared" si="776"/>
        <v>0.1544114945063022</v>
      </c>
      <c r="P216" s="779">
        <f t="shared" si="776"/>
        <v>0.13290634155845119</v>
      </c>
      <c r="Q216" s="776">
        <f t="shared" si="776"/>
        <v>0.12967770285261429</v>
      </c>
      <c r="R216" s="779">
        <f t="shared" si="776"/>
        <v>0.13118850041061481</v>
      </c>
      <c r="S216" s="776">
        <f t="shared" si="776"/>
        <v>0.14575608695938513</v>
      </c>
      <c r="T216" s="779">
        <f t="shared" ref="T216:U216" si="777">+T213/T205</f>
        <v>0.14594681191925662</v>
      </c>
      <c r="U216" s="776">
        <f t="shared" si="777"/>
        <v>0.15553146022952119</v>
      </c>
      <c r="V216" s="779">
        <f t="shared" ref="V216:W216" si="778">+V213/V205</f>
        <v>0.13925788380436835</v>
      </c>
      <c r="W216" s="776">
        <f t="shared" si="778"/>
        <v>0.14611173777453387</v>
      </c>
      <c r="AE216" s="777">
        <f t="shared" ref="AE216:BA216" si="779">+AE213/AE205</f>
        <v>0.1729979296747097</v>
      </c>
      <c r="AF216" s="776">
        <f t="shared" si="779"/>
        <v>0.14236544199577209</v>
      </c>
      <c r="AG216" s="776">
        <f t="shared" si="779"/>
        <v>0.1852562690461399</v>
      </c>
      <c r="AH216" s="776">
        <f t="shared" si="779"/>
        <v>0.18614801955394786</v>
      </c>
      <c r="AI216" s="776">
        <f t="shared" si="779"/>
        <v>0.17026995503350517</v>
      </c>
      <c r="AJ216" s="776">
        <f t="shared" si="779"/>
        <v>0.149942374530772</v>
      </c>
      <c r="AK216" s="776">
        <f t="shared" si="779"/>
        <v>0.16140055005596857</v>
      </c>
      <c r="AL216" s="776">
        <f t="shared" si="779"/>
        <v>0.17045795292080837</v>
      </c>
      <c r="AM216" s="776">
        <f t="shared" si="779"/>
        <v>0.19198613664233918</v>
      </c>
      <c r="AN216" s="776">
        <f t="shared" si="779"/>
        <v>0.19522043938461622</v>
      </c>
      <c r="AO216" s="776">
        <f t="shared" si="779"/>
        <v>0.19566708658944551</v>
      </c>
      <c r="AP216" s="776">
        <f t="shared" si="779"/>
        <v>0.19753944610335061</v>
      </c>
      <c r="AQ216" s="776">
        <f t="shared" si="779"/>
        <v>0.18511234480329095</v>
      </c>
      <c r="AR216" s="776">
        <f t="shared" si="779"/>
        <v>0.1781678610052658</v>
      </c>
      <c r="AS216" s="776">
        <f t="shared" si="779"/>
        <v>0.17535959999762282</v>
      </c>
      <c r="AT216" s="776">
        <f t="shared" si="779"/>
        <v>0.17241697478878804</v>
      </c>
      <c r="AU216" s="776">
        <f t="shared" si="779"/>
        <v>0.17954461285846229</v>
      </c>
      <c r="AV216" s="776">
        <f t="shared" si="779"/>
        <v>0.16373204753049939</v>
      </c>
      <c r="AW216" s="776">
        <f t="shared" si="779"/>
        <v>0.16193636183781124</v>
      </c>
      <c r="AX216" s="776">
        <f t="shared" si="779"/>
        <v>0.14931643829416491</v>
      </c>
      <c r="AY216" s="776">
        <f t="shared" si="779"/>
        <v>0.14318204874161014</v>
      </c>
      <c r="AZ216" s="776">
        <f t="shared" si="779"/>
        <v>0.14256721900084601</v>
      </c>
      <c r="BA216" s="776">
        <f t="shared" si="779"/>
        <v>0.13049059694832019</v>
      </c>
      <c r="BB216" s="776">
        <f t="shared" ref="BB216:BC216" si="780">+BB213/BB205</f>
        <v>0.14585641825985174</v>
      </c>
      <c r="BC216" s="776">
        <f t="shared" si="780"/>
        <v>0.14646693780239814</v>
      </c>
    </row>
    <row r="217" spans="1:55" s="776" customFormat="1" ht="12" hidden="1" outlineLevel="1" x14ac:dyDescent="0.3">
      <c r="A217" s="775"/>
      <c r="C217" s="777"/>
      <c r="D217" s="777"/>
      <c r="E217" s="778"/>
      <c r="H217" s="779"/>
      <c r="J217" s="779"/>
      <c r="L217" s="779"/>
      <c r="N217" s="779"/>
      <c r="P217" s="779"/>
      <c r="R217" s="779"/>
      <c r="T217" s="779"/>
      <c r="V217" s="779"/>
      <c r="AE217" s="777"/>
    </row>
    <row r="218" spans="1:55" ht="13" hidden="1" outlineLevel="1" x14ac:dyDescent="0.25">
      <c r="A218" s="760" t="s">
        <v>265</v>
      </c>
      <c r="C218" s="780">
        <f t="shared" ref="C218:S218" si="781">C268</f>
        <v>-29.405999999999999</v>
      </c>
      <c r="D218" s="780">
        <f t="shared" si="781"/>
        <v>-33.786999999999999</v>
      </c>
      <c r="E218" s="781">
        <f t="shared" si="781"/>
        <v>-38.347000000000001</v>
      </c>
      <c r="F218" s="780">
        <f t="shared" si="781"/>
        <v>-40.18</v>
      </c>
      <c r="G218" s="780">
        <f t="shared" si="781"/>
        <v>-40.4</v>
      </c>
      <c r="H218" s="782">
        <f t="shared" si="781"/>
        <v>-45.750999999999998</v>
      </c>
      <c r="I218" s="780">
        <f t="shared" si="781"/>
        <v>-50.725000000000001</v>
      </c>
      <c r="J218" s="782">
        <f t="shared" si="781"/>
        <v>-56.416000000000004</v>
      </c>
      <c r="K218" s="780">
        <f t="shared" si="781"/>
        <v>-60.817999999999998</v>
      </c>
      <c r="L218" s="782">
        <f t="shared" si="781"/>
        <v>-65.838999999999999</v>
      </c>
      <c r="M218" s="780">
        <f t="shared" si="781"/>
        <v>-71.194000000000003</v>
      </c>
      <c r="N218" s="782">
        <f t="shared" si="781"/>
        <v>-70.778000000000006</v>
      </c>
      <c r="O218" s="780">
        <f t="shared" si="781"/>
        <v>-77.400000000000006</v>
      </c>
      <c r="P218" s="782">
        <f t="shared" si="781"/>
        <v>-79.542000000000002</v>
      </c>
      <c r="Q218" s="780">
        <f t="shared" si="781"/>
        <v>-86.078000000000003</v>
      </c>
      <c r="R218" s="782">
        <f t="shared" si="781"/>
        <v>-104.98699999999999</v>
      </c>
      <c r="S218" s="780">
        <f t="shared" si="781"/>
        <v>-113.983</v>
      </c>
      <c r="T218" s="782">
        <f t="shared" ref="T218:U218" si="782">T268</f>
        <v>-118.94699999999997</v>
      </c>
      <c r="U218" s="780">
        <f t="shared" si="782"/>
        <v>-129.78299999999999</v>
      </c>
      <c r="V218" s="782">
        <f t="shared" ref="V218:V226" si="783">+BC218-U218</f>
        <v>-133.90600000000003</v>
      </c>
      <c r="W218" s="780">
        <f t="shared" ref="W218" si="784">W268</f>
        <v>-146.54300000000001</v>
      </c>
      <c r="AE218" s="780">
        <f t="shared" ref="AE218:BA218" si="785">AE268</f>
        <v>-2.6439699999999999</v>
      </c>
      <c r="AF218" s="780">
        <f t="shared" si="785"/>
        <v>-3.7307100000000002</v>
      </c>
      <c r="AG218" s="780">
        <f t="shared" si="785"/>
        <v>-5.9687549999999998</v>
      </c>
      <c r="AH218" s="780">
        <f t="shared" si="785"/>
        <v>-5.6917020000000003</v>
      </c>
      <c r="AI218" s="780">
        <f t="shared" si="785"/>
        <v>-6.7127520000000001</v>
      </c>
      <c r="AJ218" s="780">
        <f t="shared" si="785"/>
        <v>-7.415324</v>
      </c>
      <c r="AK218" s="780">
        <f t="shared" si="785"/>
        <v>-9.5461860000000005</v>
      </c>
      <c r="AL218" s="780">
        <f t="shared" si="785"/>
        <v>-11.861407</v>
      </c>
      <c r="AM218" s="780">
        <f t="shared" si="785"/>
        <v>-14.020987999999999</v>
      </c>
      <c r="AN218" s="780">
        <f t="shared" si="785"/>
        <v>-14.682206000000001</v>
      </c>
      <c r="AO218" s="780">
        <f t="shared" si="785"/>
        <v>-18.485997000000001</v>
      </c>
      <c r="AP218" s="780">
        <f t="shared" si="785"/>
        <v>-27.016508999999999</v>
      </c>
      <c r="AQ218" s="780">
        <f t="shared" si="785"/>
        <v>-33.994318999999997</v>
      </c>
      <c r="AR218" s="780">
        <f t="shared" si="785"/>
        <v>-43.143000000000001</v>
      </c>
      <c r="AS218" s="780">
        <f t="shared" si="785"/>
        <v>-52.993000000000002</v>
      </c>
      <c r="AT218" s="780">
        <f t="shared" si="785"/>
        <v>-63.192999999999998</v>
      </c>
      <c r="AU218" s="780">
        <f t="shared" si="785"/>
        <v>-78.527000000000001</v>
      </c>
      <c r="AV218" s="780">
        <f t="shared" si="785"/>
        <v>-86.150999999999996</v>
      </c>
      <c r="AW218" s="780">
        <f t="shared" si="785"/>
        <v>-107.14100000000001</v>
      </c>
      <c r="AX218" s="780">
        <f t="shared" si="785"/>
        <v>-126.657</v>
      </c>
      <c r="AY218" s="780">
        <f t="shared" si="785"/>
        <v>-141.97200000000001</v>
      </c>
      <c r="AZ218" s="780">
        <f t="shared" si="785"/>
        <v>-156.94200000000001</v>
      </c>
      <c r="BA218" s="780">
        <f t="shared" si="785"/>
        <v>-191.065</v>
      </c>
      <c r="BB218" s="780">
        <f t="shared" ref="BB218:BC218" si="786">BB268</f>
        <v>-232.92999999999998</v>
      </c>
      <c r="BC218" s="780">
        <f t="shared" si="786"/>
        <v>-263.68900000000002</v>
      </c>
    </row>
    <row r="219" spans="1:55" s="763" customFormat="1" hidden="1" outlineLevel="1" x14ac:dyDescent="0.25">
      <c r="A219" s="786" t="s">
        <v>231</v>
      </c>
      <c r="C219" s="787">
        <f t="shared" ref="C219:S219" si="787">C269</f>
        <v>17.232999999999983</v>
      </c>
      <c r="D219" s="787">
        <f t="shared" si="787"/>
        <v>22.349000000000025</v>
      </c>
      <c r="E219" s="788">
        <f t="shared" si="787"/>
        <v>15.32800000000001</v>
      </c>
      <c r="F219" s="787">
        <f t="shared" si="787"/>
        <v>26.861999999999973</v>
      </c>
      <c r="G219" s="787">
        <f t="shared" si="787"/>
        <v>20.9</v>
      </c>
      <c r="H219" s="789">
        <f t="shared" si="787"/>
        <v>29.252000000000002</v>
      </c>
      <c r="I219" s="787">
        <f t="shared" si="787"/>
        <v>24.11</v>
      </c>
      <c r="J219" s="789">
        <f t="shared" si="787"/>
        <v>43.912000000000027</v>
      </c>
      <c r="K219" s="787">
        <f t="shared" si="787"/>
        <v>33.854000000000028</v>
      </c>
      <c r="L219" s="789">
        <f t="shared" si="787"/>
        <v>50.632000000000005</v>
      </c>
      <c r="M219" s="787">
        <f t="shared" si="787"/>
        <v>40.478000000000023</v>
      </c>
      <c r="N219" s="789">
        <f t="shared" si="787"/>
        <v>53.254999999999896</v>
      </c>
      <c r="O219" s="787">
        <f t="shared" si="787"/>
        <v>57.06400000000005</v>
      </c>
      <c r="P219" s="789">
        <f t="shared" si="787"/>
        <v>62.35199999999989</v>
      </c>
      <c r="Q219" s="787">
        <f t="shared" si="787"/>
        <v>64.133000000000067</v>
      </c>
      <c r="R219" s="789">
        <f t="shared" si="787"/>
        <v>72.011999999999858</v>
      </c>
      <c r="S219" s="787">
        <f t="shared" si="787"/>
        <v>63.07099999999997</v>
      </c>
      <c r="T219" s="789">
        <f t="shared" ref="T219:U219" si="788">T269</f>
        <v>77.829000000000036</v>
      </c>
      <c r="U219" s="787">
        <f t="shared" si="788"/>
        <v>66.731000000000023</v>
      </c>
      <c r="V219" s="789">
        <f t="shared" si="783"/>
        <v>87.33299999999997</v>
      </c>
      <c r="W219" s="787">
        <f t="shared" ref="W219" si="789">W269</f>
        <v>73.662000000000006</v>
      </c>
      <c r="X219" s="760"/>
      <c r="Y219" s="760"/>
      <c r="Z219" s="760"/>
      <c r="AA219" s="760"/>
      <c r="AB219" s="760"/>
      <c r="AC219" s="760"/>
      <c r="AD219" s="760"/>
      <c r="AE219" s="787">
        <f t="shared" ref="AE219:BA219" si="790">AE269</f>
        <v>0.53351100000000029</v>
      </c>
      <c r="AF219" s="787">
        <f t="shared" si="790"/>
        <v>0.80633000000000088</v>
      </c>
      <c r="AG219" s="787">
        <f t="shared" si="790"/>
        <v>1.1837199999999992</v>
      </c>
      <c r="AH219" s="787">
        <f t="shared" si="790"/>
        <v>1.6568710000000015</v>
      </c>
      <c r="AI219" s="787">
        <f t="shared" si="790"/>
        <v>1.9936170000000022</v>
      </c>
      <c r="AJ219" s="787">
        <f t="shared" si="790"/>
        <v>1.147129000000005</v>
      </c>
      <c r="AK219" s="787">
        <f t="shared" si="790"/>
        <v>1.3125009999999957</v>
      </c>
      <c r="AL219" s="787">
        <f t="shared" si="790"/>
        <v>3.3336380000000077</v>
      </c>
      <c r="AM219" s="787">
        <f t="shared" si="790"/>
        <v>5.7374389999999984</v>
      </c>
      <c r="AN219" s="787">
        <f t="shared" si="790"/>
        <v>7.4000070000000093</v>
      </c>
      <c r="AO219" s="787">
        <f t="shared" si="790"/>
        <v>10.032754999999991</v>
      </c>
      <c r="AP219" s="787">
        <f t="shared" si="790"/>
        <v>16.289691999999988</v>
      </c>
      <c r="AQ219" s="787">
        <f t="shared" si="790"/>
        <v>22.290106999999999</v>
      </c>
      <c r="AR219" s="787">
        <f t="shared" si="790"/>
        <v>27.367999999999967</v>
      </c>
      <c r="AS219" s="787">
        <f t="shared" si="790"/>
        <v>35.528000000000013</v>
      </c>
      <c r="AT219" s="787">
        <f t="shared" si="790"/>
        <v>39.581999999999923</v>
      </c>
      <c r="AU219" s="787">
        <f t="shared" si="790"/>
        <v>42.189999999999984</v>
      </c>
      <c r="AV219" s="787">
        <f t="shared" si="790"/>
        <v>50.152000000000001</v>
      </c>
      <c r="AW219" s="787">
        <f t="shared" si="790"/>
        <v>68.022000000000006</v>
      </c>
      <c r="AX219" s="787">
        <f t="shared" si="790"/>
        <v>84.486000000000033</v>
      </c>
      <c r="AY219" s="787">
        <f t="shared" si="790"/>
        <v>93.732999999999919</v>
      </c>
      <c r="AZ219" s="787">
        <f t="shared" si="790"/>
        <v>119.41599999999994</v>
      </c>
      <c r="BA219" s="787">
        <f t="shared" si="790"/>
        <v>136.14499999999992</v>
      </c>
      <c r="BB219" s="787">
        <f t="shared" ref="BB219:BC219" si="791">BB269</f>
        <v>140.9</v>
      </c>
      <c r="BC219" s="787">
        <f t="shared" si="791"/>
        <v>154.06399999999999</v>
      </c>
    </row>
    <row r="220" spans="1:55" s="763" customFormat="1" hidden="1" outlineLevel="1" x14ac:dyDescent="0.25">
      <c r="A220" s="826" t="s">
        <v>233</v>
      </c>
      <c r="B220" s="827"/>
      <c r="C220" s="828">
        <f t="shared" ref="C220:J220" si="792">C146</f>
        <v>17.292189999999984</v>
      </c>
      <c r="D220" s="828">
        <f t="shared" si="792"/>
        <v>23.294294000000026</v>
      </c>
      <c r="E220" s="829">
        <f t="shared" si="792"/>
        <v>19.506812000000011</v>
      </c>
      <c r="F220" s="828">
        <f t="shared" si="792"/>
        <v>27.244187999999973</v>
      </c>
      <c r="G220" s="787">
        <f t="shared" si="792"/>
        <v>21.335999999999999</v>
      </c>
      <c r="H220" s="828">
        <f t="shared" si="792"/>
        <v>30.118000000000002</v>
      </c>
      <c r="I220" s="829">
        <f t="shared" si="792"/>
        <v>25.437999999999999</v>
      </c>
      <c r="J220" s="830">
        <f t="shared" si="792"/>
        <v>45.069000000000003</v>
      </c>
      <c r="K220" s="828">
        <f>+K219+K221+K222</f>
        <v>34.752000000000031</v>
      </c>
      <c r="L220" s="830">
        <f t="shared" ref="L220:S220" si="793">+L219+L221+L222</f>
        <v>51.466000000000008</v>
      </c>
      <c r="M220" s="828">
        <f t="shared" si="793"/>
        <v>41.449000000000019</v>
      </c>
      <c r="N220" s="830">
        <f t="shared" si="793"/>
        <v>54.241999999999898</v>
      </c>
      <c r="O220" s="828">
        <f t="shared" si="793"/>
        <v>58.177000000000049</v>
      </c>
      <c r="P220" s="830">
        <f t="shared" si="793"/>
        <v>63.505999999999887</v>
      </c>
      <c r="Q220" s="828">
        <f t="shared" si="793"/>
        <v>65.549000000000063</v>
      </c>
      <c r="R220" s="830">
        <f t="shared" si="793"/>
        <v>73.136999999999858</v>
      </c>
      <c r="S220" s="828">
        <f t="shared" si="793"/>
        <v>64.661999999999964</v>
      </c>
      <c r="T220" s="830">
        <f t="shared" ref="T220:U220" si="794">+T219+T221+T222</f>
        <v>79.56800000000004</v>
      </c>
      <c r="U220" s="828">
        <f t="shared" si="794"/>
        <v>68.430000000000021</v>
      </c>
      <c r="V220" s="830">
        <f t="shared" si="783"/>
        <v>89.245999999999967</v>
      </c>
      <c r="W220" s="828">
        <f t="shared" ref="W220" si="795">+W219+W221+W222</f>
        <v>75.314000000000007</v>
      </c>
      <c r="X220" s="766"/>
      <c r="Y220" s="766"/>
      <c r="Z220" s="766"/>
      <c r="AA220" s="766"/>
      <c r="AB220" s="766"/>
      <c r="AC220" s="766"/>
      <c r="AD220" s="766"/>
      <c r="AE220" s="828">
        <f t="shared" ref="AE220:AV220" si="796">AE146</f>
        <v>0.53351100000000029</v>
      </c>
      <c r="AF220" s="828">
        <f t="shared" si="796"/>
        <v>0.80633000000000088</v>
      </c>
      <c r="AG220" s="828">
        <f t="shared" si="796"/>
        <v>1.1837199999999992</v>
      </c>
      <c r="AH220" s="828">
        <f t="shared" si="796"/>
        <v>1.6568710000000015</v>
      </c>
      <c r="AI220" s="828">
        <f t="shared" si="796"/>
        <v>1.9936170000000022</v>
      </c>
      <c r="AJ220" s="828">
        <f t="shared" si="796"/>
        <v>1.147129000000005</v>
      </c>
      <c r="AK220" s="828">
        <f t="shared" si="796"/>
        <v>1.6560759999999957</v>
      </c>
      <c r="AL220" s="828">
        <f t="shared" si="796"/>
        <v>3.6586380000000078</v>
      </c>
      <c r="AM220" s="828">
        <f t="shared" si="796"/>
        <v>5.8051969999999988</v>
      </c>
      <c r="AN220" s="828">
        <f t="shared" si="796"/>
        <v>7.4000070000000093</v>
      </c>
      <c r="AO220" s="828">
        <f t="shared" si="796"/>
        <v>10.032754999999991</v>
      </c>
      <c r="AP220" s="828">
        <f t="shared" si="796"/>
        <v>16.445728999999989</v>
      </c>
      <c r="AQ220" s="828">
        <f t="shared" si="796"/>
        <v>23.205904999999998</v>
      </c>
      <c r="AR220" s="828">
        <f t="shared" si="796"/>
        <v>28.102890999999968</v>
      </c>
      <c r="AS220" s="828">
        <f t="shared" si="796"/>
        <v>35.528241000000016</v>
      </c>
      <c r="AT220" s="828">
        <f t="shared" si="796"/>
        <v>40.586483999999928</v>
      </c>
      <c r="AU220" s="828">
        <f t="shared" si="796"/>
        <v>46.750999999999983</v>
      </c>
      <c r="AV220" s="828">
        <f t="shared" si="796"/>
        <v>51.454000000000001</v>
      </c>
      <c r="AW220" s="828">
        <f t="shared" ref="AW220:BB220" si="797">+AW219+AW221+AW222</f>
        <v>70.507000000000005</v>
      </c>
      <c r="AX220" s="828">
        <f t="shared" si="797"/>
        <v>86.218000000000032</v>
      </c>
      <c r="AY220" s="828">
        <f t="shared" si="797"/>
        <v>95.690999999999917</v>
      </c>
      <c r="AZ220" s="828">
        <f t="shared" si="797"/>
        <v>121.68299999999994</v>
      </c>
      <c r="BA220" s="828">
        <f t="shared" si="797"/>
        <v>138.68599999999992</v>
      </c>
      <c r="BB220" s="828">
        <f t="shared" si="797"/>
        <v>144.23000000000002</v>
      </c>
      <c r="BC220" s="830">
        <f t="shared" ref="BC220" si="798">+BC219+BC221+BC222</f>
        <v>157.67599999999999</v>
      </c>
    </row>
    <row r="221" spans="1:55" hidden="1" outlineLevel="1" x14ac:dyDescent="0.25">
      <c r="A221" s="790" t="s">
        <v>266</v>
      </c>
      <c r="C221" s="772">
        <f>C145</f>
        <v>5.8000000000000003E-2</v>
      </c>
      <c r="D221" s="772">
        <f>D145</f>
        <v>0.94099999999999995</v>
      </c>
      <c r="E221" s="773">
        <f>E145</f>
        <v>3.673</v>
      </c>
      <c r="F221" s="772">
        <f>F145</f>
        <v>0</v>
      </c>
      <c r="G221" s="772">
        <v>0</v>
      </c>
      <c r="H221" s="772">
        <v>0</v>
      </c>
      <c r="I221" s="773">
        <v>0</v>
      </c>
      <c r="J221" s="774">
        <f>+AW221-I221</f>
        <v>0</v>
      </c>
      <c r="K221" s="772">
        <v>0</v>
      </c>
      <c r="L221" s="774">
        <v>0</v>
      </c>
      <c r="M221" s="772">
        <v>0</v>
      </c>
      <c r="N221" s="774">
        <v>0</v>
      </c>
      <c r="O221" s="772">
        <v>0</v>
      </c>
      <c r="P221" s="774">
        <v>0</v>
      </c>
      <c r="Q221" s="772">
        <v>0</v>
      </c>
      <c r="R221" s="774">
        <v>0</v>
      </c>
      <c r="S221" s="772">
        <v>0</v>
      </c>
      <c r="T221" s="774">
        <v>0</v>
      </c>
      <c r="U221" s="772">
        <v>0</v>
      </c>
      <c r="V221" s="774">
        <f t="shared" si="783"/>
        <v>0</v>
      </c>
      <c r="W221" s="772">
        <v>0</v>
      </c>
      <c r="AE221" s="772">
        <f t="shared" ref="AE221:AW221" si="799">AE145</f>
        <v>0</v>
      </c>
      <c r="AF221" s="772">
        <f t="shared" si="799"/>
        <v>0</v>
      </c>
      <c r="AG221" s="772">
        <f t="shared" si="799"/>
        <v>0</v>
      </c>
      <c r="AH221" s="772">
        <f t="shared" si="799"/>
        <v>0</v>
      </c>
      <c r="AI221" s="772">
        <f t="shared" si="799"/>
        <v>0</v>
      </c>
      <c r="AJ221" s="772">
        <f t="shared" si="799"/>
        <v>0</v>
      </c>
      <c r="AK221" s="772">
        <f t="shared" si="799"/>
        <v>0</v>
      </c>
      <c r="AL221" s="772">
        <f t="shared" si="799"/>
        <v>0</v>
      </c>
      <c r="AM221" s="772">
        <f t="shared" si="799"/>
        <v>0</v>
      </c>
      <c r="AN221" s="772">
        <f t="shared" si="799"/>
        <v>0</v>
      </c>
      <c r="AO221" s="772">
        <f t="shared" si="799"/>
        <v>0</v>
      </c>
      <c r="AP221" s="772">
        <f t="shared" si="799"/>
        <v>0</v>
      </c>
      <c r="AQ221" s="772">
        <f t="shared" si="799"/>
        <v>0</v>
      </c>
      <c r="AR221" s="772">
        <f t="shared" si="799"/>
        <v>0</v>
      </c>
      <c r="AS221" s="772">
        <f t="shared" si="799"/>
        <v>0</v>
      </c>
      <c r="AT221" s="772">
        <f t="shared" si="799"/>
        <v>0.999</v>
      </c>
      <c r="AU221" s="772">
        <f t="shared" si="799"/>
        <v>3.673</v>
      </c>
      <c r="AV221" s="772">
        <f t="shared" si="799"/>
        <v>0</v>
      </c>
      <c r="AW221" s="772">
        <f t="shared" si="799"/>
        <v>0</v>
      </c>
      <c r="AX221" s="772">
        <v>0</v>
      </c>
      <c r="AY221" s="772">
        <v>0</v>
      </c>
      <c r="AZ221" s="772">
        <v>0</v>
      </c>
      <c r="BA221" s="772">
        <v>0</v>
      </c>
      <c r="BB221" s="772">
        <v>0</v>
      </c>
      <c r="BC221" s="774">
        <v>0</v>
      </c>
    </row>
    <row r="222" spans="1:55" hidden="1" outlineLevel="1" x14ac:dyDescent="0.25">
      <c r="A222" s="831" t="s">
        <v>267</v>
      </c>
      <c r="B222" s="764"/>
      <c r="C222" s="832">
        <f>C144</f>
        <v>1.1900000000000001E-3</v>
      </c>
      <c r="D222" s="832">
        <f>D144</f>
        <v>4.2940000000000001E-3</v>
      </c>
      <c r="E222" s="833">
        <f>E144</f>
        <v>0.50581200000000004</v>
      </c>
      <c r="F222" s="832">
        <f>F144</f>
        <v>0.38218799999999997</v>
      </c>
      <c r="G222" s="1172">
        <v>0.47399999999999998</v>
      </c>
      <c r="H222" s="836">
        <f>AV222-G222</f>
        <v>0.82800000000000007</v>
      </c>
      <c r="I222" s="835">
        <v>1.3280000000000001</v>
      </c>
      <c r="J222" s="837">
        <f>+AW222-I222</f>
        <v>1.1569999999999998</v>
      </c>
      <c r="K222" s="836">
        <f>+K386+K385+K387</f>
        <v>0.89800000000000002</v>
      </c>
      <c r="L222" s="837">
        <f t="shared" ref="L222:S222" si="800">+L386+L385+L387</f>
        <v>0.83399999999999996</v>
      </c>
      <c r="M222" s="836">
        <f t="shared" si="800"/>
        <v>0.97099999999999997</v>
      </c>
      <c r="N222" s="837">
        <f t="shared" si="800"/>
        <v>0.98699999999999999</v>
      </c>
      <c r="O222" s="836">
        <f t="shared" si="800"/>
        <v>1.113</v>
      </c>
      <c r="P222" s="837">
        <f t="shared" si="800"/>
        <v>1.1539999999999999</v>
      </c>
      <c r="Q222" s="836">
        <f t="shared" si="800"/>
        <v>1.4159999999999999</v>
      </c>
      <c r="R222" s="837">
        <f t="shared" si="800"/>
        <v>1.125</v>
      </c>
      <c r="S222" s="836">
        <f t="shared" si="800"/>
        <v>1.591</v>
      </c>
      <c r="T222" s="837">
        <f t="shared" ref="T222:U222" si="801">+T386+T385+T387</f>
        <v>1.7390000000000001</v>
      </c>
      <c r="U222" s="836">
        <f t="shared" si="801"/>
        <v>1.6990000000000001</v>
      </c>
      <c r="V222" s="837">
        <f t="shared" si="783"/>
        <v>1.913</v>
      </c>
      <c r="W222" s="836">
        <f t="shared" ref="W222" si="802">+W386+W385+W387</f>
        <v>1.6519999999999999</v>
      </c>
      <c r="X222" s="764"/>
      <c r="Y222" s="764"/>
      <c r="Z222" s="764"/>
      <c r="AA222" s="764"/>
      <c r="AB222" s="764"/>
      <c r="AC222" s="764"/>
      <c r="AD222" s="764"/>
      <c r="AE222" s="832">
        <f t="shared" ref="AE222:AW222" si="803">AE144</f>
        <v>0</v>
      </c>
      <c r="AF222" s="832">
        <f t="shared" si="803"/>
        <v>0</v>
      </c>
      <c r="AG222" s="832">
        <f t="shared" si="803"/>
        <v>0</v>
      </c>
      <c r="AH222" s="832">
        <f t="shared" si="803"/>
        <v>0</v>
      </c>
      <c r="AI222" s="832">
        <f t="shared" si="803"/>
        <v>0</v>
      </c>
      <c r="AJ222" s="832">
        <f t="shared" si="803"/>
        <v>0</v>
      </c>
      <c r="AK222" s="832">
        <f t="shared" si="803"/>
        <v>0.34357500000000002</v>
      </c>
      <c r="AL222" s="832">
        <f t="shared" si="803"/>
        <v>0.32500000000000001</v>
      </c>
      <c r="AM222" s="832">
        <f t="shared" si="803"/>
        <v>6.7757999999999999E-2</v>
      </c>
      <c r="AN222" s="832">
        <f t="shared" si="803"/>
        <v>0</v>
      </c>
      <c r="AO222" s="832">
        <f t="shared" si="803"/>
        <v>0</v>
      </c>
      <c r="AP222" s="832">
        <f t="shared" si="803"/>
        <v>0.15603700000000001</v>
      </c>
      <c r="AQ222" s="832">
        <f t="shared" si="803"/>
        <v>0.915798</v>
      </c>
      <c r="AR222" s="832">
        <f t="shared" si="803"/>
        <v>0.73489099999999996</v>
      </c>
      <c r="AS222" s="832">
        <f t="shared" si="803"/>
        <v>2.41E-4</v>
      </c>
      <c r="AT222" s="832">
        <f t="shared" si="803"/>
        <v>5.4840000000000002E-3</v>
      </c>
      <c r="AU222" s="832">
        <f t="shared" si="803"/>
        <v>0.88800000000000001</v>
      </c>
      <c r="AV222" s="832">
        <f t="shared" si="803"/>
        <v>1.302</v>
      </c>
      <c r="AW222" s="832">
        <f t="shared" si="803"/>
        <v>2.4849999999999999</v>
      </c>
      <c r="AX222" s="832">
        <f t="shared" ref="AX222:AZ222" si="804">+AX386+AX385+AX387</f>
        <v>1.732</v>
      </c>
      <c r="AY222" s="832">
        <f t="shared" si="804"/>
        <v>1.958</v>
      </c>
      <c r="AZ222" s="832">
        <f t="shared" si="804"/>
        <v>2.2669999999999999</v>
      </c>
      <c r="BA222" s="832">
        <f>+BA386+BA385+BA387</f>
        <v>2.5409999999999999</v>
      </c>
      <c r="BB222" s="832">
        <f>+BB386+BB385+BB387</f>
        <v>3.33</v>
      </c>
      <c r="BC222" s="834">
        <f t="shared" ref="BC222" si="805">+BC386+BC385+BC387</f>
        <v>3.6120000000000001</v>
      </c>
    </row>
    <row r="223" spans="1:55" ht="13" hidden="1" outlineLevel="1" x14ac:dyDescent="0.25">
      <c r="A223" s="760" t="s">
        <v>268</v>
      </c>
      <c r="C223" s="780">
        <v>8.1000000000000003E-2</v>
      </c>
      <c r="D223" s="780">
        <f>AT223-C223</f>
        <v>0.114</v>
      </c>
      <c r="E223" s="781">
        <v>0.106</v>
      </c>
      <c r="F223" s="780">
        <v>0.106</v>
      </c>
      <c r="G223" s="780">
        <v>8.7999999999999995E-2</v>
      </c>
      <c r="H223" s="782">
        <f>AV223-G223</f>
        <v>5.3999999999999992E-2</v>
      </c>
      <c r="I223" s="780">
        <v>3.8E-3</v>
      </c>
      <c r="J223" s="782">
        <f>+AW223-I223</f>
        <v>0.11320000000000001</v>
      </c>
      <c r="K223" s="780">
        <f>+Canalyst!G139+Canalyst!G142</f>
        <v>0.11</v>
      </c>
      <c r="L223" s="782">
        <f>+Canalyst!H139+Canalyst!H142</f>
        <v>0.22300000000000003</v>
      </c>
      <c r="M223" s="780">
        <f>+Canalyst!I139+Canalyst!I142</f>
        <v>4.4999999999999998E-2</v>
      </c>
      <c r="N223" s="782">
        <f>+Canalyst!J139+Canalyst!J142</f>
        <v>-0.161</v>
      </c>
      <c r="O223" s="780">
        <f>+Canalyst!K139+Canalyst!K142</f>
        <v>-0.11400000000000002</v>
      </c>
      <c r="P223" s="782">
        <f>+Canalyst!L139+Canalyst!L142</f>
        <v>-0.33499999999999996</v>
      </c>
      <c r="Q223" s="780">
        <f>+Canalyst!M139+Canalyst!M142</f>
        <v>7.2000000000000008E-2</v>
      </c>
      <c r="R223" s="782">
        <f>+Canalyst!N139+Canalyst!N142</f>
        <v>-7.3000000000000009E-2</v>
      </c>
      <c r="S223" s="780">
        <f>+Canalyst!O139+Canalyst!O142</f>
        <v>5.1999999999999991E-2</v>
      </c>
      <c r="T223" s="782">
        <f>+Canalyst!P139+Canalyst!P142</f>
        <v>0</v>
      </c>
      <c r="U223" s="780">
        <f>+U245</f>
        <v>1.4849999999999999</v>
      </c>
      <c r="V223" s="782">
        <f t="shared" si="783"/>
        <v>3.85</v>
      </c>
      <c r="W223" s="780">
        <f>+W245</f>
        <v>3.0529999999999999</v>
      </c>
      <c r="AE223" s="780">
        <f>'CapIQ - standard'!F28</f>
        <v>-0.1</v>
      </c>
      <c r="AF223" s="780">
        <f>'CapIQ - standard'!G28</f>
        <v>-0.1</v>
      </c>
      <c r="AG223" s="780">
        <f>'CapIQ - standard'!H28</f>
        <v>0</v>
      </c>
      <c r="AH223" s="780">
        <f>'CapIQ - standard'!I28</f>
        <v>2.6848E-2</v>
      </c>
      <c r="AI223" s="780">
        <f>'CapIQ - standard'!J28</f>
        <v>1.5863970000000001</v>
      </c>
      <c r="AJ223" s="780">
        <f>'CapIQ - standard'!K28</f>
        <v>6.6298999999999997E-2</v>
      </c>
      <c r="AK223" s="780">
        <f>'CapIQ - standard'!L28</f>
        <v>4.6339999999999999E-2</v>
      </c>
      <c r="AL223" s="780">
        <f>'CapIQ - standard'!M28</f>
        <v>0.14118900000000001</v>
      </c>
      <c r="AM223" s="780">
        <f>'CapIQ - standard'!N28</f>
        <v>0.299564</v>
      </c>
      <c r="AN223" s="780">
        <f>'CapIQ - standard'!O28</f>
        <v>0.21337100000000001</v>
      </c>
      <c r="AO223" s="780">
        <f>'CapIQ - standard'!P28</f>
        <v>0</v>
      </c>
      <c r="AP223" s="780">
        <f>'CapIQ - standard'!Q28</f>
        <v>5.8015999999999998E-2</v>
      </c>
      <c r="AQ223" s="780">
        <f>'CapIQ - standard'!R28</f>
        <v>0.13525999999999999</v>
      </c>
      <c r="AR223" s="780">
        <v>8.1000000000000003E-2</v>
      </c>
      <c r="AS223" s="780">
        <v>0.10199999999999999</v>
      </c>
      <c r="AT223" s="780">
        <v>0.19500000000000001</v>
      </c>
      <c r="AU223" s="780">
        <v>0.21299999999999999</v>
      </c>
      <c r="AV223" s="780">
        <v>0.14199999999999999</v>
      </c>
      <c r="AW223" s="780">
        <f>+Canalyst!AI139+Canalyst!AI142</f>
        <v>0.11700000000000001</v>
      </c>
      <c r="AX223" s="780">
        <f>+Canalyst!AJ139+Canalyst!AJ142</f>
        <v>0.33300000000000002</v>
      </c>
      <c r="AY223" s="780">
        <f>+Canalyst!AK139+Canalyst!AK142</f>
        <v>-0.11599999999999999</v>
      </c>
      <c r="AZ223" s="780">
        <f>+Canalyst!AL139+Canalyst!AL142</f>
        <v>-0.44899999999999995</v>
      </c>
      <c r="BA223" s="780">
        <f>+Canalyst!AM139+Canalyst!AM142</f>
        <v>-1.0000000000000009E-3</v>
      </c>
      <c r="BB223" s="780">
        <f>1.171-0.205</f>
        <v>0.96600000000000008</v>
      </c>
      <c r="BC223" s="780">
        <f>5.778-0.443</f>
        <v>5.335</v>
      </c>
    </row>
    <row r="224" spans="1:55" s="763" customFormat="1" hidden="1" outlineLevel="1" x14ac:dyDescent="0.25">
      <c r="A224" s="786" t="s">
        <v>269</v>
      </c>
      <c r="C224" s="787">
        <f t="shared" ref="C224" si="806">C223+C219</f>
        <v>17.313999999999982</v>
      </c>
      <c r="D224" s="787">
        <f t="shared" ref="D224" si="807">D223+D219</f>
        <v>22.463000000000026</v>
      </c>
      <c r="E224" s="788">
        <f t="shared" ref="E224:F224" si="808">E223+E219</f>
        <v>15.43400000000001</v>
      </c>
      <c r="F224" s="787">
        <f t="shared" si="808"/>
        <v>26.967999999999975</v>
      </c>
      <c r="G224" s="787">
        <f t="shared" ref="G224:K224" si="809">G223+G219</f>
        <v>20.988</v>
      </c>
      <c r="H224" s="789">
        <f t="shared" si="809"/>
        <v>29.306000000000001</v>
      </c>
      <c r="I224" s="787">
        <f t="shared" si="809"/>
        <v>24.113799999999998</v>
      </c>
      <c r="J224" s="789">
        <f t="shared" si="809"/>
        <v>44.025200000000027</v>
      </c>
      <c r="K224" s="787">
        <f t="shared" si="809"/>
        <v>33.964000000000027</v>
      </c>
      <c r="L224" s="789">
        <f t="shared" ref="L224:S224" si="810">L223+L219</f>
        <v>50.855000000000004</v>
      </c>
      <c r="M224" s="787">
        <f t="shared" si="810"/>
        <v>40.523000000000025</v>
      </c>
      <c r="N224" s="789">
        <f t="shared" si="810"/>
        <v>53.093999999999895</v>
      </c>
      <c r="O224" s="787">
        <f t="shared" si="810"/>
        <v>56.950000000000053</v>
      </c>
      <c r="P224" s="789">
        <f t="shared" si="810"/>
        <v>62.016999999999889</v>
      </c>
      <c r="Q224" s="787">
        <f t="shared" si="810"/>
        <v>64.205000000000069</v>
      </c>
      <c r="R224" s="789">
        <f t="shared" si="810"/>
        <v>71.938999999999865</v>
      </c>
      <c r="S224" s="787">
        <f t="shared" si="810"/>
        <v>63.122999999999969</v>
      </c>
      <c r="T224" s="789">
        <f t="shared" ref="T224:U224" si="811">T223+T219</f>
        <v>77.829000000000036</v>
      </c>
      <c r="U224" s="787">
        <f t="shared" si="811"/>
        <v>68.216000000000022</v>
      </c>
      <c r="V224" s="789">
        <f t="shared" si="783"/>
        <v>91.182999999999979</v>
      </c>
      <c r="W224" s="787">
        <f t="shared" ref="W224" si="812">W223+W219</f>
        <v>76.715000000000003</v>
      </c>
      <c r="X224" s="760"/>
      <c r="Y224" s="760"/>
      <c r="Z224" s="760"/>
      <c r="AA224" s="760"/>
      <c r="AB224" s="760"/>
      <c r="AC224" s="760"/>
      <c r="AD224" s="760"/>
      <c r="AE224" s="787">
        <f t="shared" ref="AE224:AQ224" si="813">AE223+AE219</f>
        <v>0.43351100000000031</v>
      </c>
      <c r="AF224" s="787">
        <f t="shared" si="813"/>
        <v>0.7063300000000009</v>
      </c>
      <c r="AG224" s="787">
        <f t="shared" si="813"/>
        <v>1.1837199999999992</v>
      </c>
      <c r="AH224" s="787">
        <f t="shared" si="813"/>
        <v>1.6837190000000015</v>
      </c>
      <c r="AI224" s="787">
        <f t="shared" si="813"/>
        <v>3.580014000000002</v>
      </c>
      <c r="AJ224" s="787">
        <f t="shared" si="813"/>
        <v>1.2134280000000048</v>
      </c>
      <c r="AK224" s="787">
        <f t="shared" si="813"/>
        <v>1.3588409999999957</v>
      </c>
      <c r="AL224" s="787">
        <f t="shared" si="813"/>
        <v>3.4748270000000074</v>
      </c>
      <c r="AM224" s="787">
        <f t="shared" si="813"/>
        <v>6.0370029999999986</v>
      </c>
      <c r="AN224" s="787">
        <f t="shared" si="813"/>
        <v>7.6133780000000097</v>
      </c>
      <c r="AO224" s="787">
        <f t="shared" si="813"/>
        <v>10.032754999999991</v>
      </c>
      <c r="AP224" s="787">
        <f t="shared" si="813"/>
        <v>16.347707999999987</v>
      </c>
      <c r="AQ224" s="787">
        <f t="shared" si="813"/>
        <v>22.425366999999998</v>
      </c>
      <c r="AR224" s="787">
        <f>AR223+AR219</f>
        <v>27.448999999999966</v>
      </c>
      <c r="AS224" s="787">
        <f t="shared" ref="AS224:AT224" si="814">AS223+AS219</f>
        <v>35.63000000000001</v>
      </c>
      <c r="AT224" s="787">
        <f t="shared" si="814"/>
        <v>39.776999999999923</v>
      </c>
      <c r="AU224" s="787">
        <f t="shared" ref="AU224:AZ224" si="815">AU223+AU219</f>
        <v>42.402999999999984</v>
      </c>
      <c r="AV224" s="787">
        <f t="shared" si="815"/>
        <v>50.294000000000004</v>
      </c>
      <c r="AW224" s="787">
        <f t="shared" si="815"/>
        <v>68.13900000000001</v>
      </c>
      <c r="AX224" s="787">
        <f t="shared" si="815"/>
        <v>84.819000000000031</v>
      </c>
      <c r="AY224" s="787">
        <f t="shared" si="815"/>
        <v>93.616999999999919</v>
      </c>
      <c r="AZ224" s="787">
        <f t="shared" si="815"/>
        <v>118.96699999999994</v>
      </c>
      <c r="BA224" s="787">
        <f t="shared" ref="BA224:BC224" si="816">BA223+BA219</f>
        <v>136.14399999999992</v>
      </c>
      <c r="BB224" s="787">
        <f t="shared" si="816"/>
        <v>141.86600000000001</v>
      </c>
      <c r="BC224" s="787">
        <f t="shared" si="816"/>
        <v>159.399</v>
      </c>
    </row>
    <row r="225" spans="1:55" ht="13" hidden="1" outlineLevel="1" x14ac:dyDescent="0.25">
      <c r="A225" s="760" t="s">
        <v>235</v>
      </c>
      <c r="C225" s="780">
        <v>-3.766</v>
      </c>
      <c r="D225" s="780">
        <f>AT225-C225</f>
        <v>-4.8940000000000001</v>
      </c>
      <c r="E225" s="781">
        <v>-3.5009999999999999</v>
      </c>
      <c r="F225" s="780">
        <v>-3.5009999999999999</v>
      </c>
      <c r="G225" s="780">
        <v>-4.2350000000000003</v>
      </c>
      <c r="H225" s="782">
        <f>AV225-G225</f>
        <v>-5.9609999999999994</v>
      </c>
      <c r="I225" s="780">
        <v>-4.7160000000000002</v>
      </c>
      <c r="J225" s="782">
        <f>+AW225-I225</f>
        <v>-8.4170000000000016</v>
      </c>
      <c r="K225" s="780">
        <f>+Canalyst!G153</f>
        <v>-6.5140000000000002</v>
      </c>
      <c r="L225" s="782">
        <f>+Canalyst!H153</f>
        <v>-9.8439999999999994</v>
      </c>
      <c r="M225" s="780">
        <f>+Canalyst!I153</f>
        <v>-7.4870000000000001</v>
      </c>
      <c r="N225" s="782">
        <f>+Canalyst!J153</f>
        <v>-10.466000000000001</v>
      </c>
      <c r="O225" s="780">
        <f>+Canalyst!K153</f>
        <v>-10.716000000000001</v>
      </c>
      <c r="P225" s="782">
        <f>+Canalyst!L153</f>
        <v>-12.065999999999999</v>
      </c>
      <c r="Q225" s="780">
        <f>+Canalyst!M153</f>
        <v>-12.180999999999999</v>
      </c>
      <c r="R225" s="782">
        <f>+Canalyst!N153</f>
        <v>-13.558</v>
      </c>
      <c r="S225" s="780">
        <f>+Canalyst!O153</f>
        <v>-13.28</v>
      </c>
      <c r="T225" s="782">
        <f>+T247</f>
        <v>-16.555</v>
      </c>
      <c r="U225" s="780">
        <f t="shared" ref="U225:W225" si="817">+U247</f>
        <v>-17.169</v>
      </c>
      <c r="V225" s="782">
        <f t="shared" si="783"/>
        <v>-23.185999999999996</v>
      </c>
      <c r="W225" s="780">
        <f t="shared" si="817"/>
        <v>-19.327999999999999</v>
      </c>
      <c r="AE225" s="780">
        <f>'CapIQ - standard'!F38*-1</f>
        <v>-0.10513699999999999</v>
      </c>
      <c r="AF225" s="780">
        <f>'CapIQ - standard'!G38*-1</f>
        <v>-0.234599</v>
      </c>
      <c r="AG225" s="780">
        <f>'CapIQ - standard'!H38*-1</f>
        <v>-0.493697</v>
      </c>
      <c r="AH225" s="780">
        <f>'CapIQ - standard'!I38*-1</f>
        <v>-0.50621799999999995</v>
      </c>
      <c r="AI225" s="780">
        <f>'CapIQ - standard'!J38*-1</f>
        <v>-0.64450600000000002</v>
      </c>
      <c r="AJ225" s="780">
        <f>'CapIQ - standard'!K38*-1</f>
        <v>-0.39427699999999999</v>
      </c>
      <c r="AK225" s="780">
        <f>'CapIQ - standard'!L38*-1</f>
        <v>-0.55082399999999998</v>
      </c>
      <c r="AL225" s="780">
        <f>'CapIQ - standard'!M38*-1</f>
        <v>-1.4077809999999999</v>
      </c>
      <c r="AM225" s="780">
        <f>'CapIQ - standard'!N38*-1</f>
        <v>-2.1146470000000002</v>
      </c>
      <c r="AN225" s="780">
        <f>'CapIQ - standard'!O38*-1</f>
        <v>-2.466958</v>
      </c>
      <c r="AO225" s="780">
        <f>'CapIQ - standard'!P38*-1</f>
        <v>-2.9612159999999998</v>
      </c>
      <c r="AP225" s="780">
        <f>'CapIQ - standard'!Q38*-1</f>
        <v>-4.8133999999999997</v>
      </c>
      <c r="AQ225" s="780">
        <f>'CapIQ - standard'!R38*-1</f>
        <v>-5.2292509999999996</v>
      </c>
      <c r="AR225" s="780">
        <v>-6.8639999999999999</v>
      </c>
      <c r="AS225" s="780">
        <v>-8.2780000000000005</v>
      </c>
      <c r="AT225" s="780">
        <v>-8.66</v>
      </c>
      <c r="AU225" s="780">
        <v>-9.2449999999999992</v>
      </c>
      <c r="AV225" s="780">
        <v>-10.196</v>
      </c>
      <c r="AW225" s="780">
        <f>+Canalyst!AI153</f>
        <v>-13.133000000000001</v>
      </c>
      <c r="AX225" s="780">
        <f>+Canalyst!AJ153</f>
        <v>-16.358000000000001</v>
      </c>
      <c r="AY225" s="780">
        <f>+Canalyst!AK153</f>
        <v>-17.952999999999999</v>
      </c>
      <c r="AZ225" s="780">
        <f>+Canalyst!AL153</f>
        <v>-22.781999999999996</v>
      </c>
      <c r="BA225" s="780">
        <f>+Canalyst!AM153</f>
        <v>-25.739000000000001</v>
      </c>
      <c r="BB225" s="780">
        <v>-29.835000000000001</v>
      </c>
      <c r="BC225" s="780">
        <v>-40.354999999999997</v>
      </c>
    </row>
    <row r="226" spans="1:55" s="763" customFormat="1" hidden="1" outlineLevel="1" x14ac:dyDescent="0.25">
      <c r="A226" s="786" t="s">
        <v>270</v>
      </c>
      <c r="C226" s="787">
        <f t="shared" ref="C226" si="818">C225+C224</f>
        <v>13.547999999999982</v>
      </c>
      <c r="D226" s="787">
        <f t="shared" ref="D226" si="819">D225+D224</f>
        <v>17.569000000000024</v>
      </c>
      <c r="E226" s="788">
        <f t="shared" ref="E226:F226" si="820">E225+E224</f>
        <v>11.93300000000001</v>
      </c>
      <c r="F226" s="787">
        <f t="shared" si="820"/>
        <v>23.466999999999974</v>
      </c>
      <c r="G226" s="787">
        <f t="shared" ref="G226:K226" si="821">G225+G224</f>
        <v>16.753</v>
      </c>
      <c r="H226" s="789">
        <f t="shared" si="821"/>
        <v>23.345000000000002</v>
      </c>
      <c r="I226" s="787">
        <f t="shared" si="821"/>
        <v>19.397799999999997</v>
      </c>
      <c r="J226" s="789">
        <f t="shared" si="821"/>
        <v>35.608200000000025</v>
      </c>
      <c r="K226" s="787">
        <f t="shared" si="821"/>
        <v>27.450000000000028</v>
      </c>
      <c r="L226" s="789">
        <f t="shared" ref="L226:S226" si="822">L225+L224</f>
        <v>41.011000000000003</v>
      </c>
      <c r="M226" s="787">
        <f t="shared" si="822"/>
        <v>33.036000000000023</v>
      </c>
      <c r="N226" s="789">
        <f t="shared" si="822"/>
        <v>42.627999999999894</v>
      </c>
      <c r="O226" s="787">
        <f t="shared" si="822"/>
        <v>46.234000000000052</v>
      </c>
      <c r="P226" s="789">
        <f t="shared" si="822"/>
        <v>49.950999999999894</v>
      </c>
      <c r="Q226" s="787">
        <f t="shared" si="822"/>
        <v>52.024000000000072</v>
      </c>
      <c r="R226" s="789">
        <f t="shared" si="822"/>
        <v>58.380999999999865</v>
      </c>
      <c r="S226" s="787">
        <f t="shared" si="822"/>
        <v>49.842999999999968</v>
      </c>
      <c r="T226" s="789">
        <f t="shared" ref="T226" si="823">T225+T224</f>
        <v>61.274000000000036</v>
      </c>
      <c r="U226" s="787">
        <f t="shared" ref="U226:W226" si="824">U225+U224</f>
        <v>51.047000000000025</v>
      </c>
      <c r="V226" s="789">
        <f t="shared" si="783"/>
        <v>67.996999999999986</v>
      </c>
      <c r="W226" s="787">
        <f t="shared" si="824"/>
        <v>57.387</v>
      </c>
      <c r="X226" s="760"/>
      <c r="Y226" s="760"/>
      <c r="Z226" s="760"/>
      <c r="AA226" s="760"/>
      <c r="AB226" s="760"/>
      <c r="AC226" s="760"/>
      <c r="AD226" s="760"/>
      <c r="AE226" s="787">
        <f t="shared" ref="AE226:AQ226" si="825">AE225+AE224</f>
        <v>0.32837400000000033</v>
      </c>
      <c r="AF226" s="787">
        <f t="shared" si="825"/>
        <v>0.4717310000000009</v>
      </c>
      <c r="AG226" s="787">
        <f t="shared" si="825"/>
        <v>0.69002299999999916</v>
      </c>
      <c r="AH226" s="787">
        <f t="shared" si="825"/>
        <v>1.1775010000000017</v>
      </c>
      <c r="AI226" s="787">
        <f t="shared" si="825"/>
        <v>2.9355080000000022</v>
      </c>
      <c r="AJ226" s="787">
        <f t="shared" si="825"/>
        <v>0.81915100000000485</v>
      </c>
      <c r="AK226" s="787">
        <f t="shared" si="825"/>
        <v>0.80801699999999577</v>
      </c>
      <c r="AL226" s="787">
        <f t="shared" si="825"/>
        <v>2.0670460000000075</v>
      </c>
      <c r="AM226" s="787">
        <f t="shared" si="825"/>
        <v>3.9223559999999984</v>
      </c>
      <c r="AN226" s="787">
        <f t="shared" si="825"/>
        <v>5.1464200000000098</v>
      </c>
      <c r="AO226" s="787">
        <f t="shared" si="825"/>
        <v>7.0715389999999907</v>
      </c>
      <c r="AP226" s="787">
        <f t="shared" si="825"/>
        <v>11.534307999999987</v>
      </c>
      <c r="AQ226" s="787">
        <f t="shared" si="825"/>
        <v>17.196115999999996</v>
      </c>
      <c r="AR226" s="787">
        <f>AR225+AR224</f>
        <v>20.584999999999965</v>
      </c>
      <c r="AS226" s="787">
        <f t="shared" ref="AS226:AT226" si="826">AS225+AS224</f>
        <v>27.352000000000011</v>
      </c>
      <c r="AT226" s="787">
        <f t="shared" si="826"/>
        <v>31.116999999999923</v>
      </c>
      <c r="AU226" s="787">
        <f t="shared" ref="AU226:AX226" si="827">AU225+AU224</f>
        <v>33.157999999999987</v>
      </c>
      <c r="AV226" s="787">
        <f t="shared" si="827"/>
        <v>40.098000000000006</v>
      </c>
      <c r="AW226" s="787">
        <f t="shared" ref="AW226" si="828">AW225+AW224</f>
        <v>55.006000000000007</v>
      </c>
      <c r="AX226" s="787">
        <f t="shared" si="827"/>
        <v>68.461000000000027</v>
      </c>
      <c r="AY226" s="787">
        <f t="shared" ref="AY226:BC226" si="829">AY225+AY224</f>
        <v>75.663999999999916</v>
      </c>
      <c r="AZ226" s="787">
        <f t="shared" si="829"/>
        <v>96.184999999999945</v>
      </c>
      <c r="BA226" s="787">
        <f t="shared" si="829"/>
        <v>110.40499999999992</v>
      </c>
      <c r="BB226" s="787">
        <f t="shared" si="829"/>
        <v>112.03100000000001</v>
      </c>
      <c r="BC226" s="787">
        <f t="shared" si="829"/>
        <v>119.04400000000001</v>
      </c>
    </row>
    <row r="227" spans="1:55" hidden="1" outlineLevel="1" x14ac:dyDescent="0.25">
      <c r="E227" s="790"/>
      <c r="H227" s="791"/>
      <c r="J227" s="791"/>
      <c r="L227" s="791"/>
      <c r="N227" s="791"/>
      <c r="P227" s="791"/>
      <c r="R227" s="791"/>
      <c r="T227" s="791"/>
      <c r="V227" s="791"/>
    </row>
    <row r="228" spans="1:55" collapsed="1" x14ac:dyDescent="0.25">
      <c r="A228" s="771" t="s">
        <v>271</v>
      </c>
      <c r="E228" s="790"/>
      <c r="H228" s="791"/>
      <c r="J228" s="791"/>
      <c r="L228" s="791"/>
      <c r="N228" s="791"/>
      <c r="P228" s="791"/>
      <c r="R228" s="791"/>
      <c r="T228" s="791"/>
      <c r="V228" s="791"/>
    </row>
    <row r="229" spans="1:55" x14ac:dyDescent="0.25">
      <c r="A229" s="763"/>
      <c r="E229" s="790"/>
      <c r="H229" s="791"/>
      <c r="J229" s="791"/>
      <c r="L229" s="791"/>
      <c r="N229" s="791"/>
      <c r="P229" s="791"/>
      <c r="R229" s="791"/>
      <c r="T229" s="791"/>
      <c r="V229" s="791"/>
    </row>
    <row r="230" spans="1:55" x14ac:dyDescent="0.25">
      <c r="A230" s="760" t="str">
        <f>+A205</f>
        <v>Gross Invoiced Income</v>
      </c>
      <c r="C230" s="772">
        <f t="shared" ref="C230:S230" si="830">C255</f>
        <v>265.82</v>
      </c>
      <c r="D230" s="772">
        <f t="shared" si="830"/>
        <v>330.26400000000001</v>
      </c>
      <c r="E230" s="773">
        <f t="shared" si="830"/>
        <v>293.59100000000001</v>
      </c>
      <c r="F230" s="772">
        <f t="shared" si="830"/>
        <v>378.76</v>
      </c>
      <c r="G230" s="772">
        <f t="shared" si="830"/>
        <v>378.5</v>
      </c>
      <c r="H230" s="774">
        <f t="shared" si="830"/>
        <v>453.976</v>
      </c>
      <c r="I230" s="772">
        <f t="shared" si="830"/>
        <v>472.84300000000002</v>
      </c>
      <c r="J230" s="774">
        <f t="shared" si="830"/>
        <v>608.83500000000004</v>
      </c>
      <c r="K230" s="772">
        <f t="shared" si="830"/>
        <v>607.75600000000009</v>
      </c>
      <c r="L230" s="774">
        <f t="shared" si="830"/>
        <v>806.30799999999999</v>
      </c>
      <c r="M230" s="772">
        <f t="shared" si="830"/>
        <v>727.72200000000009</v>
      </c>
      <c r="N230" s="774">
        <f t="shared" si="830"/>
        <v>918.46900000000005</v>
      </c>
      <c r="O230" s="772">
        <f t="shared" si="830"/>
        <v>870.81599999999992</v>
      </c>
      <c r="P230" s="774">
        <f t="shared" si="830"/>
        <v>1067.624</v>
      </c>
      <c r="Q230" s="772">
        <f t="shared" si="830"/>
        <v>1158.3409999999999</v>
      </c>
      <c r="R230" s="774">
        <f t="shared" si="830"/>
        <v>1349.1960000000001</v>
      </c>
      <c r="S230" s="772">
        <f t="shared" si="830"/>
        <v>1214.7279999999998</v>
      </c>
      <c r="T230" s="774">
        <f>+BB230-S230</f>
        <v>1348.2720000000002</v>
      </c>
      <c r="U230" s="772">
        <f t="shared" ref="U230:W230" si="831">U255</f>
        <v>1263.5</v>
      </c>
      <c r="V230" s="774">
        <f>+BC230-U230</f>
        <v>1588.6999999999998</v>
      </c>
      <c r="W230" s="772">
        <f t="shared" si="831"/>
        <v>1507.1000000000001</v>
      </c>
      <c r="AE230" s="772">
        <f t="shared" ref="AE230:AQ230" si="832">AE255</f>
        <v>18.367162</v>
      </c>
      <c r="AF230" s="772">
        <f t="shared" si="832"/>
        <v>31.868970000000001</v>
      </c>
      <c r="AG230" s="772">
        <f t="shared" si="832"/>
        <v>38.608544999999999</v>
      </c>
      <c r="AH230" s="772">
        <f t="shared" si="832"/>
        <v>39.477041</v>
      </c>
      <c r="AI230" s="772">
        <f t="shared" si="832"/>
        <v>51.132738000000003</v>
      </c>
      <c r="AJ230" s="772">
        <f t="shared" si="832"/>
        <v>57.104958000000003</v>
      </c>
      <c r="AK230" s="772">
        <f t="shared" si="832"/>
        <v>67.277880999999994</v>
      </c>
      <c r="AL230" s="772">
        <f t="shared" si="832"/>
        <v>89.142482000000001</v>
      </c>
      <c r="AM230" s="772">
        <f t="shared" si="832"/>
        <v>102.915905</v>
      </c>
      <c r="AN230" s="772">
        <f t="shared" si="832"/>
        <v>113.11424700000001</v>
      </c>
      <c r="AO230" s="772">
        <f t="shared" si="832"/>
        <v>145.75140099999999</v>
      </c>
      <c r="AP230" s="772">
        <f t="shared" si="832"/>
        <v>219.22811799999999</v>
      </c>
      <c r="AQ230" s="772">
        <f t="shared" si="832"/>
        <v>304.055497</v>
      </c>
      <c r="AR230" s="772">
        <v>395.75599999999997</v>
      </c>
      <c r="AS230" s="772">
        <v>504.79700000000003</v>
      </c>
      <c r="AT230" s="772">
        <v>596.08399999999995</v>
      </c>
      <c r="AU230" s="772">
        <f>AU205</f>
        <v>672.351</v>
      </c>
      <c r="AV230" s="772">
        <f>AV205</f>
        <v>832.476</v>
      </c>
      <c r="AW230" s="772">
        <f>AW205</f>
        <v>1081.6780000000001</v>
      </c>
      <c r="AX230" s="772">
        <f>AX255</f>
        <v>1414.0640000000001</v>
      </c>
      <c r="AY230" s="772">
        <f>AY255</f>
        <v>1646.191</v>
      </c>
      <c r="AZ230" s="772">
        <f>AZ255</f>
        <v>1938.44</v>
      </c>
      <c r="BA230" s="772">
        <f>BA255</f>
        <v>2507.5369999999998</v>
      </c>
      <c r="BB230" s="772">
        <v>2563</v>
      </c>
      <c r="BC230" s="772">
        <f>+BC12</f>
        <v>2852.2</v>
      </c>
    </row>
    <row r="231" spans="1:55" s="776" customFormat="1" ht="12" x14ac:dyDescent="0.3">
      <c r="A231" s="775" t="s">
        <v>37</v>
      </c>
      <c r="C231" s="1165"/>
      <c r="D231" s="1166"/>
      <c r="E231" s="1165">
        <f t="shared" ref="E231" si="833">E230/C230-1</f>
        <v>0.10447295162139802</v>
      </c>
      <c r="F231" s="1165">
        <f t="shared" ref="F231" si="834">F230/D230-1</f>
        <v>0.14684010367463607</v>
      </c>
      <c r="G231" s="1165">
        <f t="shared" ref="G231" si="835">G230/E230-1</f>
        <v>0.28920845666249995</v>
      </c>
      <c r="H231" s="1166">
        <f t="shared" ref="H231" si="836">H230/F230-1</f>
        <v>0.19858485584539021</v>
      </c>
      <c r="I231" s="1165">
        <f t="shared" ref="I231" si="837">I230/G230-1</f>
        <v>0.2492549537648614</v>
      </c>
      <c r="J231" s="1166">
        <f t="shared" ref="J231" si="838">J230/H230-1</f>
        <v>0.34111715156748379</v>
      </c>
      <c r="K231" s="1165">
        <f t="shared" ref="K231" si="839">K230/I230-1</f>
        <v>0.28532303534154058</v>
      </c>
      <c r="L231" s="1166">
        <f t="shared" ref="L231" si="840">L230/J230-1</f>
        <v>0.32434567657904023</v>
      </c>
      <c r="M231" s="1165">
        <f t="shared" ref="M231" si="841">M230/K230-1</f>
        <v>0.19739171641250763</v>
      </c>
      <c r="N231" s="1166">
        <f t="shared" ref="N231" si="842">N230/L230-1</f>
        <v>0.13910441171363797</v>
      </c>
      <c r="O231" s="1165">
        <f t="shared" ref="O231" si="843">O230/M230-1</f>
        <v>0.19663278010009289</v>
      </c>
      <c r="P231" s="1166">
        <f t="shared" ref="P231" si="844">P230/N230-1</f>
        <v>0.16239524687278495</v>
      </c>
      <c r="Q231" s="1165">
        <f t="shared" ref="Q231" si="845">Q230/O230-1</f>
        <v>0.33017882078418404</v>
      </c>
      <c r="R231" s="1166">
        <f t="shared" ref="R231" si="846">R230/P230-1</f>
        <v>0.26373704600121406</v>
      </c>
      <c r="S231" s="1165">
        <f t="shared" ref="S231:W231" si="847">S230/Q230-1</f>
        <v>4.8679102267812357E-2</v>
      </c>
      <c r="T231" s="1166">
        <f t="shared" si="847"/>
        <v>-6.8485231204362673E-4</v>
      </c>
      <c r="U231" s="1165">
        <f t="shared" si="847"/>
        <v>4.0150552222390612E-2</v>
      </c>
      <c r="V231" s="1166">
        <f t="shared" si="847"/>
        <v>0.17832306834229272</v>
      </c>
      <c r="W231" s="1165">
        <f t="shared" si="847"/>
        <v>0.19279778393351821</v>
      </c>
      <c r="X231" s="1165"/>
      <c r="Y231" s="1165"/>
      <c r="Z231" s="1165"/>
      <c r="AA231" s="1165"/>
      <c r="AB231" s="1165"/>
      <c r="AC231" s="1165"/>
      <c r="AD231" s="1165"/>
      <c r="AE231" s="1165"/>
      <c r="AF231" s="1165">
        <f t="shared" ref="AF231" si="848">AF230/AE230-1</f>
        <v>0.73510583725455247</v>
      </c>
      <c r="AG231" s="1165">
        <f t="shared" ref="AG231" si="849">AG230/AF230-1</f>
        <v>0.2114776536549503</v>
      </c>
      <c r="AH231" s="1165">
        <f t="shared" ref="AH231" si="850">AH230/AG230-1</f>
        <v>2.2494916604601345E-2</v>
      </c>
      <c r="AI231" s="1165">
        <f t="shared" ref="AI231" si="851">AI230/AH230-1</f>
        <v>0.2952525494501983</v>
      </c>
      <c r="AJ231" s="1165">
        <f t="shared" ref="AJ231" si="852">AJ230/AI230-1</f>
        <v>0.11679836115953734</v>
      </c>
      <c r="AK231" s="1165">
        <f t="shared" ref="AK231" si="853">AK230/AJ230-1</f>
        <v>0.17814430403748815</v>
      </c>
      <c r="AL231" s="1165">
        <f t="shared" ref="AL231" si="854">AL230/AK230-1</f>
        <v>0.3249894419237136</v>
      </c>
      <c r="AM231" s="1165">
        <f t="shared" ref="AM231" si="855">AM230/AL230-1</f>
        <v>0.15451020311505337</v>
      </c>
      <c r="AN231" s="1165">
        <f t="shared" ref="AN231" si="856">AN230/AM230-1</f>
        <v>9.9093934994790356E-2</v>
      </c>
      <c r="AO231" s="1165">
        <f t="shared" ref="AO231" si="857">AO230/AN230-1</f>
        <v>0.28853265495371216</v>
      </c>
      <c r="AP231" s="1165">
        <f t="shared" ref="AP231" si="858">AP230/AO230-1</f>
        <v>0.50412357271269048</v>
      </c>
      <c r="AQ231" s="1165">
        <f t="shared" ref="AQ231" si="859">AQ230/AP230-1</f>
        <v>0.38693658356361027</v>
      </c>
      <c r="AR231" s="1165">
        <f t="shared" ref="AR231" si="860">AR230/AQ230-1</f>
        <v>0.30159133416357853</v>
      </c>
      <c r="AS231" s="1165">
        <f t="shared" ref="AS231" si="861">AS230/AR230-1</f>
        <v>0.27552582904618017</v>
      </c>
      <c r="AT231" s="1165">
        <f t="shared" ref="AT231" si="862">AT230/AS230-1</f>
        <v>0.18083903034289017</v>
      </c>
      <c r="AU231" s="1165">
        <f t="shared" ref="AU231" si="863">AU230/AT230-1</f>
        <v>0.12794673233973741</v>
      </c>
      <c r="AV231" s="1165">
        <f t="shared" ref="AV231" si="864">AV230/AU230-1</f>
        <v>0.2381568555709741</v>
      </c>
      <c r="AW231" s="1165">
        <f t="shared" ref="AW231" si="865">AW230/AV230-1</f>
        <v>0.29935037166236644</v>
      </c>
      <c r="AX231" s="1165">
        <f t="shared" ref="AX231" si="866">AX230/AW230-1</f>
        <v>0.30728738127243038</v>
      </c>
      <c r="AY231" s="1165">
        <f t="shared" ref="AY231" si="867">AY230/AX230-1</f>
        <v>0.16415593636497361</v>
      </c>
      <c r="AZ231" s="1165">
        <f t="shared" ref="AZ231" si="868">AZ230/AY230-1</f>
        <v>0.17753043237388622</v>
      </c>
      <c r="BA231" s="1165">
        <f t="shared" ref="BA231:BC231" si="869">BA230/AZ230-1</f>
        <v>0.29358504777037187</v>
      </c>
      <c r="BB231" s="1165">
        <f t="shared" si="869"/>
        <v>2.211851709466317E-2</v>
      </c>
      <c r="BC231" s="1165">
        <f t="shared" si="869"/>
        <v>0.11283651970347242</v>
      </c>
    </row>
    <row r="232" spans="1:55" x14ac:dyDescent="0.25">
      <c r="C232" s="772"/>
      <c r="D232" s="772"/>
      <c r="E232" s="773"/>
      <c r="F232" s="772"/>
      <c r="G232" s="772"/>
      <c r="H232" s="774"/>
      <c r="I232" s="772"/>
      <c r="J232" s="774"/>
      <c r="K232" s="772"/>
      <c r="L232" s="774"/>
      <c r="M232" s="772"/>
      <c r="N232" s="774"/>
      <c r="O232" s="772"/>
      <c r="P232" s="774"/>
      <c r="Q232" s="772"/>
      <c r="R232" s="774"/>
      <c r="S232" s="772"/>
      <c r="T232" s="774"/>
      <c r="U232" s="772"/>
      <c r="V232" s="774"/>
      <c r="W232" s="772"/>
      <c r="AE232" s="772"/>
      <c r="AF232" s="772"/>
      <c r="AG232" s="772"/>
      <c r="AH232" s="772"/>
      <c r="AI232" s="772"/>
      <c r="AJ232" s="772"/>
      <c r="AK232" s="772"/>
      <c r="AL232" s="772"/>
      <c r="AM232" s="772"/>
      <c r="AN232" s="772"/>
      <c r="AO232" s="772"/>
      <c r="AP232" s="772"/>
      <c r="AQ232" s="772"/>
      <c r="AR232" s="772"/>
      <c r="AS232" s="772"/>
      <c r="AT232" s="772"/>
      <c r="AU232" s="772"/>
      <c r="AV232" s="772"/>
      <c r="AW232" s="772"/>
      <c r="AX232" s="772"/>
      <c r="AY232" s="772"/>
      <c r="AZ232" s="772"/>
      <c r="BA232" s="772"/>
      <c r="BB232" s="772"/>
      <c r="BC232" s="772"/>
    </row>
    <row r="233" spans="1:55" x14ac:dyDescent="0.25">
      <c r="A233" s="760" t="str">
        <f>+A208</f>
        <v>Net Revenue</v>
      </c>
      <c r="C233" s="772"/>
      <c r="D233" s="772"/>
      <c r="E233" s="773"/>
      <c r="F233" s="772"/>
      <c r="G233" s="772"/>
      <c r="H233" s="774"/>
      <c r="I233" s="772">
        <f t="shared" ref="I233:S233" si="870">+I208</f>
        <v>358.30399999999992</v>
      </c>
      <c r="J233" s="774">
        <f t="shared" si="870"/>
        <v>438.904</v>
      </c>
      <c r="K233" s="772">
        <f t="shared" si="870"/>
        <v>433.96999999999997</v>
      </c>
      <c r="L233" s="774">
        <f t="shared" si="870"/>
        <v>557.87900000000002</v>
      </c>
      <c r="M233" s="772">
        <f t="shared" si="870"/>
        <v>524.14800000000002</v>
      </c>
      <c r="N233" s="774">
        <f t="shared" si="870"/>
        <v>552.97899999999993</v>
      </c>
      <c r="O233" s="772">
        <f t="shared" si="870"/>
        <v>576.98800000000006</v>
      </c>
      <c r="P233" s="774">
        <f t="shared" si="870"/>
        <v>579.67899999999997</v>
      </c>
      <c r="Q233" s="772">
        <f t="shared" si="870"/>
        <v>577.82000000000005</v>
      </c>
      <c r="R233" s="774">
        <f t="shared" si="870"/>
        <v>500.12600000000009</v>
      </c>
      <c r="S233" s="772">
        <f t="shared" si="870"/>
        <v>512.40499999999997</v>
      </c>
      <c r="T233" s="774">
        <f>+BB233-S233</f>
        <v>472.89499999999998</v>
      </c>
      <c r="U233" s="772">
        <v>467.15199999999999</v>
      </c>
      <c r="V233" s="774">
        <f>+BC233-U233</f>
        <v>495.48100000000005</v>
      </c>
      <c r="W233" s="772">
        <v>545.58399999999995</v>
      </c>
      <c r="AE233" s="772"/>
      <c r="AF233" s="772"/>
      <c r="AG233" s="772"/>
      <c r="AH233" s="772"/>
      <c r="AI233" s="772"/>
      <c r="AJ233" s="772"/>
      <c r="AK233" s="772"/>
      <c r="AL233" s="772"/>
      <c r="AM233" s="772"/>
      <c r="AN233" s="772"/>
      <c r="AO233" s="772"/>
      <c r="AP233" s="772"/>
      <c r="AQ233" s="772"/>
      <c r="AR233" s="772"/>
      <c r="AS233" s="772"/>
      <c r="AT233" s="772"/>
      <c r="AU233" s="772"/>
      <c r="AV233" s="772"/>
      <c r="AW233" s="772">
        <f>+AW208</f>
        <v>797.20799999999997</v>
      </c>
      <c r="AX233" s="772">
        <f>+AX208</f>
        <v>991.84900000000005</v>
      </c>
      <c r="AY233" s="772">
        <f>+AY208</f>
        <v>1077.127</v>
      </c>
      <c r="AZ233" s="772">
        <f>+AZ208</f>
        <v>1156.6669999999999</v>
      </c>
      <c r="BA233" s="772">
        <f>+BA208</f>
        <v>1077.9459999999999</v>
      </c>
      <c r="BB233" s="772">
        <f t="shared" ref="BB233:BC233" si="871">+BB208</f>
        <v>985.3</v>
      </c>
      <c r="BC233" s="772">
        <f t="shared" si="871"/>
        <v>962.63300000000004</v>
      </c>
    </row>
    <row r="234" spans="1:55" s="776" customFormat="1" ht="12" x14ac:dyDescent="0.3">
      <c r="A234" s="775" t="s">
        <v>37</v>
      </c>
      <c r="C234" s="1165"/>
      <c r="D234" s="1166"/>
      <c r="E234" s="1165"/>
      <c r="F234" s="1165"/>
      <c r="G234" s="1165"/>
      <c r="H234" s="1166"/>
      <c r="I234" s="1165"/>
      <c r="J234" s="1166"/>
      <c r="K234" s="1165">
        <f t="shared" ref="K234" si="872">K233/I233-1</f>
        <v>0.21117821737965548</v>
      </c>
      <c r="L234" s="1166">
        <f t="shared" ref="L234" si="873">L233/J233-1</f>
        <v>0.27107294533656567</v>
      </c>
      <c r="M234" s="1165">
        <f t="shared" ref="M234" si="874">M233/K233-1</f>
        <v>0.20779777403968036</v>
      </c>
      <c r="N234" s="1166">
        <f t="shared" ref="N234" si="875">N233/L233-1</f>
        <v>-8.7832666223321976E-3</v>
      </c>
      <c r="O234" s="1165">
        <f t="shared" ref="O234" si="876">O233/M233-1</f>
        <v>0.10081122125811803</v>
      </c>
      <c r="P234" s="1166">
        <f t="shared" ref="P234" si="877">P233/N233-1</f>
        <v>4.8283931216194453E-2</v>
      </c>
      <c r="Q234" s="1165">
        <f t="shared" ref="Q234" si="878">Q233/O233-1</f>
        <v>1.441971063522951E-3</v>
      </c>
      <c r="R234" s="1166">
        <f t="shared" ref="R234" si="879">R233/P233-1</f>
        <v>-0.13723629802011095</v>
      </c>
      <c r="S234" s="1165">
        <f t="shared" ref="S234" si="880">S233/Q233-1</f>
        <v>-0.11320999619258609</v>
      </c>
      <c r="T234" s="1166">
        <f t="shared" ref="T234" si="881">T233/R233-1</f>
        <v>-5.4448279033683766E-2</v>
      </c>
      <c r="U234" s="1165">
        <f t="shared" ref="U234:W234" si="882">U233/S233-1</f>
        <v>-8.8314907153521083E-2</v>
      </c>
      <c r="V234" s="1166">
        <f t="shared" si="882"/>
        <v>4.7761130906438076E-2</v>
      </c>
      <c r="W234" s="1165">
        <f t="shared" si="882"/>
        <v>0.16789396170839455</v>
      </c>
      <c r="X234" s="1165"/>
      <c r="Y234" s="1165"/>
      <c r="Z234" s="1165"/>
      <c r="AA234" s="1165"/>
      <c r="AB234" s="1165"/>
      <c r="AC234" s="1165"/>
      <c r="AD234" s="1165"/>
      <c r="AE234" s="1165"/>
      <c r="AF234" s="1165"/>
      <c r="AG234" s="1165"/>
      <c r="AH234" s="1165"/>
      <c r="AI234" s="1165"/>
      <c r="AJ234" s="1165"/>
      <c r="AK234" s="1165"/>
      <c r="AL234" s="1165"/>
      <c r="AM234" s="1165"/>
      <c r="AN234" s="1165"/>
      <c r="AO234" s="1165"/>
      <c r="AP234" s="1165"/>
      <c r="AQ234" s="1165"/>
      <c r="AR234" s="1165"/>
      <c r="AS234" s="1165"/>
      <c r="AT234" s="1165"/>
      <c r="AU234" s="1165"/>
      <c r="AV234" s="1165"/>
      <c r="AW234" s="1165"/>
      <c r="AX234" s="1165">
        <f t="shared" ref="AX234" si="883">AX233/AW233-1</f>
        <v>0.24415334517465959</v>
      </c>
      <c r="AY234" s="1165">
        <f t="shared" ref="AY234" si="884">AY233/AX233-1</f>
        <v>8.5978813307267421E-2</v>
      </c>
      <c r="AZ234" s="1165">
        <f t="shared" ref="AZ234" si="885">AZ233/AY233-1</f>
        <v>7.3844588428291225E-2</v>
      </c>
      <c r="BA234" s="1165">
        <f t="shared" ref="BA234" si="886">BA233/AZ233-1</f>
        <v>-6.8058481827526829E-2</v>
      </c>
      <c r="BB234" s="1165">
        <f t="shared" ref="BB234" si="887">BB233/BA233-1</f>
        <v>-8.5946791397713773E-2</v>
      </c>
      <c r="BC234" s="1165">
        <f t="shared" ref="BC234" si="888">BC233/BB233-1</f>
        <v>-2.3005176088500834E-2</v>
      </c>
    </row>
    <row r="235" spans="1:55" s="776" customFormat="1" ht="12" x14ac:dyDescent="0.3">
      <c r="A235" s="775" t="s">
        <v>40</v>
      </c>
      <c r="C235" s="1165">
        <f>C233/C225</f>
        <v>0</v>
      </c>
      <c r="D235" s="1166">
        <f t="shared" ref="D235:AK235" si="889">D233/D225</f>
        <v>0</v>
      </c>
      <c r="E235" s="1165">
        <f t="shared" si="889"/>
        <v>0</v>
      </c>
      <c r="F235" s="1165">
        <f t="shared" si="889"/>
        <v>0</v>
      </c>
      <c r="G235" s="1165"/>
      <c r="H235" s="1166"/>
      <c r="I235" s="1165">
        <f>+I233/I230</f>
        <v>0.75776526246555387</v>
      </c>
      <c r="J235" s="1166">
        <f t="shared" ref="J235:S235" si="890">+J233/J230</f>
        <v>0.72089153875844847</v>
      </c>
      <c r="K235" s="1165">
        <f t="shared" si="890"/>
        <v>0.71405300811509864</v>
      </c>
      <c r="L235" s="1166">
        <f t="shared" si="890"/>
        <v>0.69189317233612968</v>
      </c>
      <c r="M235" s="1165">
        <f t="shared" si="890"/>
        <v>0.72025856027439039</v>
      </c>
      <c r="N235" s="1166">
        <f t="shared" si="890"/>
        <v>0.60206604686712328</v>
      </c>
      <c r="O235" s="1165">
        <f t="shared" si="890"/>
        <v>0.66258314041083322</v>
      </c>
      <c r="P235" s="1166">
        <f t="shared" si="890"/>
        <v>0.54296175432549287</v>
      </c>
      <c r="Q235" s="1165">
        <f t="shared" si="890"/>
        <v>0.49883410843611692</v>
      </c>
      <c r="R235" s="1166">
        <f t="shared" si="890"/>
        <v>0.3706844668973226</v>
      </c>
      <c r="S235" s="1165">
        <f t="shared" si="890"/>
        <v>0.42182694397428894</v>
      </c>
      <c r="T235" s="1166">
        <f t="shared" ref="T235:U235" si="891">+T233/T230</f>
        <v>0.3507415417660531</v>
      </c>
      <c r="U235" s="1165">
        <f t="shared" si="891"/>
        <v>0.36972853185595567</v>
      </c>
      <c r="V235" s="1166">
        <f t="shared" ref="V235:W235" si="892">+V233/V230</f>
        <v>0.3118782652483163</v>
      </c>
      <c r="W235" s="1165">
        <f t="shared" si="892"/>
        <v>0.3620091566584831</v>
      </c>
      <c r="X235" s="1165"/>
      <c r="Y235" s="1165"/>
      <c r="Z235" s="1165"/>
      <c r="AA235" s="1165"/>
      <c r="AB235" s="1165"/>
      <c r="AC235" s="1165"/>
      <c r="AD235" s="1165"/>
      <c r="AE235" s="1165">
        <f t="shared" si="889"/>
        <v>0</v>
      </c>
      <c r="AF235" s="1165">
        <f t="shared" si="889"/>
        <v>0</v>
      </c>
      <c r="AG235" s="1165">
        <f t="shared" si="889"/>
        <v>0</v>
      </c>
      <c r="AH235" s="1165">
        <f t="shared" si="889"/>
        <v>0</v>
      </c>
      <c r="AI235" s="1165">
        <f t="shared" si="889"/>
        <v>0</v>
      </c>
      <c r="AJ235" s="1165">
        <f t="shared" si="889"/>
        <v>0</v>
      </c>
      <c r="AK235" s="1165">
        <f t="shared" si="889"/>
        <v>0</v>
      </c>
      <c r="AL235" s="1165"/>
      <c r="AM235" s="1165"/>
      <c r="AN235" s="1165"/>
      <c r="AO235" s="1165"/>
      <c r="AP235" s="1165"/>
      <c r="AQ235" s="1165"/>
      <c r="AR235" s="1165"/>
      <c r="AS235" s="1165"/>
      <c r="AT235" s="1165"/>
      <c r="AU235" s="1165"/>
      <c r="AV235" s="1165"/>
      <c r="AW235" s="1165">
        <f t="shared" ref="AW235:BA235" si="893">+AW233/AW230</f>
        <v>0.73701045967469048</v>
      </c>
      <c r="AX235" s="1165">
        <f t="shared" si="893"/>
        <v>0.70141733330316025</v>
      </c>
      <c r="AY235" s="1165">
        <f t="shared" si="893"/>
        <v>0.65431471803697139</v>
      </c>
      <c r="AZ235" s="1165">
        <f t="shared" si="893"/>
        <v>0.59669992364994529</v>
      </c>
      <c r="BA235" s="1165">
        <f t="shared" si="893"/>
        <v>0.42988239056891286</v>
      </c>
      <c r="BB235" s="1165">
        <f t="shared" ref="BB235" si="894">+BB233/BB230</f>
        <v>0.38443230589153332</v>
      </c>
      <c r="BC235" s="1165">
        <f t="shared" ref="BC235" si="895">+BC233/BC230</f>
        <v>0.33750543440151465</v>
      </c>
    </row>
    <row r="236" spans="1:55" x14ac:dyDescent="0.25">
      <c r="C236" s="772"/>
      <c r="D236" s="772"/>
      <c r="E236" s="773"/>
      <c r="F236" s="772"/>
      <c r="G236" s="772"/>
      <c r="H236" s="774"/>
      <c r="I236" s="772"/>
      <c r="J236" s="774"/>
      <c r="K236" s="772"/>
      <c r="L236" s="774"/>
      <c r="M236" s="772"/>
      <c r="N236" s="774"/>
      <c r="O236" s="772"/>
      <c r="P236" s="774"/>
      <c r="Q236" s="772"/>
      <c r="R236" s="774"/>
      <c r="S236" s="772"/>
      <c r="T236" s="774"/>
      <c r="U236" s="772"/>
      <c r="V236" s="774"/>
      <c r="W236" s="772"/>
      <c r="AE236" s="772"/>
      <c r="AF236" s="772"/>
      <c r="AG236" s="772"/>
      <c r="AH236" s="772"/>
      <c r="AI236" s="772"/>
      <c r="AJ236" s="772"/>
      <c r="AK236" s="772"/>
      <c r="AL236" s="772"/>
      <c r="AM236" s="772"/>
      <c r="AN236" s="772"/>
      <c r="AO236" s="772"/>
      <c r="AP236" s="772"/>
      <c r="AQ236" s="772"/>
      <c r="AR236" s="772"/>
      <c r="AS236" s="772"/>
      <c r="AT236" s="772"/>
      <c r="AU236" s="772"/>
      <c r="AV236" s="772"/>
      <c r="AW236" s="772"/>
      <c r="AX236" s="772"/>
      <c r="AY236" s="772"/>
      <c r="AZ236" s="772"/>
      <c r="BA236" s="772"/>
      <c r="BB236" s="772"/>
      <c r="BC236" s="772"/>
    </row>
    <row r="237" spans="1:55" ht="13" hidden="1" outlineLevel="1" x14ac:dyDescent="0.25">
      <c r="A237" s="760" t="s">
        <v>263</v>
      </c>
      <c r="C237" s="780">
        <f t="shared" ref="C237:J237" si="896">C263</f>
        <v>-219.18100000000001</v>
      </c>
      <c r="D237" s="780">
        <f t="shared" si="896"/>
        <v>-274.12799999999999</v>
      </c>
      <c r="E237" s="781">
        <f t="shared" si="896"/>
        <v>-239.916</v>
      </c>
      <c r="F237" s="780">
        <f t="shared" si="896"/>
        <v>-311.71800000000002</v>
      </c>
      <c r="G237" s="780">
        <f t="shared" si="896"/>
        <v>-317.2</v>
      </c>
      <c r="H237" s="782">
        <f t="shared" si="896"/>
        <v>-378.97300000000001</v>
      </c>
      <c r="I237" s="780">
        <f t="shared" si="896"/>
        <v>0</v>
      </c>
      <c r="J237" s="782">
        <f t="shared" si="896"/>
        <v>0</v>
      </c>
      <c r="K237" s="780"/>
      <c r="L237" s="782"/>
      <c r="M237" s="780"/>
      <c r="N237" s="782"/>
      <c r="O237" s="780"/>
      <c r="P237" s="782"/>
      <c r="Q237" s="780"/>
      <c r="R237" s="782"/>
      <c r="S237" s="780"/>
      <c r="T237" s="782"/>
      <c r="U237" s="780"/>
      <c r="V237" s="782"/>
      <c r="W237" s="780"/>
      <c r="AE237" s="780">
        <f t="shared" ref="AE237:AQ237" si="897">AE263</f>
        <v>-15.189681</v>
      </c>
      <c r="AF237" s="780">
        <f t="shared" si="897"/>
        <v>-27.33193</v>
      </c>
      <c r="AG237" s="780">
        <f t="shared" si="897"/>
        <v>-31.45607</v>
      </c>
      <c r="AH237" s="780">
        <f t="shared" si="897"/>
        <v>-32.128467999999998</v>
      </c>
      <c r="AI237" s="780">
        <f t="shared" si="897"/>
        <v>-42.426369000000001</v>
      </c>
      <c r="AJ237" s="780">
        <f t="shared" si="897"/>
        <v>-48.542504999999998</v>
      </c>
      <c r="AK237" s="780">
        <f t="shared" si="897"/>
        <v>-56.419193999999997</v>
      </c>
      <c r="AL237" s="780">
        <f t="shared" si="897"/>
        <v>-73.947436999999994</v>
      </c>
      <c r="AM237" s="780">
        <f t="shared" si="897"/>
        <v>-83.157477999999998</v>
      </c>
      <c r="AN237" s="780">
        <f t="shared" si="897"/>
        <v>-91.032033999999996</v>
      </c>
      <c r="AO237" s="780">
        <f t="shared" si="897"/>
        <v>-117.23264899999999</v>
      </c>
      <c r="AP237" s="780">
        <f t="shared" si="897"/>
        <v>-175.92191700000001</v>
      </c>
      <c r="AQ237" s="780">
        <f t="shared" si="897"/>
        <v>-247.77107100000001</v>
      </c>
      <c r="AR237" s="780">
        <v>-325.245</v>
      </c>
      <c r="AS237" s="780">
        <v>-416.27600000000001</v>
      </c>
      <c r="AT237" s="780">
        <v>-493.30900000000003</v>
      </c>
      <c r="AU237" s="780">
        <f>AU212</f>
        <v>-551.63400000000001</v>
      </c>
      <c r="AV237" s="780">
        <f>AV212</f>
        <v>-696.173</v>
      </c>
      <c r="AW237" s="780">
        <f>AW212</f>
        <v>0</v>
      </c>
      <c r="AX237" s="780"/>
      <c r="AY237" s="780"/>
      <c r="AZ237" s="780"/>
      <c r="BA237" s="780"/>
      <c r="BB237" s="780"/>
      <c r="BC237" s="780"/>
    </row>
    <row r="238" spans="1:55" collapsed="1" x14ac:dyDescent="0.25">
      <c r="A238" s="785" t="s">
        <v>264</v>
      </c>
      <c r="C238" s="772">
        <f t="shared" ref="C238:S238" si="898">+C213</f>
        <v>46.638999999999982</v>
      </c>
      <c r="D238" s="772">
        <f t="shared" si="898"/>
        <v>56.136000000000024</v>
      </c>
      <c r="E238" s="773">
        <f t="shared" si="898"/>
        <v>53.675000000000011</v>
      </c>
      <c r="F238" s="772">
        <f t="shared" si="898"/>
        <v>67.041999999999973</v>
      </c>
      <c r="G238" s="772">
        <f t="shared" si="898"/>
        <v>61.3</v>
      </c>
      <c r="H238" s="774">
        <f t="shared" si="898"/>
        <v>75.003</v>
      </c>
      <c r="I238" s="772">
        <f t="shared" si="898"/>
        <v>74.83499999999998</v>
      </c>
      <c r="J238" s="774">
        <f t="shared" si="898"/>
        <v>100.32800000000003</v>
      </c>
      <c r="K238" s="772">
        <f t="shared" si="898"/>
        <v>94.672000000000025</v>
      </c>
      <c r="L238" s="774">
        <f t="shared" si="898"/>
        <v>116.471</v>
      </c>
      <c r="M238" s="772">
        <f t="shared" si="898"/>
        <v>111.67200000000003</v>
      </c>
      <c r="N238" s="774">
        <f t="shared" si="898"/>
        <v>124.0329999999999</v>
      </c>
      <c r="O238" s="772">
        <f t="shared" si="898"/>
        <v>134.46400000000006</v>
      </c>
      <c r="P238" s="774">
        <f t="shared" si="898"/>
        <v>141.89399999999989</v>
      </c>
      <c r="Q238" s="772">
        <f t="shared" si="898"/>
        <v>150.21100000000007</v>
      </c>
      <c r="R238" s="774">
        <f t="shared" si="898"/>
        <v>176.99899999999985</v>
      </c>
      <c r="S238" s="772">
        <f t="shared" si="898"/>
        <v>177.05399999999997</v>
      </c>
      <c r="T238" s="774">
        <f>+BB238-S238</f>
        <v>196.77600000000001</v>
      </c>
      <c r="U238" s="772">
        <v>196.51400000000001</v>
      </c>
      <c r="V238" s="774">
        <f>+BC238-U238</f>
        <v>221.23899999999998</v>
      </c>
      <c r="W238" s="772">
        <v>220.20500000000001</v>
      </c>
      <c r="AE238" s="772">
        <f t="shared" ref="AE238:BA238" si="899">+AE213</f>
        <v>3.1774810000000002</v>
      </c>
      <c r="AF238" s="772">
        <f t="shared" si="899"/>
        <v>4.5370400000000011</v>
      </c>
      <c r="AG238" s="772">
        <f t="shared" si="899"/>
        <v>7.152474999999999</v>
      </c>
      <c r="AH238" s="772">
        <f t="shared" si="899"/>
        <v>7.3485730000000018</v>
      </c>
      <c r="AI238" s="772">
        <f t="shared" si="899"/>
        <v>8.7063690000000022</v>
      </c>
      <c r="AJ238" s="772">
        <f t="shared" si="899"/>
        <v>8.562453000000005</v>
      </c>
      <c r="AK238" s="772">
        <f t="shared" si="899"/>
        <v>10.858686999999996</v>
      </c>
      <c r="AL238" s="772">
        <f t="shared" si="899"/>
        <v>15.195045000000007</v>
      </c>
      <c r="AM238" s="772">
        <f t="shared" si="899"/>
        <v>19.758426999999998</v>
      </c>
      <c r="AN238" s="772">
        <f t="shared" si="899"/>
        <v>22.08221300000001</v>
      </c>
      <c r="AO238" s="772">
        <f t="shared" si="899"/>
        <v>28.518751999999992</v>
      </c>
      <c r="AP238" s="772">
        <f t="shared" si="899"/>
        <v>43.306200999999987</v>
      </c>
      <c r="AQ238" s="772">
        <f t="shared" si="899"/>
        <v>56.284425999999996</v>
      </c>
      <c r="AR238" s="772">
        <f t="shared" si="899"/>
        <v>70.510999999999967</v>
      </c>
      <c r="AS238" s="772">
        <f t="shared" si="899"/>
        <v>88.521000000000015</v>
      </c>
      <c r="AT238" s="772">
        <f t="shared" si="899"/>
        <v>102.77499999999992</v>
      </c>
      <c r="AU238" s="772">
        <f t="shared" si="899"/>
        <v>120.71699999999998</v>
      </c>
      <c r="AV238" s="772">
        <f t="shared" si="899"/>
        <v>136.303</v>
      </c>
      <c r="AW238" s="772">
        <f t="shared" si="899"/>
        <v>175.16300000000001</v>
      </c>
      <c r="AX238" s="772">
        <f t="shared" si="899"/>
        <v>211.14300000000003</v>
      </c>
      <c r="AY238" s="772">
        <f t="shared" si="899"/>
        <v>235.70499999999993</v>
      </c>
      <c r="AZ238" s="772">
        <f t="shared" si="899"/>
        <v>276.35799999999995</v>
      </c>
      <c r="BA238" s="772">
        <f t="shared" si="899"/>
        <v>327.20999999999992</v>
      </c>
      <c r="BB238" s="772">
        <f t="shared" ref="BB238:BC238" si="900">+BB213</f>
        <v>373.83</v>
      </c>
      <c r="BC238" s="772">
        <f t="shared" si="900"/>
        <v>417.75299999999999</v>
      </c>
    </row>
    <row r="239" spans="1:55" s="776" customFormat="1" ht="12" x14ac:dyDescent="0.3">
      <c r="A239" s="775" t="s">
        <v>37</v>
      </c>
      <c r="C239" s="1165"/>
      <c r="D239" s="1166"/>
      <c r="E239" s="1165">
        <f t="shared" ref="E239" si="901">E238/C238-1</f>
        <v>0.15086086751431282</v>
      </c>
      <c r="F239" s="1165">
        <f t="shared" ref="F239" si="902">F238/D238-1</f>
        <v>0.19427818155906973</v>
      </c>
      <c r="G239" s="1165">
        <f t="shared" ref="G239" si="903">G238/E238-1</f>
        <v>0.14205868653935694</v>
      </c>
      <c r="H239" s="1166">
        <f t="shared" ref="H239" si="904">H238/F238-1</f>
        <v>0.11874645744458734</v>
      </c>
      <c r="I239" s="1165">
        <f t="shared" ref="I239" si="905">I238/G238-1</f>
        <v>0.22079934747145158</v>
      </c>
      <c r="J239" s="1166">
        <f t="shared" ref="J239" si="906">J238/H238-1</f>
        <v>0.33765316054024552</v>
      </c>
      <c r="K239" s="1165">
        <f t="shared" ref="K239" si="907">K238/I238-1</f>
        <v>0.26507650163693519</v>
      </c>
      <c r="L239" s="1166">
        <f t="shared" ref="L239" si="908">L238/J238-1</f>
        <v>0.1609022406506655</v>
      </c>
      <c r="M239" s="1165">
        <f t="shared" ref="M239" si="909">M238/K238-1</f>
        <v>0.1795673483184046</v>
      </c>
      <c r="N239" s="1166">
        <f t="shared" ref="N239" si="910">N238/L238-1</f>
        <v>6.4926033089781177E-2</v>
      </c>
      <c r="O239" s="1165">
        <f t="shared" ref="O239" si="911">O238/M238-1</f>
        <v>0.20409771473601279</v>
      </c>
      <c r="P239" s="1166">
        <f t="shared" ref="P239" si="912">P238/N238-1</f>
        <v>0.14400199946788361</v>
      </c>
      <c r="Q239" s="1165">
        <f t="shared" ref="Q239" si="913">Q238/O238-1</f>
        <v>0.11710941218467408</v>
      </c>
      <c r="R239" s="1166">
        <f t="shared" ref="R239" si="914">R238/P238-1</f>
        <v>0.24740299096508656</v>
      </c>
      <c r="S239" s="1165">
        <f t="shared" ref="S239" si="915">S238/Q238-1</f>
        <v>0.17870195924399601</v>
      </c>
      <c r="T239" s="1166">
        <f t="shared" ref="T239" si="916">T238/R238-1</f>
        <v>0.11173509454855779</v>
      </c>
      <c r="U239" s="1165">
        <f t="shared" ref="U239:W239" si="917">U238/S238-1</f>
        <v>0.10990997096930899</v>
      </c>
      <c r="V239" s="1166">
        <f t="shared" ref="V239" si="918">V238/T238-1</f>
        <v>0.12431902264503791</v>
      </c>
      <c r="W239" s="1165">
        <f t="shared" si="917"/>
        <v>0.12055629624352471</v>
      </c>
      <c r="X239" s="1165"/>
      <c r="Y239" s="1165"/>
      <c r="Z239" s="1165"/>
      <c r="AA239" s="1165"/>
      <c r="AB239" s="1165"/>
      <c r="AC239" s="1165"/>
      <c r="AD239" s="1165"/>
      <c r="AE239" s="1165"/>
      <c r="AF239" s="1165">
        <f t="shared" ref="AF239" si="919">AF238/AE238-1</f>
        <v>0.42787321151566315</v>
      </c>
      <c r="AG239" s="1165">
        <f t="shared" ref="AG239" si="920">AG238/AF238-1</f>
        <v>0.57646284802426195</v>
      </c>
      <c r="AH239" s="1165">
        <f t="shared" ref="AH239" si="921">AH238/AG238-1</f>
        <v>2.7416803274391333E-2</v>
      </c>
      <c r="AI239" s="1165">
        <f t="shared" ref="AI239" si="922">AI238/AH238-1</f>
        <v>0.18477002269692355</v>
      </c>
      <c r="AJ239" s="1165">
        <f t="shared" ref="AJ239" si="923">AJ238/AI238-1</f>
        <v>-1.6529967889024388E-2</v>
      </c>
      <c r="AK239" s="1165">
        <f t="shared" ref="AK239" si="924">AK238/AJ238-1</f>
        <v>0.26817478589371402</v>
      </c>
      <c r="AL239" s="1165">
        <f t="shared" ref="AL239" si="925">AL238/AK238-1</f>
        <v>0.39934459847677828</v>
      </c>
      <c r="AM239" s="1165">
        <f t="shared" ref="AM239" si="926">AM238/AL238-1</f>
        <v>0.30032040049897768</v>
      </c>
      <c r="AN239" s="1165">
        <f t="shared" ref="AN239" si="927">AN238/AM238-1</f>
        <v>0.11760986843740207</v>
      </c>
      <c r="AO239" s="1165">
        <f t="shared" ref="AO239" si="928">AO238/AN238-1</f>
        <v>0.2914807044022254</v>
      </c>
      <c r="AP239" s="1165">
        <f t="shared" ref="AP239" si="929">AP238/AO238-1</f>
        <v>0.51851669385813226</v>
      </c>
      <c r="AQ239" s="1165">
        <f t="shared" ref="AQ239" si="930">AQ238/AP238-1</f>
        <v>0.29968514208854313</v>
      </c>
      <c r="AR239" s="1165">
        <f t="shared" ref="AR239" si="931">AR238/AQ238-1</f>
        <v>0.25276217616574748</v>
      </c>
      <c r="AS239" s="1165">
        <f t="shared" ref="AS239" si="932">AS238/AR238-1</f>
        <v>0.25542113996397808</v>
      </c>
      <c r="AT239" s="1165">
        <f t="shared" ref="AT239" si="933">AT238/AS238-1</f>
        <v>0.16102393782266256</v>
      </c>
      <c r="AU239" s="1165">
        <f t="shared" ref="AU239" si="934">AU238/AT238-1</f>
        <v>0.17457552906835394</v>
      </c>
      <c r="AV239" s="1165">
        <f t="shared" ref="AV239" si="935">AV238/AU238-1</f>
        <v>0.12911188979182731</v>
      </c>
      <c r="AW239" s="1165">
        <f t="shared" ref="AW239" si="936">AW238/AV238-1</f>
        <v>0.28510010784795647</v>
      </c>
      <c r="AX239" s="1165">
        <f t="shared" ref="AX239" si="937">AX238/AW238-1</f>
        <v>0.20540867648989813</v>
      </c>
      <c r="AY239" s="1165">
        <f t="shared" ref="AY239" si="938">AY238/AX238-1</f>
        <v>0.11632874402655968</v>
      </c>
      <c r="AZ239" s="1165">
        <f t="shared" ref="AZ239" si="939">AZ238/AY238-1</f>
        <v>0.17247406716022162</v>
      </c>
      <c r="BA239" s="1165">
        <f t="shared" ref="BA239" si="940">BA238/AZ238-1</f>
        <v>0.1840077001570426</v>
      </c>
      <c r="BB239" s="1165">
        <f t="shared" ref="BB239" si="941">BB238/BA238-1</f>
        <v>0.14247730815072912</v>
      </c>
      <c r="BC239" s="1165">
        <f t="shared" ref="BC239" si="942">BC238/BB238-1</f>
        <v>0.11749458309926974</v>
      </c>
    </row>
    <row r="240" spans="1:55" s="776" customFormat="1" ht="12" x14ac:dyDescent="0.3">
      <c r="A240" s="775" t="s">
        <v>40</v>
      </c>
      <c r="C240" s="1165">
        <f>C238/C230</f>
        <v>0.17545331427281613</v>
      </c>
      <c r="D240" s="1166">
        <f t="shared" ref="D240:BA240" si="943">D238/D230</f>
        <v>0.16997311241915566</v>
      </c>
      <c r="E240" s="1165">
        <f t="shared" si="943"/>
        <v>0.18282236172089747</v>
      </c>
      <c r="F240" s="1165">
        <f t="shared" si="943"/>
        <v>0.17700390748759101</v>
      </c>
      <c r="G240" s="1165">
        <f t="shared" si="943"/>
        <v>0.16195508586525759</v>
      </c>
      <c r="H240" s="1166">
        <f t="shared" si="943"/>
        <v>0.16521357957248842</v>
      </c>
      <c r="I240" s="1165">
        <f t="shared" si="943"/>
        <v>0.15826606294266801</v>
      </c>
      <c r="J240" s="1166">
        <f t="shared" si="943"/>
        <v>0.164786847011095</v>
      </c>
      <c r="K240" s="1165">
        <f t="shared" si="943"/>
        <v>0.15577304049651508</v>
      </c>
      <c r="L240" s="1166">
        <f t="shared" si="943"/>
        <v>0.14444976361390438</v>
      </c>
      <c r="M240" s="1165">
        <f t="shared" si="943"/>
        <v>0.15345420366568555</v>
      </c>
      <c r="N240" s="1166">
        <f t="shared" si="943"/>
        <v>0.13504320777293508</v>
      </c>
      <c r="O240" s="1165">
        <f t="shared" si="943"/>
        <v>0.1544114945063022</v>
      </c>
      <c r="P240" s="1166">
        <f t="shared" si="943"/>
        <v>0.13290634155845119</v>
      </c>
      <c r="Q240" s="1165">
        <f t="shared" si="943"/>
        <v>0.12967770285261429</v>
      </c>
      <c r="R240" s="1166">
        <f t="shared" si="943"/>
        <v>0.13118850041061481</v>
      </c>
      <c r="S240" s="1165">
        <f t="shared" si="943"/>
        <v>0.14575608695938513</v>
      </c>
      <c r="T240" s="1166">
        <f t="shared" ref="T240:U240" si="944">T238/T230</f>
        <v>0.14594681191925662</v>
      </c>
      <c r="U240" s="1165">
        <f t="shared" si="944"/>
        <v>0.15553146022952119</v>
      </c>
      <c r="V240" s="1166">
        <f t="shared" ref="V240:W240" si="945">V238/V230</f>
        <v>0.13925788380436835</v>
      </c>
      <c r="W240" s="1165">
        <f t="shared" si="945"/>
        <v>0.14611173777453387</v>
      </c>
      <c r="X240" s="1165"/>
      <c r="Y240" s="1165"/>
      <c r="Z240" s="1165"/>
      <c r="AA240" s="1165"/>
      <c r="AB240" s="1165"/>
      <c r="AC240" s="1165"/>
      <c r="AD240" s="1165"/>
      <c r="AE240" s="1165">
        <f t="shared" si="943"/>
        <v>0.1729979296747097</v>
      </c>
      <c r="AF240" s="1165">
        <f t="shared" si="943"/>
        <v>0.14236544199577209</v>
      </c>
      <c r="AG240" s="1165">
        <f t="shared" si="943"/>
        <v>0.1852562690461399</v>
      </c>
      <c r="AH240" s="1165">
        <f t="shared" si="943"/>
        <v>0.18614801955394786</v>
      </c>
      <c r="AI240" s="1165">
        <f t="shared" si="943"/>
        <v>0.17026995503350517</v>
      </c>
      <c r="AJ240" s="1165">
        <f t="shared" si="943"/>
        <v>0.149942374530772</v>
      </c>
      <c r="AK240" s="1165">
        <f t="shared" si="943"/>
        <v>0.16140055005596857</v>
      </c>
      <c r="AL240" s="1165">
        <f t="shared" si="943"/>
        <v>0.17045795292080837</v>
      </c>
      <c r="AM240" s="1165">
        <f t="shared" si="943"/>
        <v>0.19198613664233918</v>
      </c>
      <c r="AN240" s="1165">
        <f t="shared" si="943"/>
        <v>0.19522043938461622</v>
      </c>
      <c r="AO240" s="1165">
        <f t="shared" si="943"/>
        <v>0.19566708658944551</v>
      </c>
      <c r="AP240" s="1165">
        <f t="shared" si="943"/>
        <v>0.19753944610335061</v>
      </c>
      <c r="AQ240" s="1165">
        <f t="shared" si="943"/>
        <v>0.18511234480329095</v>
      </c>
      <c r="AR240" s="1165">
        <f t="shared" si="943"/>
        <v>0.1781678610052658</v>
      </c>
      <c r="AS240" s="1165">
        <f t="shared" si="943"/>
        <v>0.17535959999762282</v>
      </c>
      <c r="AT240" s="1165">
        <f t="shared" si="943"/>
        <v>0.17241697478878804</v>
      </c>
      <c r="AU240" s="1165">
        <f t="shared" si="943"/>
        <v>0.17954461285846229</v>
      </c>
      <c r="AV240" s="1165">
        <f t="shared" si="943"/>
        <v>0.16373204753049939</v>
      </c>
      <c r="AW240" s="1165">
        <f t="shared" si="943"/>
        <v>0.16193636183781124</v>
      </c>
      <c r="AX240" s="1165">
        <f t="shared" si="943"/>
        <v>0.14931643829416491</v>
      </c>
      <c r="AY240" s="1165">
        <f t="shared" si="943"/>
        <v>0.14318204874161014</v>
      </c>
      <c r="AZ240" s="1165">
        <f t="shared" si="943"/>
        <v>0.14256721900084601</v>
      </c>
      <c r="BA240" s="1165">
        <f t="shared" si="943"/>
        <v>0.13049059694832019</v>
      </c>
      <c r="BB240" s="1165">
        <f t="shared" ref="BB240" si="946">BB238/BB230</f>
        <v>0.14585641825985174</v>
      </c>
      <c r="BC240" s="1165">
        <f t="shared" ref="BC240" si="947">BC238/BC230</f>
        <v>0.14646693780239814</v>
      </c>
    </row>
    <row r="241" spans="1:55" s="763" customFormat="1" x14ac:dyDescent="0.25">
      <c r="A241" s="786"/>
      <c r="C241" s="787"/>
      <c r="D241" s="787"/>
      <c r="E241" s="788"/>
      <c r="F241" s="787"/>
      <c r="G241" s="787"/>
      <c r="H241" s="789"/>
      <c r="I241" s="787"/>
      <c r="J241" s="789"/>
      <c r="K241" s="787"/>
      <c r="L241" s="789"/>
      <c r="M241" s="787"/>
      <c r="N241" s="789"/>
      <c r="O241" s="787"/>
      <c r="P241" s="789"/>
      <c r="Q241" s="787"/>
      <c r="R241" s="789"/>
      <c r="S241" s="787"/>
      <c r="T241" s="789"/>
      <c r="U241" s="787"/>
      <c r="V241" s="789"/>
      <c r="W241" s="787"/>
      <c r="X241" s="760"/>
      <c r="Y241" s="760"/>
      <c r="Z241" s="760"/>
      <c r="AA241" s="760"/>
      <c r="AB241" s="760"/>
      <c r="AC241" s="760"/>
      <c r="AD241" s="760"/>
      <c r="AE241" s="787"/>
      <c r="AF241" s="787"/>
      <c r="AG241" s="787"/>
      <c r="AH241" s="787"/>
      <c r="AI241" s="787"/>
      <c r="AJ241" s="787"/>
      <c r="AK241" s="787"/>
      <c r="AL241" s="787"/>
      <c r="AM241" s="787"/>
      <c r="AN241" s="787"/>
      <c r="AO241" s="787"/>
      <c r="AP241" s="787"/>
      <c r="AQ241" s="787"/>
      <c r="AR241" s="787"/>
      <c r="AS241" s="787"/>
      <c r="AT241" s="787"/>
      <c r="AU241" s="787"/>
      <c r="AV241" s="787"/>
      <c r="AW241" s="787"/>
      <c r="AX241" s="787"/>
      <c r="AY241" s="787"/>
      <c r="AZ241" s="787"/>
      <c r="BA241" s="787"/>
      <c r="BB241" s="787"/>
      <c r="BC241" s="787"/>
    </row>
    <row r="242" spans="1:55" ht="13" x14ac:dyDescent="0.25">
      <c r="A242" s="760" t="s">
        <v>265</v>
      </c>
      <c r="C242" s="780">
        <f t="shared" ref="C242:S242" si="948">C268</f>
        <v>-29.405999999999999</v>
      </c>
      <c r="D242" s="780">
        <f t="shared" si="948"/>
        <v>-33.786999999999999</v>
      </c>
      <c r="E242" s="781">
        <f t="shared" si="948"/>
        <v>-38.347000000000001</v>
      </c>
      <c r="F242" s="780">
        <f t="shared" si="948"/>
        <v>-40.18</v>
      </c>
      <c r="G242" s="780">
        <f t="shared" si="948"/>
        <v>-40.4</v>
      </c>
      <c r="H242" s="782">
        <f t="shared" si="948"/>
        <v>-45.750999999999998</v>
      </c>
      <c r="I242" s="780">
        <f t="shared" si="948"/>
        <v>-50.725000000000001</v>
      </c>
      <c r="J242" s="782">
        <f t="shared" si="948"/>
        <v>-56.416000000000004</v>
      </c>
      <c r="K242" s="780">
        <f t="shared" si="948"/>
        <v>-60.817999999999998</v>
      </c>
      <c r="L242" s="782">
        <f t="shared" si="948"/>
        <v>-65.838999999999999</v>
      </c>
      <c r="M242" s="780">
        <f t="shared" si="948"/>
        <v>-71.194000000000003</v>
      </c>
      <c r="N242" s="782">
        <f t="shared" si="948"/>
        <v>-70.778000000000006</v>
      </c>
      <c r="O242" s="780">
        <f t="shared" si="948"/>
        <v>-77.400000000000006</v>
      </c>
      <c r="P242" s="782">
        <f t="shared" si="948"/>
        <v>-79.542000000000002</v>
      </c>
      <c r="Q242" s="780">
        <f t="shared" si="948"/>
        <v>-86.078000000000003</v>
      </c>
      <c r="R242" s="782">
        <f t="shared" si="948"/>
        <v>-104.98699999999999</v>
      </c>
      <c r="S242" s="780">
        <f t="shared" si="948"/>
        <v>-113.983</v>
      </c>
      <c r="T242" s="782">
        <f>+BB242-S242</f>
        <v>-118.94699999999997</v>
      </c>
      <c r="U242" s="780">
        <v>-129.78299999999999</v>
      </c>
      <c r="V242" s="782">
        <f t="shared" ref="V242:V243" si="949">+BC242-U242</f>
        <v>-133.90600000000003</v>
      </c>
      <c r="W242" s="780">
        <v>-146.54300000000001</v>
      </c>
      <c r="AE242" s="780">
        <f t="shared" ref="AE242:AQ242" si="950">AE268</f>
        <v>-2.6439699999999999</v>
      </c>
      <c r="AF242" s="780">
        <f t="shared" si="950"/>
        <v>-3.7307100000000002</v>
      </c>
      <c r="AG242" s="780">
        <f t="shared" si="950"/>
        <v>-5.9687549999999998</v>
      </c>
      <c r="AH242" s="780">
        <f t="shared" si="950"/>
        <v>-5.6917020000000003</v>
      </c>
      <c r="AI242" s="780">
        <f t="shared" si="950"/>
        <v>-6.7127520000000001</v>
      </c>
      <c r="AJ242" s="780">
        <f t="shared" si="950"/>
        <v>-7.415324</v>
      </c>
      <c r="AK242" s="780">
        <f t="shared" si="950"/>
        <v>-9.5461860000000005</v>
      </c>
      <c r="AL242" s="780">
        <f t="shared" si="950"/>
        <v>-11.861407</v>
      </c>
      <c r="AM242" s="780">
        <f t="shared" si="950"/>
        <v>-14.020987999999999</v>
      </c>
      <c r="AN242" s="780">
        <f t="shared" si="950"/>
        <v>-14.682206000000001</v>
      </c>
      <c r="AO242" s="780">
        <f t="shared" si="950"/>
        <v>-18.485997000000001</v>
      </c>
      <c r="AP242" s="780">
        <f t="shared" si="950"/>
        <v>-27.016508999999999</v>
      </c>
      <c r="AQ242" s="780">
        <f t="shared" si="950"/>
        <v>-33.994318999999997</v>
      </c>
      <c r="AR242" s="780">
        <v>-43.143000000000001</v>
      </c>
      <c r="AS242" s="780">
        <v>-52.993000000000002</v>
      </c>
      <c r="AT242" s="780">
        <v>-63.192999999999998</v>
      </c>
      <c r="AU242" s="780">
        <f>AU218</f>
        <v>-78.527000000000001</v>
      </c>
      <c r="AV242" s="780">
        <f>AV218</f>
        <v>-86.150999999999996</v>
      </c>
      <c r="AW242" s="780">
        <f>AW268</f>
        <v>-107.14100000000001</v>
      </c>
      <c r="AX242" s="780">
        <f>AX268</f>
        <v>-126.657</v>
      </c>
      <c r="AY242" s="780">
        <f>AY268</f>
        <v>-141.97200000000001</v>
      </c>
      <c r="AZ242" s="780">
        <f>AZ268</f>
        <v>-156.94200000000001</v>
      </c>
      <c r="BA242" s="780">
        <f>BA268</f>
        <v>-191.065</v>
      </c>
      <c r="BB242" s="780">
        <f t="shared" ref="BB242:BC242" si="951">BB268</f>
        <v>-232.92999999999998</v>
      </c>
      <c r="BC242" s="780">
        <f t="shared" si="951"/>
        <v>-263.68900000000002</v>
      </c>
    </row>
    <row r="243" spans="1:55" x14ac:dyDescent="0.25">
      <c r="A243" s="783" t="s">
        <v>231</v>
      </c>
      <c r="C243" s="772">
        <f>+C242+C238</f>
        <v>17.232999999999983</v>
      </c>
      <c r="D243" s="772">
        <f t="shared" ref="D243:W243" si="952">+D242+D238</f>
        <v>22.349000000000025</v>
      </c>
      <c r="E243" s="773">
        <f t="shared" si="952"/>
        <v>15.32800000000001</v>
      </c>
      <c r="F243" s="772">
        <f t="shared" si="952"/>
        <v>26.861999999999973</v>
      </c>
      <c r="G243" s="772">
        <f t="shared" si="952"/>
        <v>20.9</v>
      </c>
      <c r="H243" s="774">
        <f t="shared" si="952"/>
        <v>29.252000000000002</v>
      </c>
      <c r="I243" s="772">
        <f t="shared" si="952"/>
        <v>24.109999999999978</v>
      </c>
      <c r="J243" s="774">
        <f t="shared" si="952"/>
        <v>43.912000000000027</v>
      </c>
      <c r="K243" s="772">
        <f t="shared" si="952"/>
        <v>33.854000000000028</v>
      </c>
      <c r="L243" s="774">
        <f t="shared" si="952"/>
        <v>50.632000000000005</v>
      </c>
      <c r="M243" s="772">
        <f t="shared" si="952"/>
        <v>40.478000000000023</v>
      </c>
      <c r="N243" s="774">
        <f t="shared" si="952"/>
        <v>53.254999999999896</v>
      </c>
      <c r="O243" s="772">
        <f t="shared" si="952"/>
        <v>57.06400000000005</v>
      </c>
      <c r="P243" s="774">
        <f t="shared" si="952"/>
        <v>62.35199999999989</v>
      </c>
      <c r="Q243" s="772">
        <f t="shared" si="952"/>
        <v>64.133000000000067</v>
      </c>
      <c r="R243" s="774">
        <f t="shared" si="952"/>
        <v>72.011999999999858</v>
      </c>
      <c r="S243" s="772">
        <f t="shared" si="952"/>
        <v>63.07099999999997</v>
      </c>
      <c r="T243" s="774">
        <f t="shared" si="952"/>
        <v>77.829000000000036</v>
      </c>
      <c r="U243" s="772">
        <f t="shared" si="952"/>
        <v>66.731000000000023</v>
      </c>
      <c r="V243" s="774">
        <f t="shared" si="949"/>
        <v>87.332999999999942</v>
      </c>
      <c r="W243" s="772">
        <f t="shared" si="952"/>
        <v>73.662000000000006</v>
      </c>
      <c r="AE243" s="772">
        <f t="shared" ref="AE243:BA243" si="953">+AE242+AE238</f>
        <v>0.53351100000000029</v>
      </c>
      <c r="AF243" s="772">
        <f t="shared" si="953"/>
        <v>0.80633000000000088</v>
      </c>
      <c r="AG243" s="772">
        <f t="shared" si="953"/>
        <v>1.1837199999999992</v>
      </c>
      <c r="AH243" s="772">
        <f t="shared" si="953"/>
        <v>1.6568710000000015</v>
      </c>
      <c r="AI243" s="772">
        <f t="shared" si="953"/>
        <v>1.9936170000000022</v>
      </c>
      <c r="AJ243" s="772">
        <f t="shared" si="953"/>
        <v>1.147129000000005</v>
      </c>
      <c r="AK243" s="772">
        <f t="shared" si="953"/>
        <v>1.3125009999999957</v>
      </c>
      <c r="AL243" s="772">
        <f t="shared" si="953"/>
        <v>3.3336380000000077</v>
      </c>
      <c r="AM243" s="772">
        <f t="shared" si="953"/>
        <v>5.7374389999999984</v>
      </c>
      <c r="AN243" s="772">
        <f t="shared" si="953"/>
        <v>7.4000070000000093</v>
      </c>
      <c r="AO243" s="772">
        <f t="shared" si="953"/>
        <v>10.032754999999991</v>
      </c>
      <c r="AP243" s="772">
        <f t="shared" si="953"/>
        <v>16.289691999999988</v>
      </c>
      <c r="AQ243" s="772">
        <f t="shared" si="953"/>
        <v>22.290106999999999</v>
      </c>
      <c r="AR243" s="772">
        <f t="shared" si="953"/>
        <v>27.367999999999967</v>
      </c>
      <c r="AS243" s="772">
        <f t="shared" si="953"/>
        <v>35.528000000000013</v>
      </c>
      <c r="AT243" s="772">
        <f t="shared" si="953"/>
        <v>39.581999999999923</v>
      </c>
      <c r="AU243" s="772">
        <f t="shared" si="953"/>
        <v>42.189999999999984</v>
      </c>
      <c r="AV243" s="772">
        <f t="shared" si="953"/>
        <v>50.152000000000001</v>
      </c>
      <c r="AW243" s="772">
        <f t="shared" si="953"/>
        <v>68.022000000000006</v>
      </c>
      <c r="AX243" s="772">
        <f t="shared" si="953"/>
        <v>84.486000000000033</v>
      </c>
      <c r="AY243" s="772">
        <f t="shared" si="953"/>
        <v>93.732999999999919</v>
      </c>
      <c r="AZ243" s="772">
        <f t="shared" si="953"/>
        <v>119.41599999999994</v>
      </c>
      <c r="BA243" s="772">
        <f t="shared" si="953"/>
        <v>136.14499999999992</v>
      </c>
      <c r="BB243" s="772">
        <f t="shared" ref="BB243:BC243" si="954">+BB242+BB238</f>
        <v>140.9</v>
      </c>
      <c r="BC243" s="772">
        <f t="shared" si="954"/>
        <v>154.06399999999996</v>
      </c>
    </row>
    <row r="244" spans="1:55" x14ac:dyDescent="0.25">
      <c r="C244" s="772"/>
      <c r="D244" s="772"/>
      <c r="E244" s="773"/>
      <c r="F244" s="772"/>
      <c r="G244" s="772"/>
      <c r="H244" s="774"/>
      <c r="I244" s="772"/>
      <c r="J244" s="774"/>
      <c r="K244" s="772"/>
      <c r="L244" s="774"/>
      <c r="M244" s="772"/>
      <c r="N244" s="774"/>
      <c r="O244" s="772"/>
      <c r="P244" s="774"/>
      <c r="Q244" s="772"/>
      <c r="R244" s="774"/>
      <c r="S244" s="772"/>
      <c r="T244" s="774"/>
      <c r="U244" s="772"/>
      <c r="V244" s="774"/>
      <c r="W244" s="772"/>
      <c r="AE244" s="772"/>
      <c r="AF244" s="772"/>
      <c r="AG244" s="772"/>
      <c r="AH244" s="772"/>
      <c r="AI244" s="772"/>
      <c r="AJ244" s="772"/>
      <c r="AK244" s="772"/>
      <c r="AL244" s="772"/>
      <c r="AM244" s="772"/>
      <c r="AN244" s="772"/>
      <c r="AO244" s="772"/>
      <c r="AP244" s="772"/>
      <c r="AQ244" s="772"/>
      <c r="AR244" s="772"/>
      <c r="AS244" s="772"/>
      <c r="AT244" s="772"/>
      <c r="AU244" s="772"/>
      <c r="AV244" s="772"/>
      <c r="AW244" s="772"/>
      <c r="AX244" s="772"/>
      <c r="AY244" s="772"/>
      <c r="AZ244" s="772"/>
      <c r="BA244" s="772"/>
      <c r="BB244" s="772"/>
      <c r="BC244" s="772"/>
    </row>
    <row r="245" spans="1:55" ht="13" x14ac:dyDescent="0.25">
      <c r="A245" s="760" t="s">
        <v>268</v>
      </c>
      <c r="C245" s="780">
        <v>8.1000000000000003E-2</v>
      </c>
      <c r="D245" s="780">
        <f>AT245-C245</f>
        <v>0.114</v>
      </c>
      <c r="E245" s="781">
        <v>0.106</v>
      </c>
      <c r="F245" s="780">
        <f>AU245-E245</f>
        <v>0.107</v>
      </c>
      <c r="G245" s="780">
        <f t="shared" ref="G245:S245" si="955">G223</f>
        <v>8.7999999999999995E-2</v>
      </c>
      <c r="H245" s="782">
        <f t="shared" si="955"/>
        <v>5.3999999999999992E-2</v>
      </c>
      <c r="I245" s="780">
        <f t="shared" si="955"/>
        <v>3.8E-3</v>
      </c>
      <c r="J245" s="782">
        <f t="shared" si="955"/>
        <v>0.11320000000000001</v>
      </c>
      <c r="K245" s="780">
        <f t="shared" si="955"/>
        <v>0.11</v>
      </c>
      <c r="L245" s="782">
        <f t="shared" si="955"/>
        <v>0.22300000000000003</v>
      </c>
      <c r="M245" s="780">
        <f t="shared" si="955"/>
        <v>4.4999999999999998E-2</v>
      </c>
      <c r="N245" s="782">
        <f t="shared" si="955"/>
        <v>-0.161</v>
      </c>
      <c r="O245" s="780">
        <f t="shared" si="955"/>
        <v>-0.11400000000000002</v>
      </c>
      <c r="P245" s="782">
        <f t="shared" si="955"/>
        <v>-0.33499999999999996</v>
      </c>
      <c r="Q245" s="780">
        <f t="shared" si="955"/>
        <v>7.2000000000000008E-2</v>
      </c>
      <c r="R245" s="782">
        <f t="shared" si="955"/>
        <v>-7.3000000000000009E-2</v>
      </c>
      <c r="S245" s="780">
        <f t="shared" si="955"/>
        <v>5.1999999999999991E-2</v>
      </c>
      <c r="T245" s="782">
        <f>+BB245-S245</f>
        <v>0.91400000000000015</v>
      </c>
      <c r="U245" s="780">
        <f>1.65-0.165</f>
        <v>1.4849999999999999</v>
      </c>
      <c r="V245" s="782">
        <f t="shared" ref="V245:V251" si="956">+BC245-U245</f>
        <v>3.85</v>
      </c>
      <c r="W245" s="780">
        <f>3.682-0.629</f>
        <v>3.0529999999999999</v>
      </c>
      <c r="AE245" s="780">
        <f t="shared" ref="AE245:BA245" si="957">AE223</f>
        <v>-0.1</v>
      </c>
      <c r="AF245" s="780">
        <f t="shared" si="957"/>
        <v>-0.1</v>
      </c>
      <c r="AG245" s="780">
        <f t="shared" si="957"/>
        <v>0</v>
      </c>
      <c r="AH245" s="780">
        <f t="shared" si="957"/>
        <v>2.6848E-2</v>
      </c>
      <c r="AI245" s="780">
        <f t="shared" si="957"/>
        <v>1.5863970000000001</v>
      </c>
      <c r="AJ245" s="780">
        <f t="shared" si="957"/>
        <v>6.6298999999999997E-2</v>
      </c>
      <c r="AK245" s="780">
        <f t="shared" si="957"/>
        <v>4.6339999999999999E-2</v>
      </c>
      <c r="AL245" s="780">
        <f t="shared" si="957"/>
        <v>0.14118900000000001</v>
      </c>
      <c r="AM245" s="780">
        <f t="shared" si="957"/>
        <v>0.299564</v>
      </c>
      <c r="AN245" s="780">
        <f t="shared" si="957"/>
        <v>0.21337100000000001</v>
      </c>
      <c r="AO245" s="780">
        <f t="shared" si="957"/>
        <v>0</v>
      </c>
      <c r="AP245" s="780">
        <f t="shared" si="957"/>
        <v>5.8015999999999998E-2</v>
      </c>
      <c r="AQ245" s="780">
        <f t="shared" si="957"/>
        <v>0.13525999999999999</v>
      </c>
      <c r="AR245" s="780">
        <f t="shared" si="957"/>
        <v>8.1000000000000003E-2</v>
      </c>
      <c r="AS245" s="780">
        <f t="shared" si="957"/>
        <v>0.10199999999999999</v>
      </c>
      <c r="AT245" s="780">
        <f t="shared" si="957"/>
        <v>0.19500000000000001</v>
      </c>
      <c r="AU245" s="780">
        <f t="shared" si="957"/>
        <v>0.21299999999999999</v>
      </c>
      <c r="AV245" s="780">
        <f t="shared" si="957"/>
        <v>0.14199999999999999</v>
      </c>
      <c r="AW245" s="780">
        <f t="shared" si="957"/>
        <v>0.11700000000000001</v>
      </c>
      <c r="AX245" s="780">
        <f t="shared" si="957"/>
        <v>0.33300000000000002</v>
      </c>
      <c r="AY245" s="780">
        <f t="shared" si="957"/>
        <v>-0.11599999999999999</v>
      </c>
      <c r="AZ245" s="780">
        <f t="shared" si="957"/>
        <v>-0.44899999999999995</v>
      </c>
      <c r="BA245" s="780">
        <f t="shared" si="957"/>
        <v>-1.0000000000000009E-3</v>
      </c>
      <c r="BB245" s="780">
        <f>BB223</f>
        <v>0.96600000000000008</v>
      </c>
      <c r="BC245" s="780">
        <f>BC223</f>
        <v>5.335</v>
      </c>
    </row>
    <row r="246" spans="1:55" x14ac:dyDescent="0.25">
      <c r="A246" s="783" t="s">
        <v>272</v>
      </c>
      <c r="C246" s="772">
        <f t="shared" ref="C246:W246" si="958">C245+C243</f>
        <v>17.313999999999982</v>
      </c>
      <c r="D246" s="772">
        <f t="shared" si="958"/>
        <v>22.463000000000026</v>
      </c>
      <c r="E246" s="773">
        <f t="shared" si="958"/>
        <v>15.43400000000001</v>
      </c>
      <c r="F246" s="772">
        <f t="shared" si="958"/>
        <v>26.968999999999973</v>
      </c>
      <c r="G246" s="772">
        <f t="shared" si="958"/>
        <v>20.988</v>
      </c>
      <c r="H246" s="774">
        <f t="shared" si="958"/>
        <v>29.306000000000001</v>
      </c>
      <c r="I246" s="772">
        <f t="shared" si="958"/>
        <v>24.113799999999976</v>
      </c>
      <c r="J246" s="774">
        <f t="shared" si="958"/>
        <v>44.025200000000027</v>
      </c>
      <c r="K246" s="772">
        <f t="shared" si="958"/>
        <v>33.964000000000027</v>
      </c>
      <c r="L246" s="774">
        <f t="shared" si="958"/>
        <v>50.855000000000004</v>
      </c>
      <c r="M246" s="772">
        <f t="shared" si="958"/>
        <v>40.523000000000025</v>
      </c>
      <c r="N246" s="774">
        <f t="shared" si="958"/>
        <v>53.093999999999895</v>
      </c>
      <c r="O246" s="772">
        <f t="shared" si="958"/>
        <v>56.950000000000053</v>
      </c>
      <c r="P246" s="774">
        <f t="shared" si="958"/>
        <v>62.016999999999889</v>
      </c>
      <c r="Q246" s="772">
        <f t="shared" si="958"/>
        <v>64.205000000000069</v>
      </c>
      <c r="R246" s="774">
        <f t="shared" si="958"/>
        <v>71.938999999999865</v>
      </c>
      <c r="S246" s="772">
        <f t="shared" si="958"/>
        <v>63.122999999999969</v>
      </c>
      <c r="T246" s="774">
        <f t="shared" si="958"/>
        <v>78.743000000000038</v>
      </c>
      <c r="U246" s="772">
        <f t="shared" si="958"/>
        <v>68.216000000000022</v>
      </c>
      <c r="V246" s="774">
        <f t="shared" si="956"/>
        <v>91.18299999999995</v>
      </c>
      <c r="W246" s="772">
        <f t="shared" si="958"/>
        <v>76.715000000000003</v>
      </c>
      <c r="AE246" s="772">
        <f t="shared" ref="AE246:BA246" si="959">AE245+AE243</f>
        <v>0.43351100000000031</v>
      </c>
      <c r="AF246" s="772">
        <f t="shared" si="959"/>
        <v>0.7063300000000009</v>
      </c>
      <c r="AG246" s="772">
        <f t="shared" si="959"/>
        <v>1.1837199999999992</v>
      </c>
      <c r="AH246" s="772">
        <f t="shared" si="959"/>
        <v>1.6837190000000015</v>
      </c>
      <c r="AI246" s="772">
        <f t="shared" si="959"/>
        <v>3.580014000000002</v>
      </c>
      <c r="AJ246" s="772">
        <f t="shared" si="959"/>
        <v>1.2134280000000048</v>
      </c>
      <c r="AK246" s="772">
        <f t="shared" si="959"/>
        <v>1.3588409999999957</v>
      </c>
      <c r="AL246" s="772">
        <f t="shared" si="959"/>
        <v>3.4748270000000074</v>
      </c>
      <c r="AM246" s="772">
        <f t="shared" si="959"/>
        <v>6.0370029999999986</v>
      </c>
      <c r="AN246" s="772">
        <f t="shared" si="959"/>
        <v>7.6133780000000097</v>
      </c>
      <c r="AO246" s="772">
        <f t="shared" si="959"/>
        <v>10.032754999999991</v>
      </c>
      <c r="AP246" s="772">
        <f t="shared" si="959"/>
        <v>16.347707999999987</v>
      </c>
      <c r="AQ246" s="772">
        <f t="shared" si="959"/>
        <v>22.425366999999998</v>
      </c>
      <c r="AR246" s="772">
        <f t="shared" si="959"/>
        <v>27.448999999999966</v>
      </c>
      <c r="AS246" s="772">
        <f t="shared" si="959"/>
        <v>35.63000000000001</v>
      </c>
      <c r="AT246" s="772">
        <f t="shared" si="959"/>
        <v>39.776999999999923</v>
      </c>
      <c r="AU246" s="772">
        <f t="shared" si="959"/>
        <v>42.402999999999984</v>
      </c>
      <c r="AV246" s="772">
        <f t="shared" si="959"/>
        <v>50.294000000000004</v>
      </c>
      <c r="AW246" s="772">
        <f t="shared" si="959"/>
        <v>68.13900000000001</v>
      </c>
      <c r="AX246" s="772">
        <f t="shared" si="959"/>
        <v>84.819000000000031</v>
      </c>
      <c r="AY246" s="772">
        <f t="shared" si="959"/>
        <v>93.616999999999919</v>
      </c>
      <c r="AZ246" s="772">
        <f t="shared" si="959"/>
        <v>118.96699999999994</v>
      </c>
      <c r="BA246" s="772">
        <f t="shared" si="959"/>
        <v>136.14399999999992</v>
      </c>
      <c r="BB246" s="772">
        <f t="shared" ref="BB246:BC246" si="960">BB245+BB243</f>
        <v>141.86600000000001</v>
      </c>
      <c r="BC246" s="772">
        <f t="shared" si="960"/>
        <v>159.39899999999997</v>
      </c>
    </row>
    <row r="247" spans="1:55" ht="13" x14ac:dyDescent="0.25">
      <c r="A247" s="760" t="s">
        <v>235</v>
      </c>
      <c r="C247" s="780">
        <v>-3.766</v>
      </c>
      <c r="D247" s="780">
        <f>AT247-C247</f>
        <v>-4.8940000000000001</v>
      </c>
      <c r="E247" s="781">
        <v>-3.5009999999999999</v>
      </c>
      <c r="F247" s="780">
        <f>AU247-E247</f>
        <v>-5.7439999999999998</v>
      </c>
      <c r="G247" s="780">
        <f t="shared" ref="G247:S247" si="961">G225</f>
        <v>-4.2350000000000003</v>
      </c>
      <c r="H247" s="782">
        <f t="shared" si="961"/>
        <v>-5.9609999999999994</v>
      </c>
      <c r="I247" s="780">
        <f t="shared" si="961"/>
        <v>-4.7160000000000002</v>
      </c>
      <c r="J247" s="782">
        <f t="shared" si="961"/>
        <v>-8.4170000000000016</v>
      </c>
      <c r="K247" s="780">
        <f t="shared" si="961"/>
        <v>-6.5140000000000002</v>
      </c>
      <c r="L247" s="782">
        <f t="shared" si="961"/>
        <v>-9.8439999999999994</v>
      </c>
      <c r="M247" s="780">
        <f t="shared" si="961"/>
        <v>-7.4870000000000001</v>
      </c>
      <c r="N247" s="782">
        <f t="shared" si="961"/>
        <v>-10.466000000000001</v>
      </c>
      <c r="O247" s="780">
        <f t="shared" si="961"/>
        <v>-10.716000000000001</v>
      </c>
      <c r="P247" s="782">
        <f t="shared" si="961"/>
        <v>-12.065999999999999</v>
      </c>
      <c r="Q247" s="780">
        <f t="shared" si="961"/>
        <v>-12.180999999999999</v>
      </c>
      <c r="R247" s="782">
        <f t="shared" si="961"/>
        <v>-13.558</v>
      </c>
      <c r="S247" s="780">
        <f t="shared" si="961"/>
        <v>-13.28</v>
      </c>
      <c r="T247" s="782">
        <f>+BB247-S247</f>
        <v>-16.555</v>
      </c>
      <c r="U247" s="780">
        <v>-17.169</v>
      </c>
      <c r="V247" s="782">
        <f t="shared" si="956"/>
        <v>-23.185999999999996</v>
      </c>
      <c r="W247" s="780">
        <v>-19.327999999999999</v>
      </c>
      <c r="AE247" s="780">
        <f>'CapIQ - as disclosed'!G27/1000000</f>
        <v>-0.10513699999999999</v>
      </c>
      <c r="AF247" s="780">
        <f>'CapIQ - as disclosed'!H27/1000000</f>
        <v>-0.234599</v>
      </c>
      <c r="AG247" s="780">
        <f>'CapIQ - as disclosed'!I27/1000000</f>
        <v>-0.493697</v>
      </c>
      <c r="AH247" s="780">
        <f>'CapIQ - as disclosed'!J27/1000000</f>
        <v>-0.50621799999999995</v>
      </c>
      <c r="AI247" s="780">
        <f>'CapIQ - as disclosed'!K27/1000000</f>
        <v>-0.64450600000000002</v>
      </c>
      <c r="AJ247" s="780">
        <f>'CapIQ - as disclosed'!L27/1000000</f>
        <v>-0.39427699999999999</v>
      </c>
      <c r="AK247" s="780">
        <f>'CapIQ - as disclosed'!M27/1000000</f>
        <v>-0.55082399999999998</v>
      </c>
      <c r="AL247" s="780">
        <f>'CapIQ - as disclosed'!N27/1000000</f>
        <v>-1.4077809999999999</v>
      </c>
      <c r="AM247" s="780">
        <f>'CapIQ - as disclosed'!O27/1000000</f>
        <v>-2.1146470000000002</v>
      </c>
      <c r="AN247" s="780">
        <f>'CapIQ - as disclosed'!P27/1000000</f>
        <v>-2.466958</v>
      </c>
      <c r="AO247" s="780">
        <f>'CapIQ - as disclosed'!Q27/1000000</f>
        <v>-2.9612159999999998</v>
      </c>
      <c r="AP247" s="780">
        <f>'CapIQ - as disclosed'!R27/1000000</f>
        <v>-4.8133999999999997</v>
      </c>
      <c r="AQ247" s="780">
        <f>'CapIQ - as disclosed'!S27/1000000</f>
        <v>-5.2292509999999996</v>
      </c>
      <c r="AR247" s="780">
        <v>-6.8639999999999999</v>
      </c>
      <c r="AS247" s="780">
        <v>-8.2780000000000005</v>
      </c>
      <c r="AT247" s="780">
        <v>-8.66</v>
      </c>
      <c r="AU247" s="780">
        <f t="shared" ref="AU247:BA247" si="962">AU225</f>
        <v>-9.2449999999999992</v>
      </c>
      <c r="AV247" s="780">
        <f t="shared" si="962"/>
        <v>-10.196</v>
      </c>
      <c r="AW247" s="780">
        <f t="shared" si="962"/>
        <v>-13.133000000000001</v>
      </c>
      <c r="AX247" s="780">
        <f t="shared" si="962"/>
        <v>-16.358000000000001</v>
      </c>
      <c r="AY247" s="780">
        <f t="shared" si="962"/>
        <v>-17.952999999999999</v>
      </c>
      <c r="AZ247" s="780">
        <f t="shared" si="962"/>
        <v>-22.781999999999996</v>
      </c>
      <c r="BA247" s="780">
        <f t="shared" si="962"/>
        <v>-25.739000000000001</v>
      </c>
      <c r="BB247" s="780">
        <f t="shared" ref="BB247:BC247" si="963">BB225</f>
        <v>-29.835000000000001</v>
      </c>
      <c r="BC247" s="780">
        <f t="shared" si="963"/>
        <v>-40.354999999999997</v>
      </c>
    </row>
    <row r="248" spans="1:55" x14ac:dyDescent="0.25">
      <c r="A248" s="783" t="s">
        <v>270</v>
      </c>
      <c r="C248" s="772">
        <f t="shared" ref="C248" si="964">SUM(C246:C247)</f>
        <v>13.547999999999982</v>
      </c>
      <c r="D248" s="772">
        <f t="shared" ref="D248" si="965">SUM(D246:D247)</f>
        <v>17.569000000000024</v>
      </c>
      <c r="E248" s="773">
        <f t="shared" ref="E248:F248" si="966">SUM(E246:E247)</f>
        <v>11.93300000000001</v>
      </c>
      <c r="F248" s="772">
        <f t="shared" si="966"/>
        <v>21.224999999999973</v>
      </c>
      <c r="G248" s="772">
        <f t="shared" ref="G248:H248" si="967">SUM(G246:G247)</f>
        <v>16.753</v>
      </c>
      <c r="H248" s="774">
        <f t="shared" si="967"/>
        <v>23.345000000000002</v>
      </c>
      <c r="I248" s="772">
        <f t="shared" ref="I248:W248" si="968">SUM(I246:I247)</f>
        <v>19.397799999999975</v>
      </c>
      <c r="J248" s="774">
        <f t="shared" si="968"/>
        <v>35.608200000000025</v>
      </c>
      <c r="K248" s="772">
        <f t="shared" si="968"/>
        <v>27.450000000000028</v>
      </c>
      <c r="L248" s="774">
        <f t="shared" si="968"/>
        <v>41.011000000000003</v>
      </c>
      <c r="M248" s="772">
        <f t="shared" si="968"/>
        <v>33.036000000000023</v>
      </c>
      <c r="N248" s="774">
        <f t="shared" si="968"/>
        <v>42.627999999999894</v>
      </c>
      <c r="O248" s="772">
        <f t="shared" si="968"/>
        <v>46.234000000000052</v>
      </c>
      <c r="P248" s="774">
        <f t="shared" si="968"/>
        <v>49.950999999999894</v>
      </c>
      <c r="Q248" s="772">
        <f t="shared" si="968"/>
        <v>52.024000000000072</v>
      </c>
      <c r="R248" s="774">
        <f t="shared" si="968"/>
        <v>58.380999999999865</v>
      </c>
      <c r="S248" s="772">
        <f t="shared" si="968"/>
        <v>49.842999999999968</v>
      </c>
      <c r="T248" s="774">
        <f t="shared" si="968"/>
        <v>62.188000000000038</v>
      </c>
      <c r="U248" s="772">
        <f t="shared" si="968"/>
        <v>51.047000000000025</v>
      </c>
      <c r="V248" s="774">
        <f t="shared" si="956"/>
        <v>67.996999999999957</v>
      </c>
      <c r="W248" s="772">
        <f t="shared" si="968"/>
        <v>57.387</v>
      </c>
      <c r="AE248" s="772">
        <f t="shared" ref="AE248:AQ248" si="969">SUM(AE246:AE247)</f>
        <v>0.32837400000000033</v>
      </c>
      <c r="AF248" s="772">
        <f t="shared" si="969"/>
        <v>0.4717310000000009</v>
      </c>
      <c r="AG248" s="772">
        <f t="shared" si="969"/>
        <v>0.69002299999999916</v>
      </c>
      <c r="AH248" s="772">
        <f t="shared" si="969"/>
        <v>1.1775010000000017</v>
      </c>
      <c r="AI248" s="772">
        <f t="shared" si="969"/>
        <v>2.9355080000000022</v>
      </c>
      <c r="AJ248" s="772">
        <f t="shared" si="969"/>
        <v>0.81915100000000485</v>
      </c>
      <c r="AK248" s="772">
        <f t="shared" si="969"/>
        <v>0.80801699999999577</v>
      </c>
      <c r="AL248" s="772">
        <f t="shared" si="969"/>
        <v>2.0670460000000075</v>
      </c>
      <c r="AM248" s="772">
        <f t="shared" si="969"/>
        <v>3.9223559999999984</v>
      </c>
      <c r="AN248" s="772">
        <f t="shared" si="969"/>
        <v>5.1464200000000098</v>
      </c>
      <c r="AO248" s="772">
        <f t="shared" si="969"/>
        <v>7.0715389999999907</v>
      </c>
      <c r="AP248" s="772">
        <f t="shared" si="969"/>
        <v>11.534307999999987</v>
      </c>
      <c r="AQ248" s="772">
        <f t="shared" si="969"/>
        <v>17.196115999999996</v>
      </c>
      <c r="AR248" s="772">
        <f>SUM(AR246:AR247)</f>
        <v>20.584999999999965</v>
      </c>
      <c r="AS248" s="772">
        <f t="shared" ref="AS248:AT248" si="970">SUM(AS246:AS247)</f>
        <v>27.352000000000011</v>
      </c>
      <c r="AT248" s="772">
        <f t="shared" si="970"/>
        <v>31.116999999999923</v>
      </c>
      <c r="AU248" s="772">
        <f t="shared" ref="AU248:AV248" si="971">SUM(AU246:AU247)</f>
        <v>33.157999999999987</v>
      </c>
      <c r="AV248" s="772">
        <f t="shared" si="971"/>
        <v>40.098000000000006</v>
      </c>
      <c r="AW248" s="772">
        <f t="shared" ref="AW248:BA248" si="972">SUM(AW246:AW247)</f>
        <v>55.006000000000007</v>
      </c>
      <c r="AX248" s="772">
        <f t="shared" si="972"/>
        <v>68.461000000000027</v>
      </c>
      <c r="AY248" s="772">
        <f t="shared" si="972"/>
        <v>75.663999999999916</v>
      </c>
      <c r="AZ248" s="772">
        <f t="shared" si="972"/>
        <v>96.184999999999945</v>
      </c>
      <c r="BA248" s="772">
        <f t="shared" si="972"/>
        <v>110.40499999999992</v>
      </c>
      <c r="BB248" s="772">
        <f t="shared" ref="BB248:BC248" si="973">SUM(BB246:BB247)</f>
        <v>112.03100000000001</v>
      </c>
      <c r="BC248" s="772">
        <f t="shared" si="973"/>
        <v>119.04399999999998</v>
      </c>
    </row>
    <row r="249" spans="1:55" ht="13" x14ac:dyDescent="0.25">
      <c r="A249" s="760" t="s">
        <v>273</v>
      </c>
      <c r="C249" s="780">
        <v>0</v>
      </c>
      <c r="D249" s="780">
        <v>0</v>
      </c>
      <c r="E249" s="781">
        <v>0</v>
      </c>
      <c r="F249" s="780">
        <v>0</v>
      </c>
      <c r="G249" s="780">
        <v>0</v>
      </c>
      <c r="H249" s="782">
        <f>AV249-G249</f>
        <v>0</v>
      </c>
      <c r="I249" s="780">
        <v>0</v>
      </c>
      <c r="J249" s="782">
        <v>0</v>
      </c>
      <c r="K249" s="780">
        <v>0</v>
      </c>
      <c r="L249" s="782">
        <v>0</v>
      </c>
      <c r="M249" s="780">
        <v>0</v>
      </c>
      <c r="N249" s="782">
        <v>0</v>
      </c>
      <c r="O249" s="780">
        <v>0</v>
      </c>
      <c r="P249" s="782">
        <v>0</v>
      </c>
      <c r="Q249" s="780">
        <v>0</v>
      </c>
      <c r="R249" s="782">
        <v>0</v>
      </c>
      <c r="S249" s="780">
        <v>0</v>
      </c>
      <c r="T249" s="782">
        <f>+BB249-S249</f>
        <v>-1.0029999999999999</v>
      </c>
      <c r="U249" s="780">
        <v>0.67900000000000005</v>
      </c>
      <c r="V249" s="782">
        <f t="shared" si="956"/>
        <v>-0.78500000000000003</v>
      </c>
      <c r="W249" s="780">
        <v>1.746</v>
      </c>
      <c r="AE249" s="780">
        <f>('CapIQ - as disclosed'!G29+'CapIQ - as disclosed'!G28)/1000000</f>
        <v>-0.16304199999999999</v>
      </c>
      <c r="AF249" s="780">
        <f>('CapIQ - as disclosed'!H29+'CapIQ - as disclosed'!H28)/1000000</f>
        <v>-0.18548600000000001</v>
      </c>
      <c r="AG249" s="780">
        <f>('CapIQ - as disclosed'!I29+'CapIQ - as disclosed'!I28)/1000000</f>
        <v>0</v>
      </c>
      <c r="AH249" s="780">
        <f>('CapIQ - as disclosed'!J29+'CapIQ - as disclosed'!J28)/1000000</f>
        <v>0</v>
      </c>
      <c r="AI249" s="780">
        <f>('CapIQ - as disclosed'!K29+'CapIQ - as disclosed'!K28)/1000000</f>
        <v>0</v>
      </c>
      <c r="AJ249" s="780">
        <f>('CapIQ - as disclosed'!L29+'CapIQ - as disclosed'!L28)/1000000</f>
        <v>0</v>
      </c>
      <c r="AK249" s="780">
        <f>('CapIQ - as disclosed'!M29+'CapIQ - as disclosed'!M28)/1000000</f>
        <v>0</v>
      </c>
      <c r="AL249" s="780">
        <f>('CapIQ - as disclosed'!N29+'CapIQ - as disclosed'!N28)/1000000</f>
        <v>0</v>
      </c>
      <c r="AM249" s="780">
        <f>('CapIQ - as disclosed'!O29+'CapIQ - as disclosed'!O28)/1000000</f>
        <v>0</v>
      </c>
      <c r="AN249" s="780">
        <f>('CapIQ - as disclosed'!P29+'CapIQ - as disclosed'!P28)/1000000</f>
        <v>0</v>
      </c>
      <c r="AO249" s="780">
        <f>('CapIQ - as disclosed'!Q29+'CapIQ - as disclosed'!Q28)/1000000</f>
        <v>0</v>
      </c>
      <c r="AP249" s="780">
        <f>('CapIQ - as disclosed'!R29+'CapIQ - as disclosed'!R28)/1000000</f>
        <v>0</v>
      </c>
      <c r="AQ249" s="780">
        <f>('CapIQ - as disclosed'!S29+'CapIQ - as disclosed'!S28)/1000000</f>
        <v>0</v>
      </c>
      <c r="AR249" s="780">
        <v>0</v>
      </c>
      <c r="AS249" s="780">
        <v>0</v>
      </c>
      <c r="AT249" s="780">
        <v>0</v>
      </c>
      <c r="AU249" s="780">
        <v>0</v>
      </c>
      <c r="AV249" s="780">
        <v>0</v>
      </c>
      <c r="AW249" s="780">
        <v>0</v>
      </c>
      <c r="AX249" s="780">
        <v>0</v>
      </c>
      <c r="AY249" s="780">
        <v>0</v>
      </c>
      <c r="AZ249" s="780">
        <v>0</v>
      </c>
      <c r="BA249" s="780">
        <v>0</v>
      </c>
      <c r="BB249" s="780">
        <v>-1.0029999999999999</v>
      </c>
      <c r="BC249" s="780">
        <v>-0.106</v>
      </c>
    </row>
    <row r="250" spans="1:55" ht="13" x14ac:dyDescent="0.25">
      <c r="A250" s="783" t="s">
        <v>274</v>
      </c>
      <c r="C250" s="780">
        <f t="shared" ref="C250" si="974">SUM(C248:C249)</f>
        <v>13.547999999999982</v>
      </c>
      <c r="D250" s="780">
        <f t="shared" ref="D250" si="975">SUM(D248:D249)</f>
        <v>17.569000000000024</v>
      </c>
      <c r="E250" s="781">
        <f t="shared" ref="E250:F250" si="976">SUM(E248:E249)</f>
        <v>11.93300000000001</v>
      </c>
      <c r="F250" s="780">
        <f t="shared" si="976"/>
        <v>21.224999999999973</v>
      </c>
      <c r="G250" s="780">
        <f t="shared" ref="G250:H250" si="977">SUM(G248:G249)</f>
        <v>16.753</v>
      </c>
      <c r="H250" s="782">
        <f t="shared" si="977"/>
        <v>23.345000000000002</v>
      </c>
      <c r="I250" s="780">
        <f t="shared" ref="I250:J250" si="978">SUM(I248:I249)</f>
        <v>19.397799999999975</v>
      </c>
      <c r="J250" s="782">
        <f t="shared" si="978"/>
        <v>35.608200000000025</v>
      </c>
      <c r="K250" s="780">
        <f t="shared" ref="K250:S250" si="979">SUM(K248:K249)</f>
        <v>27.450000000000028</v>
      </c>
      <c r="L250" s="782">
        <f t="shared" si="979"/>
        <v>41.011000000000003</v>
      </c>
      <c r="M250" s="780">
        <f t="shared" si="979"/>
        <v>33.036000000000023</v>
      </c>
      <c r="N250" s="782">
        <f t="shared" si="979"/>
        <v>42.627999999999894</v>
      </c>
      <c r="O250" s="780">
        <f t="shared" si="979"/>
        <v>46.234000000000052</v>
      </c>
      <c r="P250" s="782">
        <f t="shared" si="979"/>
        <v>49.950999999999894</v>
      </c>
      <c r="Q250" s="780">
        <f t="shared" si="979"/>
        <v>52.024000000000072</v>
      </c>
      <c r="R250" s="782">
        <f t="shared" si="979"/>
        <v>58.380999999999865</v>
      </c>
      <c r="S250" s="780">
        <f t="shared" si="979"/>
        <v>49.842999999999968</v>
      </c>
      <c r="T250" s="782">
        <f t="shared" ref="T250:U250" si="980">SUM(T248:T249)</f>
        <v>61.185000000000038</v>
      </c>
      <c r="U250" s="780">
        <f t="shared" si="980"/>
        <v>51.726000000000028</v>
      </c>
      <c r="V250" s="782">
        <f t="shared" si="956"/>
        <v>67.211999999999961</v>
      </c>
      <c r="W250" s="780">
        <f t="shared" ref="W250" si="981">SUM(W248:W249)</f>
        <v>59.133000000000003</v>
      </c>
      <c r="AE250" s="780">
        <f t="shared" ref="AE250:AQ250" si="982">SUM(AE248:AE249)</f>
        <v>0.16533200000000034</v>
      </c>
      <c r="AF250" s="780">
        <f t="shared" si="982"/>
        <v>0.28624500000000086</v>
      </c>
      <c r="AG250" s="780">
        <f t="shared" si="982"/>
        <v>0.69002299999999916</v>
      </c>
      <c r="AH250" s="780">
        <f t="shared" si="982"/>
        <v>1.1775010000000017</v>
      </c>
      <c r="AI250" s="780">
        <f t="shared" si="982"/>
        <v>2.9355080000000022</v>
      </c>
      <c r="AJ250" s="780">
        <f t="shared" si="982"/>
        <v>0.81915100000000485</v>
      </c>
      <c r="AK250" s="780">
        <f t="shared" si="982"/>
        <v>0.80801699999999577</v>
      </c>
      <c r="AL250" s="780">
        <f t="shared" si="982"/>
        <v>2.0670460000000075</v>
      </c>
      <c r="AM250" s="780">
        <f t="shared" si="982"/>
        <v>3.9223559999999984</v>
      </c>
      <c r="AN250" s="780">
        <f t="shared" si="982"/>
        <v>5.1464200000000098</v>
      </c>
      <c r="AO250" s="780">
        <f t="shared" si="982"/>
        <v>7.0715389999999907</v>
      </c>
      <c r="AP250" s="780">
        <f t="shared" si="982"/>
        <v>11.534307999999987</v>
      </c>
      <c r="AQ250" s="780">
        <f t="shared" si="982"/>
        <v>17.196115999999996</v>
      </c>
      <c r="AR250" s="780">
        <f>SUM(AR248:AR249)</f>
        <v>20.584999999999965</v>
      </c>
      <c r="AS250" s="780">
        <f t="shared" ref="AS250:AT250" si="983">SUM(AS248:AS249)</f>
        <v>27.352000000000011</v>
      </c>
      <c r="AT250" s="780">
        <f t="shared" si="983"/>
        <v>31.116999999999923</v>
      </c>
      <c r="AU250" s="780">
        <f t="shared" ref="AU250:AV250" si="984">SUM(AU248:AU249)</f>
        <v>33.157999999999987</v>
      </c>
      <c r="AV250" s="780">
        <f t="shared" si="984"/>
        <v>40.098000000000006</v>
      </c>
      <c r="AW250" s="780">
        <f t="shared" ref="AW250:AX250" si="985">SUM(AW248:AW249)</f>
        <v>55.006000000000007</v>
      </c>
      <c r="AX250" s="780">
        <f t="shared" si="985"/>
        <v>68.461000000000027</v>
      </c>
      <c r="AY250" s="780">
        <f t="shared" ref="AY250:BA250" si="986">SUM(AY248:AY249)</f>
        <v>75.663999999999916</v>
      </c>
      <c r="AZ250" s="780">
        <f t="shared" si="986"/>
        <v>96.184999999999945</v>
      </c>
      <c r="BA250" s="780">
        <f t="shared" si="986"/>
        <v>110.40499999999992</v>
      </c>
      <c r="BB250" s="780">
        <f t="shared" ref="BB250:BC250" si="987">SUM(BB248:BB249)</f>
        <v>111.02800000000001</v>
      </c>
      <c r="BC250" s="780">
        <f t="shared" si="987"/>
        <v>118.93799999999999</v>
      </c>
    </row>
    <row r="251" spans="1:55" x14ac:dyDescent="0.25">
      <c r="A251" s="799" t="s">
        <v>275</v>
      </c>
      <c r="C251" s="772">
        <f t="shared" ref="C251" si="988">C250</f>
        <v>13.547999999999982</v>
      </c>
      <c r="D251" s="772">
        <f t="shared" ref="D251" si="989">D250</f>
        <v>17.569000000000024</v>
      </c>
      <c r="E251" s="773">
        <f t="shared" ref="E251:F251" si="990">E250</f>
        <v>11.93300000000001</v>
      </c>
      <c r="F251" s="772">
        <f t="shared" si="990"/>
        <v>21.224999999999973</v>
      </c>
      <c r="G251" s="772">
        <f t="shared" ref="G251:H251" si="991">G250</f>
        <v>16.753</v>
      </c>
      <c r="H251" s="774">
        <f t="shared" si="991"/>
        <v>23.345000000000002</v>
      </c>
      <c r="I251" s="772">
        <f t="shared" ref="I251:J251" si="992">I250</f>
        <v>19.397799999999975</v>
      </c>
      <c r="J251" s="774">
        <f t="shared" si="992"/>
        <v>35.608200000000025</v>
      </c>
      <c r="K251" s="772">
        <f t="shared" ref="K251:S251" si="993">K250</f>
        <v>27.450000000000028</v>
      </c>
      <c r="L251" s="774">
        <f t="shared" si="993"/>
        <v>41.011000000000003</v>
      </c>
      <c r="M251" s="772">
        <f t="shared" si="993"/>
        <v>33.036000000000023</v>
      </c>
      <c r="N251" s="774">
        <f t="shared" si="993"/>
        <v>42.627999999999894</v>
      </c>
      <c r="O251" s="772">
        <f t="shared" si="993"/>
        <v>46.234000000000052</v>
      </c>
      <c r="P251" s="774">
        <f t="shared" si="993"/>
        <v>49.950999999999894</v>
      </c>
      <c r="Q251" s="772">
        <f t="shared" si="993"/>
        <v>52.024000000000072</v>
      </c>
      <c r="R251" s="774">
        <f t="shared" si="993"/>
        <v>58.380999999999865</v>
      </c>
      <c r="S251" s="772">
        <f t="shared" si="993"/>
        <v>49.842999999999968</v>
      </c>
      <c r="T251" s="774">
        <f t="shared" ref="T251:U251" si="994">T250</f>
        <v>61.185000000000038</v>
      </c>
      <c r="U251" s="772">
        <f t="shared" si="994"/>
        <v>51.726000000000028</v>
      </c>
      <c r="V251" s="774">
        <f t="shared" si="956"/>
        <v>67.211999999999961</v>
      </c>
      <c r="W251" s="772">
        <f t="shared" ref="W251" si="995">W250</f>
        <v>59.133000000000003</v>
      </c>
      <c r="AE251" s="772">
        <f t="shared" ref="AE251:AQ251" si="996">AE250</f>
        <v>0.16533200000000034</v>
      </c>
      <c r="AF251" s="772">
        <f t="shared" si="996"/>
        <v>0.28624500000000086</v>
      </c>
      <c r="AG251" s="772">
        <f t="shared" si="996"/>
        <v>0.69002299999999916</v>
      </c>
      <c r="AH251" s="772">
        <f t="shared" si="996"/>
        <v>1.1775010000000017</v>
      </c>
      <c r="AI251" s="772">
        <f t="shared" si="996"/>
        <v>2.9355080000000022</v>
      </c>
      <c r="AJ251" s="772">
        <f t="shared" si="996"/>
        <v>0.81915100000000485</v>
      </c>
      <c r="AK251" s="772">
        <f t="shared" si="996"/>
        <v>0.80801699999999577</v>
      </c>
      <c r="AL251" s="772">
        <f t="shared" si="996"/>
        <v>2.0670460000000075</v>
      </c>
      <c r="AM251" s="772">
        <f t="shared" si="996"/>
        <v>3.9223559999999984</v>
      </c>
      <c r="AN251" s="772">
        <f t="shared" si="996"/>
        <v>5.1464200000000098</v>
      </c>
      <c r="AO251" s="772">
        <f t="shared" si="996"/>
        <v>7.0715389999999907</v>
      </c>
      <c r="AP251" s="772">
        <f t="shared" si="996"/>
        <v>11.534307999999987</v>
      </c>
      <c r="AQ251" s="772">
        <f t="shared" si="996"/>
        <v>17.196115999999996</v>
      </c>
      <c r="AR251" s="772">
        <f>AR250</f>
        <v>20.584999999999965</v>
      </c>
      <c r="AS251" s="772">
        <f t="shared" ref="AS251:AT251" si="997">AS250</f>
        <v>27.352000000000011</v>
      </c>
      <c r="AT251" s="772">
        <f t="shared" si="997"/>
        <v>31.116999999999923</v>
      </c>
      <c r="AU251" s="772">
        <f t="shared" ref="AU251:AV251" si="998">AU250</f>
        <v>33.157999999999987</v>
      </c>
      <c r="AV251" s="772">
        <f t="shared" si="998"/>
        <v>40.098000000000006</v>
      </c>
      <c r="AW251" s="772">
        <f t="shared" ref="AW251:AX251" si="999">AW250</f>
        <v>55.006000000000007</v>
      </c>
      <c r="AX251" s="772">
        <f t="shared" si="999"/>
        <v>68.461000000000027</v>
      </c>
      <c r="AY251" s="772">
        <f t="shared" ref="AY251:BA251" si="1000">AY250</f>
        <v>75.663999999999916</v>
      </c>
      <c r="AZ251" s="772">
        <f t="shared" si="1000"/>
        <v>96.184999999999945</v>
      </c>
      <c r="BA251" s="772">
        <f t="shared" si="1000"/>
        <v>110.40499999999992</v>
      </c>
      <c r="BB251" s="772">
        <f t="shared" ref="BB251:BC251" si="1001">BB250</f>
        <v>111.02800000000001</v>
      </c>
      <c r="BC251" s="772">
        <f t="shared" si="1001"/>
        <v>118.93799999999999</v>
      </c>
    </row>
    <row r="252" spans="1:55" x14ac:dyDescent="0.25">
      <c r="E252" s="790"/>
      <c r="F252" s="824"/>
      <c r="H252" s="825"/>
      <c r="I252" s="824"/>
      <c r="J252" s="825"/>
      <c r="K252" s="824"/>
      <c r="L252" s="825"/>
      <c r="M252" s="824"/>
      <c r="N252" s="825"/>
      <c r="O252" s="824"/>
      <c r="P252" s="825"/>
      <c r="Q252" s="824"/>
      <c r="R252" s="825"/>
      <c r="S252" s="824"/>
      <c r="T252" s="825"/>
      <c r="U252" s="824"/>
      <c r="V252" s="825"/>
      <c r="W252" s="824"/>
      <c r="AR252" s="824"/>
      <c r="AS252" s="824"/>
      <c r="AT252" s="824"/>
      <c r="AU252" s="824"/>
      <c r="AV252" s="824"/>
      <c r="AW252" s="824"/>
      <c r="AX252" s="824"/>
      <c r="AY252" s="824"/>
      <c r="AZ252" s="824"/>
      <c r="BA252" s="824"/>
      <c r="BB252" s="824"/>
      <c r="BC252" s="824"/>
    </row>
    <row r="253" spans="1:55" s="769" customFormat="1" outlineLevel="1" collapsed="1" x14ac:dyDescent="0.25">
      <c r="A253" s="771" t="s">
        <v>276</v>
      </c>
      <c r="C253" s="861"/>
      <c r="D253" s="861"/>
      <c r="E253" s="862"/>
      <c r="F253" s="861"/>
      <c r="G253" s="861"/>
      <c r="H253" s="863"/>
      <c r="I253" s="861"/>
      <c r="J253" s="863"/>
      <c r="K253" s="861"/>
      <c r="L253" s="863"/>
      <c r="M253" s="861"/>
      <c r="N253" s="863"/>
      <c r="O253" s="861"/>
      <c r="P253" s="863"/>
      <c r="Q253" s="861"/>
      <c r="R253" s="863"/>
      <c r="S253" s="861"/>
      <c r="T253" s="863"/>
      <c r="U253" s="861"/>
      <c r="V253" s="863"/>
      <c r="W253" s="861"/>
      <c r="AE253" s="770"/>
      <c r="AF253" s="770"/>
      <c r="AG253" s="770"/>
      <c r="AH253" s="770"/>
      <c r="AI253" s="770"/>
      <c r="AJ253" s="770"/>
      <c r="AK253" s="770"/>
      <c r="AL253" s="770"/>
      <c r="AM253" s="770"/>
      <c r="AN253" s="770"/>
      <c r="AO253" s="770"/>
      <c r="AP253" s="770"/>
      <c r="AQ253" s="770"/>
      <c r="AR253" s="770"/>
      <c r="AS253" s="770"/>
      <c r="AT253" s="770"/>
      <c r="AU253" s="770"/>
      <c r="AV253" s="770"/>
      <c r="AW253" s="770"/>
      <c r="AX253" s="770"/>
      <c r="AY253" s="770"/>
      <c r="AZ253" s="770"/>
      <c r="BA253" s="770"/>
      <c r="BB253" s="770"/>
      <c r="BC253" s="770"/>
    </row>
    <row r="254" spans="1:55" s="769" customFormat="1" outlineLevel="1" x14ac:dyDescent="0.25">
      <c r="A254" s="763"/>
      <c r="C254" s="861"/>
      <c r="D254" s="861"/>
      <c r="E254" s="862"/>
      <c r="F254" s="861"/>
      <c r="G254" s="861"/>
      <c r="H254" s="863"/>
      <c r="I254" s="861"/>
      <c r="J254" s="863"/>
      <c r="K254" s="861"/>
      <c r="L254" s="863"/>
      <c r="M254" s="861"/>
      <c r="N254" s="863"/>
      <c r="O254" s="861"/>
      <c r="P254" s="863"/>
      <c r="Q254" s="861"/>
      <c r="R254" s="863"/>
      <c r="S254" s="861"/>
      <c r="T254" s="863"/>
      <c r="U254" s="861"/>
      <c r="V254" s="863"/>
      <c r="W254" s="861"/>
      <c r="AE254" s="770"/>
      <c r="AF254" s="770"/>
      <c r="AG254" s="770"/>
      <c r="AH254" s="770"/>
      <c r="AI254" s="770"/>
      <c r="AJ254" s="770"/>
      <c r="AK254" s="770"/>
      <c r="AL254" s="770"/>
      <c r="AM254" s="770"/>
      <c r="AN254" s="770"/>
      <c r="AO254" s="770"/>
      <c r="AP254" s="770"/>
      <c r="AQ254" s="770"/>
      <c r="AR254" s="770"/>
      <c r="AS254" s="770"/>
      <c r="AT254" s="770"/>
      <c r="AU254" s="770"/>
      <c r="AV254" s="770"/>
      <c r="AW254" s="770"/>
      <c r="AX254" s="770"/>
      <c r="AY254" s="770"/>
      <c r="AZ254" s="770"/>
      <c r="BA254" s="770"/>
      <c r="BB254" s="770"/>
      <c r="BC254" s="770"/>
    </row>
    <row r="255" spans="1:55" outlineLevel="1" x14ac:dyDescent="0.25">
      <c r="A255" s="760" t="s">
        <v>277</v>
      </c>
      <c r="C255" s="772">
        <f>'CapIQ - as disclosed'!Y11/1000</f>
        <v>265.82</v>
      </c>
      <c r="D255" s="772">
        <f>'CapIQ - as disclosed'!Z11/1000</f>
        <v>330.26400000000001</v>
      </c>
      <c r="E255" s="773">
        <f>'CapIQ - as disclosed'!AA11/1000</f>
        <v>293.59100000000001</v>
      </c>
      <c r="F255" s="772">
        <f>AU255-E255</f>
        <v>378.76</v>
      </c>
      <c r="G255" s="772">
        <v>378.5</v>
      </c>
      <c r="H255" s="774">
        <f>AV255-G255</f>
        <v>453.976</v>
      </c>
      <c r="I255" s="772">
        <v>472.84300000000002</v>
      </c>
      <c r="J255" s="774">
        <f>+Canalyst!F46</f>
        <v>608.83500000000004</v>
      </c>
      <c r="K255" s="772">
        <f>+Canalyst!G46</f>
        <v>607.75600000000009</v>
      </c>
      <c r="L255" s="774">
        <f>+Canalyst!H46</f>
        <v>806.30799999999999</v>
      </c>
      <c r="M255" s="772">
        <f>+Canalyst!I46</f>
        <v>727.72200000000009</v>
      </c>
      <c r="N255" s="774">
        <f>+Canalyst!J46</f>
        <v>918.46900000000005</v>
      </c>
      <c r="O255" s="772">
        <f>+Canalyst!K46</f>
        <v>870.81599999999992</v>
      </c>
      <c r="P255" s="774">
        <f>+Canalyst!L46</f>
        <v>1067.624</v>
      </c>
      <c r="Q255" s="772">
        <f>+Canalyst!M46</f>
        <v>1158.3409999999999</v>
      </c>
      <c r="R255" s="774">
        <f>+Canalyst!N46</f>
        <v>1349.1960000000001</v>
      </c>
      <c r="S255" s="772">
        <f>+Canalyst!O46</f>
        <v>1214.7279999999998</v>
      </c>
      <c r="T255" s="774">
        <f>+BB255-S255</f>
        <v>1348.2720000000002</v>
      </c>
      <c r="U255" s="772">
        <f>+U12</f>
        <v>1263.5</v>
      </c>
      <c r="V255" s="774">
        <f t="shared" ref="V255" si="1002">+BC255-U255</f>
        <v>1588.6999999999998</v>
      </c>
      <c r="W255" s="772">
        <f>+W12</f>
        <v>1507.1000000000001</v>
      </c>
      <c r="Z255" s="772">
        <f>'CapIQ - as disclosed'!B11/1000000</f>
        <v>1.8</v>
      </c>
      <c r="AA255" s="772">
        <f>'CapIQ - as disclosed'!C11/1000000</f>
        <v>3.3957359999999999</v>
      </c>
      <c r="AB255" s="772">
        <f>'CapIQ - as disclosed'!D11/1000000</f>
        <v>4.7642249999999997</v>
      </c>
      <c r="AC255" s="772">
        <f>'CapIQ - as disclosed'!E11/1000000</f>
        <v>9.0365660000000005</v>
      </c>
      <c r="AD255" s="772">
        <f>'CapIQ - as disclosed'!F11/1000000</f>
        <v>16.317861000000001</v>
      </c>
      <c r="AE255" s="772">
        <f>'CapIQ - as disclosed'!G11/1000000</f>
        <v>18.367162</v>
      </c>
      <c r="AF255" s="772">
        <f>'CapIQ - as disclosed'!H11/1000000</f>
        <v>31.868970000000001</v>
      </c>
      <c r="AG255" s="772">
        <f>'CapIQ - as disclosed'!I11/1000000</f>
        <v>38.608544999999999</v>
      </c>
      <c r="AH255" s="772">
        <f>'CapIQ - as disclosed'!J11/1000000</f>
        <v>39.477041</v>
      </c>
      <c r="AI255" s="772">
        <f>'CapIQ - as disclosed'!K11/1000000</f>
        <v>51.132738000000003</v>
      </c>
      <c r="AJ255" s="772">
        <f>'CapIQ - as disclosed'!L11/1000000</f>
        <v>57.104958000000003</v>
      </c>
      <c r="AK255" s="772">
        <f>'CapIQ - as disclosed'!M11/1000000</f>
        <v>67.277880999999994</v>
      </c>
      <c r="AL255" s="772">
        <f>'CapIQ - as disclosed'!N11/1000000</f>
        <v>89.142482000000001</v>
      </c>
      <c r="AM255" s="772">
        <f>'CapIQ - as disclosed'!O11/1000000</f>
        <v>102.915905</v>
      </c>
      <c r="AN255" s="772">
        <f>'CapIQ - as disclosed'!P11/1000000</f>
        <v>113.11424700000001</v>
      </c>
      <c r="AO255" s="772">
        <f>'CapIQ - as disclosed'!Q11/1000000</f>
        <v>145.75140099999999</v>
      </c>
      <c r="AP255" s="772">
        <f>'CapIQ - as disclosed'!R11/1000000</f>
        <v>219.22811799999999</v>
      </c>
      <c r="AQ255" s="772">
        <f>'CapIQ - as disclosed'!S11/1000000</f>
        <v>304.055497</v>
      </c>
      <c r="AR255" s="772">
        <v>395.75599999999997</v>
      </c>
      <c r="AS255" s="772">
        <v>504.79700000000003</v>
      </c>
      <c r="AT255" s="772">
        <v>596.08399999999995</v>
      </c>
      <c r="AU255" s="772">
        <v>672.351</v>
      </c>
      <c r="AV255" s="772">
        <v>832.476</v>
      </c>
      <c r="AW255" s="772">
        <v>1081.6780000000001</v>
      </c>
      <c r="AX255" s="772">
        <f>+Canalyst!AJ46</f>
        <v>1414.0640000000001</v>
      </c>
      <c r="AY255" s="772">
        <f>+Canalyst!AK46</f>
        <v>1646.191</v>
      </c>
      <c r="AZ255" s="772">
        <f>+Canalyst!AL46</f>
        <v>1938.44</v>
      </c>
      <c r="BA255" s="772">
        <f>+Canalyst!AM46</f>
        <v>2507.5369999999998</v>
      </c>
      <c r="BB255" s="772">
        <v>2563</v>
      </c>
      <c r="BC255" s="772">
        <f>+BC12</f>
        <v>2852.2</v>
      </c>
    </row>
    <row r="256" spans="1:55" s="776" customFormat="1" ht="12" outlineLevel="1" x14ac:dyDescent="0.3">
      <c r="A256" s="775" t="s">
        <v>37</v>
      </c>
      <c r="C256" s="1165"/>
      <c r="D256" s="1166"/>
      <c r="E256" s="1165">
        <f t="shared" ref="E256:J256" si="1003">E255/C255-1</f>
        <v>0.10447295162139802</v>
      </c>
      <c r="F256" s="1165">
        <f t="shared" si="1003"/>
        <v>0.14684010367463607</v>
      </c>
      <c r="G256" s="1165">
        <f t="shared" si="1003"/>
        <v>0.28920845666249995</v>
      </c>
      <c r="H256" s="1166">
        <f t="shared" si="1003"/>
        <v>0.19858485584539021</v>
      </c>
      <c r="I256" s="1165">
        <f t="shared" si="1003"/>
        <v>0.2492549537648614</v>
      </c>
      <c r="J256" s="1166">
        <f t="shared" si="1003"/>
        <v>0.34111715156748379</v>
      </c>
      <c r="K256" s="1165">
        <f t="shared" ref="K256" si="1004">K255/I255-1</f>
        <v>0.28532303534154058</v>
      </c>
      <c r="L256" s="1166">
        <f t="shared" ref="L256" si="1005">L255/J255-1</f>
        <v>0.32434567657904023</v>
      </c>
      <c r="M256" s="1165">
        <f t="shared" ref="M256" si="1006">M255/K255-1</f>
        <v>0.19739171641250763</v>
      </c>
      <c r="N256" s="1166">
        <f t="shared" ref="N256" si="1007">N255/L255-1</f>
        <v>0.13910441171363797</v>
      </c>
      <c r="O256" s="1165">
        <f t="shared" ref="O256" si="1008">O255/M255-1</f>
        <v>0.19663278010009289</v>
      </c>
      <c r="P256" s="1166">
        <f t="shared" ref="P256" si="1009">P255/N255-1</f>
        <v>0.16239524687278495</v>
      </c>
      <c r="Q256" s="1165">
        <f t="shared" ref="Q256" si="1010">Q255/O255-1</f>
        <v>0.33017882078418404</v>
      </c>
      <c r="R256" s="1166">
        <f t="shared" ref="R256" si="1011">R255/P255-1</f>
        <v>0.26373704600121406</v>
      </c>
      <c r="S256" s="1165">
        <f t="shared" ref="S256:W256" si="1012">S255/Q255-1</f>
        <v>4.8679102267812357E-2</v>
      </c>
      <c r="T256" s="1166">
        <f t="shared" si="1012"/>
        <v>-6.8485231204362673E-4</v>
      </c>
      <c r="U256" s="1165">
        <f t="shared" si="1012"/>
        <v>4.0150552222390612E-2</v>
      </c>
      <c r="V256" s="1166">
        <f t="shared" si="1012"/>
        <v>0.17832306834229272</v>
      </c>
      <c r="W256" s="1165">
        <f t="shared" si="1012"/>
        <v>0.19279778393351821</v>
      </c>
      <c r="X256" s="1165"/>
      <c r="Y256" s="1165"/>
      <c r="Z256" s="1165"/>
      <c r="AA256" s="1165"/>
      <c r="AB256" s="1165"/>
      <c r="AC256" s="1165"/>
      <c r="AD256" s="1165"/>
      <c r="AE256" s="1165"/>
      <c r="AF256" s="1165">
        <f t="shared" ref="AF256" si="1013">AF255/AE255-1</f>
        <v>0.73510583725455247</v>
      </c>
      <c r="AG256" s="1165">
        <f t="shared" ref="AG256" si="1014">AG255/AF255-1</f>
        <v>0.2114776536549503</v>
      </c>
      <c r="AH256" s="1165">
        <f t="shared" ref="AH256" si="1015">AH255/AG255-1</f>
        <v>2.2494916604601345E-2</v>
      </c>
      <c r="AI256" s="1165">
        <f t="shared" ref="AI256" si="1016">AI255/AH255-1</f>
        <v>0.2952525494501983</v>
      </c>
      <c r="AJ256" s="1165">
        <f t="shared" ref="AJ256" si="1017">AJ255/AI255-1</f>
        <v>0.11679836115953734</v>
      </c>
      <c r="AK256" s="1165">
        <f t="shared" ref="AK256" si="1018">AK255/AJ255-1</f>
        <v>0.17814430403748815</v>
      </c>
      <c r="AL256" s="1165">
        <f t="shared" ref="AL256" si="1019">AL255/AK255-1</f>
        <v>0.3249894419237136</v>
      </c>
      <c r="AM256" s="1165">
        <f t="shared" ref="AM256" si="1020">AM255/AL255-1</f>
        <v>0.15451020311505337</v>
      </c>
      <c r="AN256" s="1165">
        <f t="shared" ref="AN256" si="1021">AN255/AM255-1</f>
        <v>9.9093934994790356E-2</v>
      </c>
      <c r="AO256" s="1165">
        <f t="shared" ref="AO256" si="1022">AO255/AN255-1</f>
        <v>0.28853265495371216</v>
      </c>
      <c r="AP256" s="1165">
        <f t="shared" ref="AP256" si="1023">AP255/AO255-1</f>
        <v>0.50412357271269048</v>
      </c>
      <c r="AQ256" s="1165">
        <f t="shared" ref="AQ256" si="1024">AQ255/AP255-1</f>
        <v>0.38693658356361027</v>
      </c>
      <c r="AR256" s="1165">
        <f t="shared" ref="AR256" si="1025">AR255/AQ255-1</f>
        <v>0.30159133416357853</v>
      </c>
      <c r="AS256" s="1165">
        <f t="shared" ref="AS256" si="1026">AS255/AR255-1</f>
        <v>0.27552582904618017</v>
      </c>
      <c r="AT256" s="1165">
        <f t="shared" ref="AT256" si="1027">AT255/AS255-1</f>
        <v>0.18083903034289017</v>
      </c>
      <c r="AU256" s="1165">
        <f t="shared" ref="AU256:AW256" si="1028">AU255/AT255-1</f>
        <v>0.12794673233973741</v>
      </c>
      <c r="AV256" s="1165">
        <f t="shared" si="1028"/>
        <v>0.2381568555709741</v>
      </c>
      <c r="AW256" s="1165">
        <f t="shared" si="1028"/>
        <v>0.29935037166236644</v>
      </c>
      <c r="AX256" s="1165">
        <f t="shared" ref="AX256" si="1029">AX255/AW255-1</f>
        <v>0.30728738127243038</v>
      </c>
      <c r="AY256" s="1165">
        <f t="shared" ref="AY256" si="1030">AY255/AX255-1</f>
        <v>0.16415593636497361</v>
      </c>
      <c r="AZ256" s="1165">
        <f t="shared" ref="AZ256" si="1031">AZ255/AY255-1</f>
        <v>0.17753043237388622</v>
      </c>
      <c r="BA256" s="1165">
        <f t="shared" ref="BA256:BC256" si="1032">BA255/AZ255-1</f>
        <v>0.29358504777037187</v>
      </c>
      <c r="BB256" s="1165">
        <f t="shared" si="1032"/>
        <v>2.211851709466317E-2</v>
      </c>
      <c r="BC256" s="1165">
        <f t="shared" si="1032"/>
        <v>0.11283651970347242</v>
      </c>
    </row>
    <row r="257" spans="1:55" outlineLevel="1" x14ac:dyDescent="0.25">
      <c r="C257" s="772"/>
      <c r="D257" s="772"/>
      <c r="E257" s="773"/>
      <c r="F257" s="772"/>
      <c r="G257" s="772"/>
      <c r="H257" s="774"/>
      <c r="I257" s="772"/>
      <c r="J257" s="774"/>
      <c r="K257" s="772"/>
      <c r="L257" s="774"/>
      <c r="M257" s="772"/>
      <c r="N257" s="774"/>
      <c r="O257" s="772"/>
      <c r="P257" s="774"/>
      <c r="Q257" s="772"/>
      <c r="R257" s="774"/>
      <c r="S257" s="772"/>
      <c r="T257" s="774"/>
      <c r="U257" s="772"/>
      <c r="V257" s="774"/>
      <c r="W257" s="772"/>
      <c r="Z257" s="772"/>
      <c r="AA257" s="772"/>
      <c r="AB257" s="772"/>
      <c r="AC257" s="772"/>
      <c r="AD257" s="772"/>
      <c r="AE257" s="772"/>
      <c r="AF257" s="772"/>
      <c r="AG257" s="772"/>
      <c r="AH257" s="772"/>
      <c r="AI257" s="772"/>
      <c r="AJ257" s="772"/>
      <c r="AK257" s="772"/>
      <c r="AL257" s="772"/>
      <c r="AM257" s="772"/>
      <c r="AN257" s="772"/>
      <c r="AO257" s="772"/>
      <c r="AP257" s="772"/>
      <c r="AQ257" s="772"/>
      <c r="AR257" s="772"/>
      <c r="AS257" s="772"/>
      <c r="AT257" s="772"/>
      <c r="AU257" s="772"/>
      <c r="AV257" s="772"/>
      <c r="AW257" s="772"/>
      <c r="AX257" s="772"/>
      <c r="AY257" s="772"/>
      <c r="AZ257" s="772"/>
      <c r="BA257" s="772"/>
      <c r="BB257" s="772"/>
      <c r="BC257" s="772"/>
    </row>
    <row r="258" spans="1:55" ht="13" outlineLevel="1" x14ac:dyDescent="0.25">
      <c r="A258" s="760" t="str">
        <f>+Canalyst!A47</f>
        <v>Income recognised as agent under IFRS 15, mm</v>
      </c>
      <c r="C258" s="780"/>
      <c r="D258" s="780"/>
      <c r="E258" s="781"/>
      <c r="F258" s="780"/>
      <c r="G258" s="780"/>
      <c r="H258" s="782"/>
      <c r="I258" s="780">
        <f>+Canalyst!E47</f>
        <v>-114.5390000000001</v>
      </c>
      <c r="J258" s="782">
        <f>+Canalyst!F47</f>
        <v>-169.93100000000004</v>
      </c>
      <c r="K258" s="780">
        <f>+Canalyst!G47</f>
        <v>-173.78600000000012</v>
      </c>
      <c r="L258" s="782">
        <f>+Canalyst!H47</f>
        <v>-248.42899999999997</v>
      </c>
      <c r="M258" s="780">
        <f>+Canalyst!I47</f>
        <v>-203.57400000000007</v>
      </c>
      <c r="N258" s="782">
        <f>+Canalyst!J47</f>
        <v>-365.49000000000012</v>
      </c>
      <c r="O258" s="780">
        <f>+Canalyst!K47</f>
        <v>-293.82799999999986</v>
      </c>
      <c r="P258" s="782">
        <f>+Canalyst!L47</f>
        <v>-487.94500000000005</v>
      </c>
      <c r="Q258" s="780">
        <f>+Canalyst!M47</f>
        <v>-580.52099999999984</v>
      </c>
      <c r="R258" s="782">
        <f>+Canalyst!N47</f>
        <v>-849.07</v>
      </c>
      <c r="S258" s="780">
        <f>+Canalyst!O47</f>
        <v>-702.32299999999987</v>
      </c>
      <c r="T258" s="782">
        <f>+BB258-S258</f>
        <v>-875.37700000000018</v>
      </c>
      <c r="U258" s="780">
        <f>+U259-U255</f>
        <v>-796.34799999999996</v>
      </c>
      <c r="V258" s="782">
        <f t="shared" ref="V258:V259" si="1033">+BC258-U258</f>
        <v>-1093.2189999999998</v>
      </c>
      <c r="W258" s="780">
        <f>+W259-W255</f>
        <v>-961.51600000000019</v>
      </c>
      <c r="Z258" s="780"/>
      <c r="AA258" s="780"/>
      <c r="AB258" s="780"/>
      <c r="AC258" s="780"/>
      <c r="AD258" s="780"/>
      <c r="AE258" s="780"/>
      <c r="AF258" s="780"/>
      <c r="AG258" s="780"/>
      <c r="AH258" s="780"/>
      <c r="AI258" s="780"/>
      <c r="AJ258" s="780"/>
      <c r="AK258" s="780"/>
      <c r="AL258" s="780"/>
      <c r="AM258" s="780"/>
      <c r="AN258" s="780"/>
      <c r="AO258" s="780"/>
      <c r="AP258" s="780"/>
      <c r="AQ258" s="780"/>
      <c r="AR258" s="780"/>
      <c r="AS258" s="780"/>
      <c r="AT258" s="780"/>
      <c r="AU258" s="780"/>
      <c r="AV258" s="780"/>
      <c r="AW258" s="780">
        <f>+Canalyst!AI47</f>
        <v>-284.47000000000003</v>
      </c>
      <c r="AX258" s="780">
        <f>+Canalyst!AJ47</f>
        <v>-422.21500000000003</v>
      </c>
      <c r="AY258" s="780">
        <f>+Canalyst!AK47</f>
        <v>-569.06400000000008</v>
      </c>
      <c r="AZ258" s="780">
        <f>+Canalyst!AL47</f>
        <v>-781.77300000000014</v>
      </c>
      <c r="BA258" s="780">
        <f>+Canalyst!AM47</f>
        <v>-1429.5909999999997</v>
      </c>
      <c r="BB258" s="780">
        <f>+BB259-BB255</f>
        <v>-1577.7</v>
      </c>
      <c r="BC258" s="780">
        <f>+BC259-BC255</f>
        <v>-1889.5669999999998</v>
      </c>
    </row>
    <row r="259" spans="1:55" outlineLevel="1" x14ac:dyDescent="0.25">
      <c r="A259" s="783" t="s">
        <v>206</v>
      </c>
      <c r="C259" s="772"/>
      <c r="D259" s="772"/>
      <c r="E259" s="773"/>
      <c r="F259" s="772"/>
      <c r="G259" s="772"/>
      <c r="H259" s="774"/>
      <c r="I259" s="772">
        <f>+I258+I255</f>
        <v>358.30399999999992</v>
      </c>
      <c r="J259" s="774">
        <f t="shared" ref="J259:R259" si="1034">+J258+J255</f>
        <v>438.904</v>
      </c>
      <c r="K259" s="772">
        <f t="shared" si="1034"/>
        <v>433.96999999999997</v>
      </c>
      <c r="L259" s="774">
        <f t="shared" si="1034"/>
        <v>557.87900000000002</v>
      </c>
      <c r="M259" s="772">
        <f t="shared" si="1034"/>
        <v>524.14800000000002</v>
      </c>
      <c r="N259" s="774">
        <f t="shared" si="1034"/>
        <v>552.97899999999993</v>
      </c>
      <c r="O259" s="772">
        <f t="shared" si="1034"/>
        <v>576.98800000000006</v>
      </c>
      <c r="P259" s="774">
        <f t="shared" si="1034"/>
        <v>579.67899999999997</v>
      </c>
      <c r="Q259" s="772">
        <f t="shared" si="1034"/>
        <v>577.82000000000005</v>
      </c>
      <c r="R259" s="774">
        <f t="shared" si="1034"/>
        <v>500.12600000000009</v>
      </c>
      <c r="S259" s="772">
        <f>+Canalyst!O171</f>
        <v>512.40499999999997</v>
      </c>
      <c r="T259" s="774">
        <f>+BB259-S259</f>
        <v>472.89499999999998</v>
      </c>
      <c r="U259" s="772">
        <f>+U233</f>
        <v>467.15199999999999</v>
      </c>
      <c r="V259" s="774">
        <f t="shared" si="1033"/>
        <v>495.48100000000005</v>
      </c>
      <c r="W259" s="772">
        <f>+W233</f>
        <v>545.58399999999995</v>
      </c>
      <c r="Z259" s="772"/>
      <c r="AA259" s="772"/>
      <c r="AB259" s="772"/>
      <c r="AC259" s="772"/>
      <c r="AD259" s="772"/>
      <c r="AE259" s="772"/>
      <c r="AF259" s="772"/>
      <c r="AG259" s="772"/>
      <c r="AH259" s="772"/>
      <c r="AI259" s="772"/>
      <c r="AJ259" s="772"/>
      <c r="AK259" s="772"/>
      <c r="AL259" s="772"/>
      <c r="AM259" s="772"/>
      <c r="AN259" s="772"/>
      <c r="AO259" s="772"/>
      <c r="AP259" s="772"/>
      <c r="AQ259" s="772"/>
      <c r="AR259" s="772"/>
      <c r="AS259" s="772"/>
      <c r="AT259" s="772"/>
      <c r="AU259" s="772"/>
      <c r="AV259" s="772"/>
      <c r="AW259" s="772">
        <f>+Canalyst!AI171</f>
        <v>797.20799999999997</v>
      </c>
      <c r="AX259" s="772">
        <f>+Canalyst!AJ171</f>
        <v>991.84900000000005</v>
      </c>
      <c r="AY259" s="772">
        <f>+Canalyst!AK171</f>
        <v>1077.127</v>
      </c>
      <c r="AZ259" s="772">
        <f>+Canalyst!AL171</f>
        <v>1156.6669999999999</v>
      </c>
      <c r="BA259" s="772">
        <f>+Canalyst!AM171</f>
        <v>1077.9459999999999</v>
      </c>
      <c r="BB259" s="772">
        <v>985.3</v>
      </c>
      <c r="BC259" s="772">
        <v>962.63300000000004</v>
      </c>
    </row>
    <row r="260" spans="1:55" s="776" customFormat="1" ht="12" outlineLevel="1" x14ac:dyDescent="0.3">
      <c r="A260" s="784" t="s">
        <v>37</v>
      </c>
      <c r="C260" s="1165"/>
      <c r="D260" s="1166"/>
      <c r="E260" s="1165"/>
      <c r="F260" s="1165"/>
      <c r="G260" s="1165"/>
      <c r="H260" s="1166"/>
      <c r="I260" s="1165"/>
      <c r="J260" s="1166"/>
      <c r="K260" s="1165">
        <f t="shared" ref="K260" si="1035">K259/I259-1</f>
        <v>0.21117821737965548</v>
      </c>
      <c r="L260" s="1166">
        <f t="shared" ref="L260" si="1036">L259/J259-1</f>
        <v>0.27107294533656567</v>
      </c>
      <c r="M260" s="1165">
        <f t="shared" ref="M260" si="1037">M259/K259-1</f>
        <v>0.20779777403968036</v>
      </c>
      <c r="N260" s="1166">
        <f t="shared" ref="N260" si="1038">N259/L259-1</f>
        <v>-8.7832666223321976E-3</v>
      </c>
      <c r="O260" s="1165">
        <f t="shared" ref="O260" si="1039">O259/M259-1</f>
        <v>0.10081122125811803</v>
      </c>
      <c r="P260" s="1166">
        <f t="shared" ref="P260" si="1040">P259/N259-1</f>
        <v>4.8283931216194453E-2</v>
      </c>
      <c r="Q260" s="1165">
        <f t="shared" ref="Q260" si="1041">Q259/O259-1</f>
        <v>1.441971063522951E-3</v>
      </c>
      <c r="R260" s="1166">
        <f t="shared" ref="R260" si="1042">R259/P259-1</f>
        <v>-0.13723629802011095</v>
      </c>
      <c r="S260" s="1165">
        <f t="shared" ref="S260:T260" si="1043">S259/Q259-1</f>
        <v>-0.11320999619258609</v>
      </c>
      <c r="T260" s="1166">
        <f t="shared" si="1043"/>
        <v>-5.4448279033683766E-2</v>
      </c>
      <c r="U260" s="1165">
        <f t="shared" ref="U260:W260" si="1044">U259/S259-1</f>
        <v>-8.8314907153521083E-2</v>
      </c>
      <c r="V260" s="1166">
        <f t="shared" si="1044"/>
        <v>4.7761130906438076E-2</v>
      </c>
      <c r="W260" s="1165">
        <f t="shared" si="1044"/>
        <v>0.16789396170839455</v>
      </c>
      <c r="X260" s="1165"/>
      <c r="Y260" s="1165"/>
      <c r="Z260" s="1165"/>
      <c r="AA260" s="1165"/>
      <c r="AB260" s="1165"/>
      <c r="AC260" s="1165"/>
      <c r="AD260" s="1165"/>
      <c r="AE260" s="1165"/>
      <c r="AF260" s="1165"/>
      <c r="AG260" s="1165"/>
      <c r="AH260" s="1165"/>
      <c r="AI260" s="1165"/>
      <c r="AJ260" s="1165"/>
      <c r="AK260" s="1165"/>
      <c r="AL260" s="1165"/>
      <c r="AM260" s="1165"/>
      <c r="AN260" s="1165"/>
      <c r="AO260" s="1165"/>
      <c r="AP260" s="1165"/>
      <c r="AQ260" s="1165"/>
      <c r="AR260" s="1165"/>
      <c r="AS260" s="1165"/>
      <c r="AT260" s="1165"/>
      <c r="AU260" s="1165"/>
      <c r="AV260" s="1165"/>
      <c r="AW260" s="1165"/>
      <c r="AX260" s="1165">
        <f t="shared" ref="AX260" si="1045">AX259/AW259-1</f>
        <v>0.24415334517465959</v>
      </c>
      <c r="AY260" s="1165">
        <f t="shared" ref="AY260" si="1046">AY259/AX259-1</f>
        <v>8.5978813307267421E-2</v>
      </c>
      <c r="AZ260" s="1165">
        <f t="shared" ref="AZ260" si="1047">AZ259/AY259-1</f>
        <v>7.3844588428291225E-2</v>
      </c>
      <c r="BA260" s="1165">
        <f t="shared" ref="BA260" si="1048">BA259/AZ259-1</f>
        <v>-6.8058481827526829E-2</v>
      </c>
      <c r="BB260" s="1165">
        <f t="shared" ref="BB260:BC260" si="1049">BB259/BA259-1</f>
        <v>-8.5946791397713773E-2</v>
      </c>
      <c r="BC260" s="1165">
        <f t="shared" si="1049"/>
        <v>-2.3005176088500834E-2</v>
      </c>
    </row>
    <row r="261" spans="1:55" s="776" customFormat="1" ht="12" outlineLevel="1" x14ac:dyDescent="0.3">
      <c r="A261" s="784" t="s">
        <v>278</v>
      </c>
      <c r="C261" s="1165"/>
      <c r="D261" s="1166"/>
      <c r="E261" s="1165"/>
      <c r="F261" s="1165"/>
      <c r="G261" s="1165"/>
      <c r="H261" s="1166"/>
      <c r="I261" s="1165">
        <f>+I259/I255</f>
        <v>0.75776526246555387</v>
      </c>
      <c r="J261" s="1166">
        <f t="shared" ref="J261:S261" si="1050">+J259/J255</f>
        <v>0.72089153875844847</v>
      </c>
      <c r="K261" s="1165">
        <f t="shared" si="1050"/>
        <v>0.71405300811509864</v>
      </c>
      <c r="L261" s="1166">
        <f t="shared" si="1050"/>
        <v>0.69189317233612968</v>
      </c>
      <c r="M261" s="1165">
        <f t="shared" si="1050"/>
        <v>0.72025856027439039</v>
      </c>
      <c r="N261" s="1166">
        <f t="shared" si="1050"/>
        <v>0.60206604686712328</v>
      </c>
      <c r="O261" s="1165">
        <f t="shared" si="1050"/>
        <v>0.66258314041083322</v>
      </c>
      <c r="P261" s="1166">
        <f t="shared" si="1050"/>
        <v>0.54296175432549287</v>
      </c>
      <c r="Q261" s="1165">
        <f t="shared" si="1050"/>
        <v>0.49883410843611692</v>
      </c>
      <c r="R261" s="1166">
        <f t="shared" si="1050"/>
        <v>0.3706844668973226</v>
      </c>
      <c r="S261" s="1165">
        <f t="shared" si="1050"/>
        <v>0.42182694397428894</v>
      </c>
      <c r="T261" s="1166">
        <f t="shared" ref="T261:U261" si="1051">+T259/T255</f>
        <v>0.3507415417660531</v>
      </c>
      <c r="U261" s="1165">
        <f t="shared" si="1051"/>
        <v>0.36972853185595567</v>
      </c>
      <c r="V261" s="1166">
        <f t="shared" ref="V261:W261" si="1052">+V259/V255</f>
        <v>0.3118782652483163</v>
      </c>
      <c r="W261" s="1165">
        <f t="shared" si="1052"/>
        <v>0.3620091566584831</v>
      </c>
      <c r="X261" s="1165"/>
      <c r="Y261" s="1165"/>
      <c r="Z261" s="1165"/>
      <c r="AA261" s="1165"/>
      <c r="AB261" s="1165"/>
      <c r="AC261" s="1165"/>
      <c r="AD261" s="1165"/>
      <c r="AE261" s="1165"/>
      <c r="AF261" s="1165"/>
      <c r="AG261" s="1165"/>
      <c r="AH261" s="1165"/>
      <c r="AI261" s="1165"/>
      <c r="AJ261" s="1165"/>
      <c r="AK261" s="1165"/>
      <c r="AL261" s="1165"/>
      <c r="AM261" s="1165"/>
      <c r="AN261" s="1165"/>
      <c r="AO261" s="1165"/>
      <c r="AP261" s="1165"/>
      <c r="AQ261" s="1165"/>
      <c r="AR261" s="1165"/>
      <c r="AS261" s="1165"/>
      <c r="AT261" s="1165"/>
      <c r="AU261" s="1165"/>
      <c r="AV261" s="1165"/>
      <c r="AW261" s="1165">
        <f t="shared" ref="AW261:BA261" si="1053">+AW259/AW255</f>
        <v>0.73701045967469048</v>
      </c>
      <c r="AX261" s="1165">
        <f t="shared" si="1053"/>
        <v>0.70141733330316025</v>
      </c>
      <c r="AY261" s="1165">
        <f t="shared" si="1053"/>
        <v>0.65431471803697139</v>
      </c>
      <c r="AZ261" s="1165">
        <f t="shared" si="1053"/>
        <v>0.59669992364994529</v>
      </c>
      <c r="BA261" s="1165">
        <f t="shared" si="1053"/>
        <v>0.42988239056891286</v>
      </c>
      <c r="BB261" s="1165">
        <f t="shared" ref="BB261:BC261" si="1054">+BB259/BB255</f>
        <v>0.38443230589153332</v>
      </c>
      <c r="BC261" s="1165">
        <f t="shared" si="1054"/>
        <v>0.33750543440151465</v>
      </c>
    </row>
    <row r="262" spans="1:55" outlineLevel="1" x14ac:dyDescent="0.25">
      <c r="C262" s="772"/>
      <c r="D262" s="772"/>
      <c r="E262" s="773"/>
      <c r="F262" s="772"/>
      <c r="G262" s="772"/>
      <c r="H262" s="774"/>
      <c r="I262" s="772"/>
      <c r="J262" s="774"/>
      <c r="K262" s="772"/>
      <c r="L262" s="774"/>
      <c r="M262" s="772"/>
      <c r="N262" s="774"/>
      <c r="O262" s="772"/>
      <c r="P262" s="774"/>
      <c r="Q262" s="772"/>
      <c r="R262" s="774"/>
      <c r="S262" s="772"/>
      <c r="T262" s="774"/>
      <c r="U262" s="772"/>
      <c r="V262" s="774"/>
      <c r="W262" s="772"/>
      <c r="Z262" s="772"/>
      <c r="AA262" s="772"/>
      <c r="AB262" s="772"/>
      <c r="AC262" s="772"/>
      <c r="AD262" s="772"/>
      <c r="AE262" s="772"/>
      <c r="AF262" s="772"/>
      <c r="AG262" s="772"/>
      <c r="AH262" s="772"/>
      <c r="AI262" s="772"/>
      <c r="AJ262" s="772"/>
      <c r="AK262" s="772"/>
      <c r="AL262" s="772"/>
      <c r="AM262" s="772"/>
      <c r="AN262" s="772"/>
      <c r="AO262" s="772"/>
      <c r="AP262" s="772"/>
      <c r="AQ262" s="772"/>
      <c r="AR262" s="772"/>
      <c r="AS262" s="772"/>
      <c r="AT262" s="772"/>
      <c r="AU262" s="772"/>
      <c r="AV262" s="772"/>
      <c r="AW262" s="772"/>
      <c r="AX262" s="772"/>
      <c r="AY262" s="772"/>
      <c r="AZ262" s="772"/>
      <c r="BA262" s="772"/>
      <c r="BB262" s="772"/>
      <c r="BC262" s="772"/>
    </row>
    <row r="263" spans="1:55" ht="13" hidden="1" outlineLevel="2" x14ac:dyDescent="0.25">
      <c r="A263" s="760" t="s">
        <v>263</v>
      </c>
      <c r="C263" s="780">
        <f>'CapIQ - as disclosed'!Y14/1000</f>
        <v>-219.18100000000001</v>
      </c>
      <c r="D263" s="780">
        <f>'CapIQ - as disclosed'!Z14/1000</f>
        <v>-274.12799999999999</v>
      </c>
      <c r="E263" s="781">
        <f>'CapIQ - as disclosed'!AA14/1000</f>
        <v>-239.916</v>
      </c>
      <c r="F263" s="780">
        <f>AU263-E263</f>
        <v>-311.71800000000002</v>
      </c>
      <c r="G263" s="780">
        <f>G264-G255</f>
        <v>-317.2</v>
      </c>
      <c r="H263" s="782">
        <f>AV263-G263</f>
        <v>-378.97300000000001</v>
      </c>
      <c r="I263" s="780"/>
      <c r="J263" s="780"/>
      <c r="K263" s="780"/>
      <c r="L263" s="782"/>
      <c r="M263" s="780"/>
      <c r="N263" s="782"/>
      <c r="O263" s="780"/>
      <c r="P263" s="782"/>
      <c r="Q263" s="780"/>
      <c r="R263" s="782"/>
      <c r="S263" s="780"/>
      <c r="T263" s="782"/>
      <c r="U263" s="780"/>
      <c r="V263" s="782"/>
      <c r="W263" s="780"/>
      <c r="Z263" s="780">
        <f>'CapIQ - as disclosed'!B14/1000000</f>
        <v>0</v>
      </c>
      <c r="AA263" s="780">
        <f>'CapIQ - as disclosed'!C14/1000000</f>
        <v>-2.3998219999999999</v>
      </c>
      <c r="AB263" s="780">
        <f>'CapIQ - as disclosed'!D14/1000000</f>
        <v>-3.5327959999999998</v>
      </c>
      <c r="AC263" s="780">
        <f>'CapIQ - as disclosed'!E14/1000000</f>
        <v>-7.0778129999999999</v>
      </c>
      <c r="AD263" s="780">
        <f>'CapIQ - as disclosed'!F14/1000000</f>
        <v>-13.508307</v>
      </c>
      <c r="AE263" s="780">
        <f>'CapIQ - as disclosed'!G14/1000000</f>
        <v>-15.189681</v>
      </c>
      <c r="AF263" s="780">
        <f>'CapIQ - as disclosed'!H14/1000000</f>
        <v>-27.33193</v>
      </c>
      <c r="AG263" s="780">
        <f>'CapIQ - as disclosed'!I14/1000000</f>
        <v>-31.45607</v>
      </c>
      <c r="AH263" s="780">
        <f>'CapIQ - as disclosed'!J14/1000000</f>
        <v>-32.128467999999998</v>
      </c>
      <c r="AI263" s="780">
        <f>'CapIQ - as disclosed'!K14/1000000</f>
        <v>-42.426369000000001</v>
      </c>
      <c r="AJ263" s="780">
        <f>'CapIQ - as disclosed'!L14/1000000</f>
        <v>-48.542504999999998</v>
      </c>
      <c r="AK263" s="780">
        <f>'CapIQ - as disclosed'!M14/1000000</f>
        <v>-56.419193999999997</v>
      </c>
      <c r="AL263" s="780">
        <f>'CapIQ - as disclosed'!N14/1000000</f>
        <v>-73.947436999999994</v>
      </c>
      <c r="AM263" s="780">
        <f>'CapIQ - as disclosed'!O14/1000000</f>
        <v>-83.157477999999998</v>
      </c>
      <c r="AN263" s="780">
        <f>'CapIQ - as disclosed'!P14/1000000</f>
        <v>-91.032033999999996</v>
      </c>
      <c r="AO263" s="780">
        <f>'CapIQ - as disclosed'!Q14/1000000</f>
        <v>-117.23264899999999</v>
      </c>
      <c r="AP263" s="780">
        <f>'CapIQ - as disclosed'!R14/1000000</f>
        <v>-175.92191700000001</v>
      </c>
      <c r="AQ263" s="780">
        <f>'CapIQ - as disclosed'!S14/1000000</f>
        <v>-247.77107100000001</v>
      </c>
      <c r="AR263" s="780">
        <v>-325.245</v>
      </c>
      <c r="AS263" s="780">
        <v>-416.27600000000001</v>
      </c>
      <c r="AT263" s="780">
        <v>-493.30900000000003</v>
      </c>
      <c r="AU263" s="780">
        <v>-551.63400000000001</v>
      </c>
      <c r="AV263" s="780">
        <v>-696.173</v>
      </c>
      <c r="AW263" s="780"/>
      <c r="AX263" s="780"/>
      <c r="AY263" s="780"/>
      <c r="AZ263" s="780"/>
      <c r="BA263" s="780"/>
      <c r="BB263" s="780"/>
      <c r="BC263" s="780"/>
    </row>
    <row r="264" spans="1:55" outlineLevel="1" collapsed="1" x14ac:dyDescent="0.25">
      <c r="A264" s="785" t="s">
        <v>264</v>
      </c>
      <c r="C264" s="772">
        <f t="shared" ref="C264" si="1055">C263+C255</f>
        <v>46.638999999999982</v>
      </c>
      <c r="D264" s="772">
        <f t="shared" ref="D264" si="1056">D263+D255</f>
        <v>56.136000000000024</v>
      </c>
      <c r="E264" s="773">
        <f t="shared" ref="E264" si="1057">E263+E255</f>
        <v>53.675000000000011</v>
      </c>
      <c r="F264" s="772">
        <f>F263+F255</f>
        <v>67.041999999999973</v>
      </c>
      <c r="G264" s="772">
        <v>61.3</v>
      </c>
      <c r="H264" s="774">
        <f>AV264-G264</f>
        <v>75.003</v>
      </c>
      <c r="I264" s="772">
        <f>+Canalyst!E175</f>
        <v>74.83499999999998</v>
      </c>
      <c r="J264" s="774">
        <f>+Canalyst!F175</f>
        <v>100.32800000000003</v>
      </c>
      <c r="K264" s="772">
        <f>+Canalyst!G175</f>
        <v>94.672000000000025</v>
      </c>
      <c r="L264" s="774">
        <f>+Canalyst!H175</f>
        <v>116.471</v>
      </c>
      <c r="M264" s="772">
        <f>+Canalyst!I175</f>
        <v>111.67200000000003</v>
      </c>
      <c r="N264" s="774">
        <f>+Canalyst!J175</f>
        <v>124.0329999999999</v>
      </c>
      <c r="O264" s="772">
        <f>+Canalyst!K175</f>
        <v>134.46400000000006</v>
      </c>
      <c r="P264" s="774">
        <f>+Canalyst!L175</f>
        <v>141.89399999999989</v>
      </c>
      <c r="Q264" s="772">
        <f>+Canalyst!M175</f>
        <v>150.21100000000007</v>
      </c>
      <c r="R264" s="774">
        <f>+Canalyst!N175</f>
        <v>176.99899999999985</v>
      </c>
      <c r="S264" s="772">
        <f>+Canalyst!O175</f>
        <v>177.05399999999997</v>
      </c>
      <c r="T264" s="774">
        <f>+BB264-S264</f>
        <v>196.77600000000001</v>
      </c>
      <c r="U264" s="772">
        <f>+U238</f>
        <v>196.51400000000001</v>
      </c>
      <c r="V264" s="774">
        <f t="shared" ref="V264" si="1058">+BC264-U264</f>
        <v>221.23899999999998</v>
      </c>
      <c r="W264" s="772">
        <f>+W238</f>
        <v>220.20500000000001</v>
      </c>
      <c r="Z264" s="772"/>
      <c r="AA264" s="772">
        <f t="shared" ref="AA264:AD264" si="1059">AA263+AA255</f>
        <v>0.99591399999999997</v>
      </c>
      <c r="AB264" s="772">
        <f t="shared" si="1059"/>
        <v>1.2314289999999999</v>
      </c>
      <c r="AC264" s="772">
        <f t="shared" si="1059"/>
        <v>1.9587530000000006</v>
      </c>
      <c r="AD264" s="772">
        <f t="shared" si="1059"/>
        <v>2.8095540000000003</v>
      </c>
      <c r="AE264" s="772">
        <f t="shared" ref="AE264:AQ264" si="1060">AE263+AE255</f>
        <v>3.1774810000000002</v>
      </c>
      <c r="AF264" s="772">
        <f t="shared" si="1060"/>
        <v>4.5370400000000011</v>
      </c>
      <c r="AG264" s="772">
        <f t="shared" si="1060"/>
        <v>7.152474999999999</v>
      </c>
      <c r="AH264" s="772">
        <f t="shared" si="1060"/>
        <v>7.3485730000000018</v>
      </c>
      <c r="AI264" s="772">
        <f t="shared" si="1060"/>
        <v>8.7063690000000022</v>
      </c>
      <c r="AJ264" s="772">
        <f t="shared" si="1060"/>
        <v>8.562453000000005</v>
      </c>
      <c r="AK264" s="772">
        <f t="shared" si="1060"/>
        <v>10.858686999999996</v>
      </c>
      <c r="AL264" s="772">
        <f t="shared" si="1060"/>
        <v>15.195045000000007</v>
      </c>
      <c r="AM264" s="772">
        <f t="shared" si="1060"/>
        <v>19.758426999999998</v>
      </c>
      <c r="AN264" s="772">
        <f t="shared" si="1060"/>
        <v>22.08221300000001</v>
      </c>
      <c r="AO264" s="772">
        <f t="shared" si="1060"/>
        <v>28.518751999999992</v>
      </c>
      <c r="AP264" s="772">
        <f t="shared" si="1060"/>
        <v>43.306200999999987</v>
      </c>
      <c r="AQ264" s="772">
        <f t="shared" si="1060"/>
        <v>56.284425999999996</v>
      </c>
      <c r="AR264" s="772">
        <f>AR263+AR255</f>
        <v>70.510999999999967</v>
      </c>
      <c r="AS264" s="772">
        <f t="shared" ref="AS264:AT264" si="1061">AS263+AS255</f>
        <v>88.521000000000015</v>
      </c>
      <c r="AT264" s="772">
        <f t="shared" si="1061"/>
        <v>102.77499999999992</v>
      </c>
      <c r="AU264" s="772">
        <f t="shared" ref="AU264:AV264" si="1062">AU263+AU255</f>
        <v>120.71699999999998</v>
      </c>
      <c r="AV264" s="772">
        <f t="shared" si="1062"/>
        <v>136.303</v>
      </c>
      <c r="AW264" s="772">
        <f>+Canalyst!AI175</f>
        <v>175.16300000000001</v>
      </c>
      <c r="AX264" s="772">
        <f>+Canalyst!AJ175</f>
        <v>211.14300000000003</v>
      </c>
      <c r="AY264" s="772">
        <f>+Canalyst!AK175</f>
        <v>235.70499999999993</v>
      </c>
      <c r="AZ264" s="772">
        <f>+Canalyst!AL175</f>
        <v>276.35799999999995</v>
      </c>
      <c r="BA264" s="772">
        <f>+Canalyst!AM175</f>
        <v>327.20999999999992</v>
      </c>
      <c r="BB264" s="772">
        <v>373.83</v>
      </c>
      <c r="BC264" s="772">
        <v>417.75299999999999</v>
      </c>
    </row>
    <row r="265" spans="1:55" s="776" customFormat="1" ht="12" outlineLevel="1" x14ac:dyDescent="0.3">
      <c r="A265" s="775" t="s">
        <v>37</v>
      </c>
      <c r="C265" s="1165"/>
      <c r="D265" s="1166"/>
      <c r="E265" s="1165">
        <f>E264/C264-1</f>
        <v>0.15086086751431282</v>
      </c>
      <c r="F265" s="1165">
        <f>F264/D264-1</f>
        <v>0.19427818155906973</v>
      </c>
      <c r="G265" s="1165">
        <f>G264/E264-1</f>
        <v>0.14205868653935694</v>
      </c>
      <c r="H265" s="1166">
        <f t="shared" ref="H265" si="1063">H264/F264-1</f>
        <v>0.11874645744458734</v>
      </c>
      <c r="I265" s="1165">
        <f t="shared" ref="I265" si="1064">I264/G264-1</f>
        <v>0.22079934747145158</v>
      </c>
      <c r="J265" s="1166">
        <f t="shared" ref="J265" si="1065">J264/H264-1</f>
        <v>0.33765316054024552</v>
      </c>
      <c r="K265" s="1165">
        <f t="shared" ref="K265" si="1066">K264/I264-1</f>
        <v>0.26507650163693519</v>
      </c>
      <c r="L265" s="1166">
        <f t="shared" ref="L265" si="1067">L264/J264-1</f>
        <v>0.1609022406506655</v>
      </c>
      <c r="M265" s="1165">
        <f t="shared" ref="M265" si="1068">M264/K264-1</f>
        <v>0.1795673483184046</v>
      </c>
      <c r="N265" s="1166">
        <f t="shared" ref="N265" si="1069">N264/L264-1</f>
        <v>6.4926033089781177E-2</v>
      </c>
      <c r="O265" s="1165">
        <f t="shared" ref="O265" si="1070">O264/M264-1</f>
        <v>0.20409771473601279</v>
      </c>
      <c r="P265" s="1166">
        <f t="shared" ref="P265" si="1071">P264/N264-1</f>
        <v>0.14400199946788361</v>
      </c>
      <c r="Q265" s="1165">
        <f t="shared" ref="Q265" si="1072">Q264/O264-1</f>
        <v>0.11710941218467408</v>
      </c>
      <c r="R265" s="1166">
        <f t="shared" ref="R265" si="1073">R264/P264-1</f>
        <v>0.24740299096508656</v>
      </c>
      <c r="S265" s="1165">
        <f t="shared" ref="S265:T265" si="1074">S264/Q264-1</f>
        <v>0.17870195924399601</v>
      </c>
      <c r="T265" s="1166">
        <f t="shared" si="1074"/>
        <v>0.11173509454855779</v>
      </c>
      <c r="U265" s="1165">
        <f t="shared" ref="U265:W265" si="1075">U264/S264-1</f>
        <v>0.10990997096930899</v>
      </c>
      <c r="V265" s="1166">
        <f t="shared" si="1075"/>
        <v>0.12431902264503791</v>
      </c>
      <c r="W265" s="1165">
        <f t="shared" si="1075"/>
        <v>0.12055629624352471</v>
      </c>
      <c r="X265" s="1165"/>
      <c r="Y265" s="1165"/>
      <c r="Z265" s="1165"/>
      <c r="AA265" s="1165"/>
      <c r="AB265" s="1165"/>
      <c r="AC265" s="1165"/>
      <c r="AD265" s="1165"/>
      <c r="AE265" s="1165"/>
      <c r="AF265" s="1165">
        <f t="shared" ref="AF265" si="1076">AF264/AE264-1</f>
        <v>0.42787321151566315</v>
      </c>
      <c r="AG265" s="1165">
        <f t="shared" ref="AG265" si="1077">AG264/AF264-1</f>
        <v>0.57646284802426195</v>
      </c>
      <c r="AH265" s="1165">
        <f t="shared" ref="AH265" si="1078">AH264/AG264-1</f>
        <v>2.7416803274391333E-2</v>
      </c>
      <c r="AI265" s="1165">
        <f t="shared" ref="AI265" si="1079">AI264/AH264-1</f>
        <v>0.18477002269692355</v>
      </c>
      <c r="AJ265" s="1165">
        <f t="shared" ref="AJ265" si="1080">AJ264/AI264-1</f>
        <v>-1.6529967889024388E-2</v>
      </c>
      <c r="AK265" s="1165">
        <f t="shared" ref="AK265" si="1081">AK264/AJ264-1</f>
        <v>0.26817478589371402</v>
      </c>
      <c r="AL265" s="1165">
        <f t="shared" ref="AL265" si="1082">AL264/AK264-1</f>
        <v>0.39934459847677828</v>
      </c>
      <c r="AM265" s="1165">
        <f t="shared" ref="AM265" si="1083">AM264/AL264-1</f>
        <v>0.30032040049897768</v>
      </c>
      <c r="AN265" s="1165">
        <f t="shared" ref="AN265" si="1084">AN264/AM264-1</f>
        <v>0.11760986843740207</v>
      </c>
      <c r="AO265" s="1165">
        <f t="shared" ref="AO265" si="1085">AO264/AN264-1</f>
        <v>0.2914807044022254</v>
      </c>
      <c r="AP265" s="1165">
        <f t="shared" ref="AP265" si="1086">AP264/AO264-1</f>
        <v>0.51851669385813226</v>
      </c>
      <c r="AQ265" s="1165">
        <f t="shared" ref="AQ265" si="1087">AQ264/AP264-1</f>
        <v>0.29968514208854313</v>
      </c>
      <c r="AR265" s="1165">
        <f t="shared" ref="AR265" si="1088">AR264/AQ264-1</f>
        <v>0.25276217616574748</v>
      </c>
      <c r="AS265" s="1165">
        <f t="shared" ref="AS265" si="1089">AS264/AR264-1</f>
        <v>0.25542113996397808</v>
      </c>
      <c r="AT265" s="1165">
        <f t="shared" ref="AT265" si="1090">AT264/AS264-1</f>
        <v>0.16102393782266256</v>
      </c>
      <c r="AU265" s="1165">
        <f t="shared" ref="AU265" si="1091">AU264/AT264-1</f>
        <v>0.17457552906835394</v>
      </c>
      <c r="AV265" s="1165">
        <f t="shared" ref="AV265" si="1092">AV264/AU264-1</f>
        <v>0.12911188979182731</v>
      </c>
      <c r="AW265" s="1165">
        <f t="shared" ref="AW265" si="1093">AW264/AV264-1</f>
        <v>0.28510010784795647</v>
      </c>
      <c r="AX265" s="1165">
        <f t="shared" ref="AX265" si="1094">AX264/AW264-1</f>
        <v>0.20540867648989813</v>
      </c>
      <c r="AY265" s="1165">
        <f t="shared" ref="AY265" si="1095">AY264/AX264-1</f>
        <v>0.11632874402655968</v>
      </c>
      <c r="AZ265" s="1165">
        <f t="shared" ref="AZ265" si="1096">AZ264/AY264-1</f>
        <v>0.17247406716022162</v>
      </c>
      <c r="BA265" s="1165">
        <f t="shared" ref="BA265:BB265" si="1097">BA264/AZ264-1</f>
        <v>0.1840077001570426</v>
      </c>
      <c r="BB265" s="1165">
        <f t="shared" si="1097"/>
        <v>0.14247730815072912</v>
      </c>
      <c r="BC265" s="1165">
        <f t="shared" ref="BC265" si="1098">BC264/BB264-1</f>
        <v>0.11749458309926974</v>
      </c>
    </row>
    <row r="266" spans="1:55" s="776" customFormat="1" ht="12" outlineLevel="1" x14ac:dyDescent="0.3">
      <c r="A266" s="775" t="str">
        <f>+A261</f>
        <v>% Margin (of Invoiced Income)</v>
      </c>
      <c r="C266" s="1165">
        <f t="shared" ref="C266:D266" si="1099">C264/C255</f>
        <v>0.17545331427281613</v>
      </c>
      <c r="D266" s="1166">
        <f t="shared" si="1099"/>
        <v>0.16997311241915566</v>
      </c>
      <c r="E266" s="1165">
        <f>E264/E255</f>
        <v>0.18282236172089747</v>
      </c>
      <c r="F266" s="1165">
        <f t="shared" ref="F266:AU266" si="1100">F264/F255</f>
        <v>0.17700390748759101</v>
      </c>
      <c r="G266" s="1165">
        <f>G264/G255</f>
        <v>0.16195508586525759</v>
      </c>
      <c r="H266" s="1166">
        <f t="shared" ref="H266:I266" si="1101">H264/H255</f>
        <v>0.16521357957248842</v>
      </c>
      <c r="I266" s="1165">
        <f t="shared" si="1101"/>
        <v>0.15826606294266801</v>
      </c>
      <c r="J266" s="1166">
        <f t="shared" ref="J266:S266" si="1102">J264/J255</f>
        <v>0.164786847011095</v>
      </c>
      <c r="K266" s="1165">
        <f t="shared" si="1102"/>
        <v>0.15577304049651508</v>
      </c>
      <c r="L266" s="1166">
        <f t="shared" si="1102"/>
        <v>0.14444976361390438</v>
      </c>
      <c r="M266" s="1165">
        <f t="shared" si="1102"/>
        <v>0.15345420366568555</v>
      </c>
      <c r="N266" s="1166">
        <f t="shared" si="1102"/>
        <v>0.13504320777293508</v>
      </c>
      <c r="O266" s="1165">
        <f t="shared" si="1102"/>
        <v>0.1544114945063022</v>
      </c>
      <c r="P266" s="1166">
        <f t="shared" si="1102"/>
        <v>0.13290634155845119</v>
      </c>
      <c r="Q266" s="1165">
        <f t="shared" si="1102"/>
        <v>0.12967770285261429</v>
      </c>
      <c r="R266" s="1166">
        <f t="shared" si="1102"/>
        <v>0.13118850041061481</v>
      </c>
      <c r="S266" s="1165">
        <f t="shared" si="1102"/>
        <v>0.14575608695938513</v>
      </c>
      <c r="T266" s="1166">
        <f t="shared" ref="T266:U266" si="1103">T264/T255</f>
        <v>0.14594681191925662</v>
      </c>
      <c r="U266" s="1165">
        <f t="shared" si="1103"/>
        <v>0.15553146022952119</v>
      </c>
      <c r="V266" s="1166">
        <f t="shared" ref="V266:W266" si="1104">V264/V255</f>
        <v>0.13925788380436835</v>
      </c>
      <c r="W266" s="1165">
        <f t="shared" si="1104"/>
        <v>0.14611173777453387</v>
      </c>
      <c r="X266" s="1165"/>
      <c r="Y266" s="1165"/>
      <c r="Z266" s="1165"/>
      <c r="AA266" s="1165"/>
      <c r="AB266" s="1165"/>
      <c r="AC266" s="1165"/>
      <c r="AD266" s="1165"/>
      <c r="AE266" s="1165">
        <f t="shared" si="1100"/>
        <v>0.1729979296747097</v>
      </c>
      <c r="AF266" s="1165">
        <f t="shared" si="1100"/>
        <v>0.14236544199577209</v>
      </c>
      <c r="AG266" s="1165">
        <f t="shared" si="1100"/>
        <v>0.1852562690461399</v>
      </c>
      <c r="AH266" s="1165">
        <f t="shared" si="1100"/>
        <v>0.18614801955394786</v>
      </c>
      <c r="AI266" s="1165">
        <f t="shared" si="1100"/>
        <v>0.17026995503350517</v>
      </c>
      <c r="AJ266" s="1165">
        <f t="shared" si="1100"/>
        <v>0.149942374530772</v>
      </c>
      <c r="AK266" s="1165">
        <f t="shared" si="1100"/>
        <v>0.16140055005596857</v>
      </c>
      <c r="AL266" s="1165">
        <f t="shared" si="1100"/>
        <v>0.17045795292080837</v>
      </c>
      <c r="AM266" s="1165">
        <f t="shared" si="1100"/>
        <v>0.19198613664233918</v>
      </c>
      <c r="AN266" s="1165">
        <f t="shared" si="1100"/>
        <v>0.19522043938461622</v>
      </c>
      <c r="AO266" s="1165">
        <f t="shared" si="1100"/>
        <v>0.19566708658944551</v>
      </c>
      <c r="AP266" s="1165">
        <f t="shared" si="1100"/>
        <v>0.19753944610335061</v>
      </c>
      <c r="AQ266" s="1165">
        <f t="shared" si="1100"/>
        <v>0.18511234480329095</v>
      </c>
      <c r="AR266" s="1165">
        <f t="shared" si="1100"/>
        <v>0.1781678610052658</v>
      </c>
      <c r="AS266" s="1165">
        <f t="shared" si="1100"/>
        <v>0.17535959999762282</v>
      </c>
      <c r="AT266" s="1165">
        <f t="shared" si="1100"/>
        <v>0.17241697478878804</v>
      </c>
      <c r="AU266" s="1165">
        <f t="shared" si="1100"/>
        <v>0.17954461285846229</v>
      </c>
      <c r="AV266" s="1165">
        <f t="shared" ref="AV266:AW266" si="1105">AV264/AV255</f>
        <v>0.16373204753049939</v>
      </c>
      <c r="AW266" s="1165">
        <f t="shared" si="1105"/>
        <v>0.16193636183781124</v>
      </c>
      <c r="AX266" s="1165">
        <f t="shared" ref="AX266:BA266" si="1106">AX264/AX255</f>
        <v>0.14931643829416491</v>
      </c>
      <c r="AY266" s="1165">
        <f t="shared" si="1106"/>
        <v>0.14318204874161014</v>
      </c>
      <c r="AZ266" s="1165">
        <f t="shared" si="1106"/>
        <v>0.14256721900084601</v>
      </c>
      <c r="BA266" s="1165">
        <f t="shared" si="1106"/>
        <v>0.13049059694832019</v>
      </c>
      <c r="BB266" s="1165">
        <f t="shared" ref="BB266:BC266" si="1107">BB264/BB255</f>
        <v>0.14585641825985174</v>
      </c>
      <c r="BC266" s="1165">
        <f t="shared" si="1107"/>
        <v>0.14646693780239814</v>
      </c>
    </row>
    <row r="267" spans="1:55" s="763" customFormat="1" outlineLevel="1" x14ac:dyDescent="0.25">
      <c r="A267" s="786"/>
      <c r="C267" s="787"/>
      <c r="D267" s="787"/>
      <c r="E267" s="788"/>
      <c r="F267" s="787"/>
      <c r="G267" s="787"/>
      <c r="H267" s="789"/>
      <c r="I267" s="787"/>
      <c r="J267" s="789"/>
      <c r="K267" s="787"/>
      <c r="L267" s="789"/>
      <c r="M267" s="787"/>
      <c r="N267" s="789"/>
      <c r="O267" s="787"/>
      <c r="P267" s="789"/>
      <c r="Q267" s="787"/>
      <c r="R267" s="789"/>
      <c r="S267" s="787"/>
      <c r="T267" s="789"/>
      <c r="U267" s="787"/>
      <c r="V267" s="789"/>
      <c r="W267" s="787"/>
      <c r="AE267" s="787"/>
      <c r="AF267" s="787"/>
      <c r="AG267" s="787"/>
      <c r="AH267" s="787"/>
      <c r="AI267" s="787"/>
      <c r="AJ267" s="787"/>
      <c r="AK267" s="787"/>
      <c r="AL267" s="787"/>
      <c r="AM267" s="787"/>
      <c r="AN267" s="787"/>
      <c r="AO267" s="787"/>
      <c r="AP267" s="787"/>
      <c r="AQ267" s="787"/>
      <c r="AR267" s="787"/>
      <c r="AS267" s="787"/>
      <c r="AT267" s="787"/>
      <c r="AU267" s="787"/>
      <c r="AV267" s="787"/>
      <c r="AW267" s="787"/>
      <c r="AX267" s="787"/>
      <c r="AY267" s="787"/>
      <c r="AZ267" s="787"/>
      <c r="BA267" s="787"/>
      <c r="BB267" s="787"/>
      <c r="BC267" s="787"/>
    </row>
    <row r="268" spans="1:55" ht="13" outlineLevel="1" x14ac:dyDescent="0.25">
      <c r="A268" s="760" t="s">
        <v>265</v>
      </c>
      <c r="C268" s="780">
        <f>'CapIQ - as disclosed'!Y15/1000</f>
        <v>-29.405999999999999</v>
      </c>
      <c r="D268" s="780">
        <f>'CapIQ - as disclosed'!Z15/1000</f>
        <v>-33.786999999999999</v>
      </c>
      <c r="E268" s="781">
        <f>'CapIQ - as disclosed'!AA15/1000</f>
        <v>-38.347000000000001</v>
      </c>
      <c r="F268" s="780">
        <f>AU268-E268</f>
        <v>-40.18</v>
      </c>
      <c r="G268" s="780">
        <f>G269-G264</f>
        <v>-40.4</v>
      </c>
      <c r="H268" s="782">
        <f>AV268-G268</f>
        <v>-45.750999999999998</v>
      </c>
      <c r="I268" s="780">
        <v>-50.725000000000001</v>
      </c>
      <c r="J268" s="782">
        <f>+AW268-I268</f>
        <v>-56.416000000000004</v>
      </c>
      <c r="K268" s="780">
        <f t="shared" ref="K268:U268" si="1108">+K269-K264</f>
        <v>-60.817999999999998</v>
      </c>
      <c r="L268" s="782">
        <f t="shared" si="1108"/>
        <v>-65.838999999999999</v>
      </c>
      <c r="M268" s="780">
        <f t="shared" si="1108"/>
        <v>-71.194000000000003</v>
      </c>
      <c r="N268" s="782">
        <f t="shared" si="1108"/>
        <v>-70.778000000000006</v>
      </c>
      <c r="O268" s="780">
        <f t="shared" si="1108"/>
        <v>-77.400000000000006</v>
      </c>
      <c r="P268" s="782">
        <f t="shared" si="1108"/>
        <v>-79.542000000000002</v>
      </c>
      <c r="Q268" s="780">
        <f t="shared" si="1108"/>
        <v>-86.078000000000003</v>
      </c>
      <c r="R268" s="782">
        <f t="shared" si="1108"/>
        <v>-104.98699999999999</v>
      </c>
      <c r="S268" s="780">
        <f t="shared" si="1108"/>
        <v>-113.983</v>
      </c>
      <c r="T268" s="782">
        <f t="shared" ref="T268:T269" si="1109">+BB268-S268</f>
        <v>-118.94699999999997</v>
      </c>
      <c r="U268" s="780">
        <f t="shared" si="1108"/>
        <v>-129.78299999999999</v>
      </c>
      <c r="V268" s="782">
        <f t="shared" ref="V268:V269" si="1110">+BC268-U268</f>
        <v>-133.90600000000003</v>
      </c>
      <c r="W268" s="780">
        <f t="shared" ref="W268" si="1111">+W269-W264</f>
        <v>-146.54300000000001</v>
      </c>
      <c r="AE268" s="780">
        <f>'CapIQ - as disclosed'!G15/1000000</f>
        <v>-2.6439699999999999</v>
      </c>
      <c r="AF268" s="780">
        <f>'CapIQ - as disclosed'!H15/1000000</f>
        <v>-3.7307100000000002</v>
      </c>
      <c r="AG268" s="780">
        <f>'CapIQ - as disclosed'!I15/1000000</f>
        <v>-5.9687549999999998</v>
      </c>
      <c r="AH268" s="780">
        <f>'CapIQ - as disclosed'!J15/1000000</f>
        <v>-5.6917020000000003</v>
      </c>
      <c r="AI268" s="780">
        <f>'CapIQ - as disclosed'!K15/1000000</f>
        <v>-6.7127520000000001</v>
      </c>
      <c r="AJ268" s="780">
        <f>'CapIQ - as disclosed'!L15/1000000</f>
        <v>-7.415324</v>
      </c>
      <c r="AK268" s="780">
        <f>'CapIQ - as disclosed'!M15/1000000</f>
        <v>-9.5461860000000005</v>
      </c>
      <c r="AL268" s="780">
        <f>'CapIQ - as disclosed'!N15/1000000</f>
        <v>-11.861407</v>
      </c>
      <c r="AM268" s="780">
        <f>'CapIQ - as disclosed'!O15/1000000</f>
        <v>-14.020987999999999</v>
      </c>
      <c r="AN268" s="780">
        <f>'CapIQ - as disclosed'!P15/1000000</f>
        <v>-14.682206000000001</v>
      </c>
      <c r="AO268" s="780">
        <f>'CapIQ - as disclosed'!Q15/1000000</f>
        <v>-18.485997000000001</v>
      </c>
      <c r="AP268" s="780">
        <f>'CapIQ - as disclosed'!R15/1000000</f>
        <v>-27.016508999999999</v>
      </c>
      <c r="AQ268" s="780">
        <f>'CapIQ - as disclosed'!S15/1000000</f>
        <v>-33.994318999999997</v>
      </c>
      <c r="AR268" s="780">
        <v>-43.143000000000001</v>
      </c>
      <c r="AS268" s="780">
        <v>-52.993000000000002</v>
      </c>
      <c r="AT268" s="780">
        <v>-63.192999999999998</v>
      </c>
      <c r="AU268" s="780">
        <v>-78.527000000000001</v>
      </c>
      <c r="AV268" s="780">
        <v>-86.150999999999996</v>
      </c>
      <c r="AW268" s="780">
        <v>-107.14100000000001</v>
      </c>
      <c r="AX268" s="780">
        <f>+AX269-AX264</f>
        <v>-126.657</v>
      </c>
      <c r="AY268" s="780">
        <f>+AY269-AY264</f>
        <v>-141.97200000000001</v>
      </c>
      <c r="AZ268" s="780">
        <f>+AZ269-AZ264</f>
        <v>-156.94200000000001</v>
      </c>
      <c r="BA268" s="780">
        <f>+BA269-BA264</f>
        <v>-191.065</v>
      </c>
      <c r="BB268" s="780">
        <f>+BB269-BB264</f>
        <v>-232.92999999999998</v>
      </c>
      <c r="BC268" s="780">
        <v>-263.68900000000002</v>
      </c>
    </row>
    <row r="269" spans="1:55" outlineLevel="1" x14ac:dyDescent="0.25">
      <c r="A269" s="783" t="s">
        <v>231</v>
      </c>
      <c r="C269" s="772">
        <f>C268+C264</f>
        <v>17.232999999999983</v>
      </c>
      <c r="D269" s="772">
        <f>D268+D264</f>
        <v>22.349000000000025</v>
      </c>
      <c r="E269" s="773">
        <f>E268+E264</f>
        <v>15.32800000000001</v>
      </c>
      <c r="F269" s="772">
        <f>F268+F264</f>
        <v>26.861999999999973</v>
      </c>
      <c r="G269" s="772">
        <v>20.9</v>
      </c>
      <c r="H269" s="774">
        <f>AV269-G269</f>
        <v>29.252000000000002</v>
      </c>
      <c r="I269" s="772">
        <v>24.11</v>
      </c>
      <c r="J269" s="774">
        <f>+Canalyst!F178</f>
        <v>43.912000000000027</v>
      </c>
      <c r="K269" s="772">
        <f>+Canalyst!G178</f>
        <v>33.854000000000028</v>
      </c>
      <c r="L269" s="774">
        <f>+Canalyst!H178</f>
        <v>50.632000000000005</v>
      </c>
      <c r="M269" s="772">
        <f>+Canalyst!I178</f>
        <v>40.478000000000023</v>
      </c>
      <c r="N269" s="774">
        <f>+Canalyst!J178</f>
        <v>53.254999999999896</v>
      </c>
      <c r="O269" s="772">
        <f>+Canalyst!K178</f>
        <v>57.06400000000005</v>
      </c>
      <c r="P269" s="774">
        <f>+Canalyst!L178</f>
        <v>62.35199999999989</v>
      </c>
      <c r="Q269" s="772">
        <f>+Canalyst!M178</f>
        <v>64.133000000000067</v>
      </c>
      <c r="R269" s="774">
        <f>+Canalyst!N178</f>
        <v>72.011999999999858</v>
      </c>
      <c r="S269" s="772">
        <f>+Canalyst!O178</f>
        <v>63.07099999999997</v>
      </c>
      <c r="T269" s="774">
        <f t="shared" si="1109"/>
        <v>77.829000000000036</v>
      </c>
      <c r="U269" s="772">
        <f>+U243</f>
        <v>66.731000000000023</v>
      </c>
      <c r="V269" s="774">
        <f t="shared" si="1110"/>
        <v>87.33299999999997</v>
      </c>
      <c r="W269" s="772">
        <f>+W243</f>
        <v>73.662000000000006</v>
      </c>
      <c r="AE269" s="772">
        <f t="shared" ref="AE269:AW269" si="1112">AE268+AE264</f>
        <v>0.53351100000000029</v>
      </c>
      <c r="AF269" s="772">
        <f t="shared" si="1112"/>
        <v>0.80633000000000088</v>
      </c>
      <c r="AG269" s="772">
        <f t="shared" si="1112"/>
        <v>1.1837199999999992</v>
      </c>
      <c r="AH269" s="772">
        <f t="shared" si="1112"/>
        <v>1.6568710000000015</v>
      </c>
      <c r="AI269" s="772">
        <f t="shared" si="1112"/>
        <v>1.9936170000000022</v>
      </c>
      <c r="AJ269" s="772">
        <f t="shared" si="1112"/>
        <v>1.147129000000005</v>
      </c>
      <c r="AK269" s="772">
        <f t="shared" si="1112"/>
        <v>1.3125009999999957</v>
      </c>
      <c r="AL269" s="772">
        <f t="shared" si="1112"/>
        <v>3.3336380000000077</v>
      </c>
      <c r="AM269" s="772">
        <f t="shared" si="1112"/>
        <v>5.7374389999999984</v>
      </c>
      <c r="AN269" s="772">
        <f t="shared" si="1112"/>
        <v>7.4000070000000093</v>
      </c>
      <c r="AO269" s="772">
        <f t="shared" si="1112"/>
        <v>10.032754999999991</v>
      </c>
      <c r="AP269" s="772">
        <f t="shared" si="1112"/>
        <v>16.289691999999988</v>
      </c>
      <c r="AQ269" s="772">
        <f t="shared" si="1112"/>
        <v>22.290106999999999</v>
      </c>
      <c r="AR269" s="772">
        <f t="shared" si="1112"/>
        <v>27.367999999999967</v>
      </c>
      <c r="AS269" s="772">
        <f t="shared" si="1112"/>
        <v>35.528000000000013</v>
      </c>
      <c r="AT269" s="772">
        <f t="shared" si="1112"/>
        <v>39.581999999999923</v>
      </c>
      <c r="AU269" s="772">
        <f t="shared" si="1112"/>
        <v>42.189999999999984</v>
      </c>
      <c r="AV269" s="772">
        <f t="shared" si="1112"/>
        <v>50.152000000000001</v>
      </c>
      <c r="AW269" s="772">
        <f t="shared" si="1112"/>
        <v>68.022000000000006</v>
      </c>
      <c r="AX269" s="772">
        <f>+Canalyst!AJ178</f>
        <v>84.486000000000033</v>
      </c>
      <c r="AY269" s="772">
        <f>+Canalyst!AK178</f>
        <v>93.732999999999919</v>
      </c>
      <c r="AZ269" s="772">
        <f>+Canalyst!AL178</f>
        <v>119.41599999999994</v>
      </c>
      <c r="BA269" s="772">
        <f>+Canalyst!AM178</f>
        <v>136.14499999999992</v>
      </c>
      <c r="BB269" s="772">
        <v>140.9</v>
      </c>
      <c r="BC269" s="772">
        <v>154.06399999999999</v>
      </c>
    </row>
    <row r="270" spans="1:55" s="776" customFormat="1" ht="12" outlineLevel="1" x14ac:dyDescent="0.3">
      <c r="A270" s="784" t="s">
        <v>37</v>
      </c>
      <c r="C270" s="1165"/>
      <c r="D270" s="1166"/>
      <c r="E270" s="1165">
        <f>E269/C269-1</f>
        <v>-0.11054372424998404</v>
      </c>
      <c r="F270" s="1165">
        <f>F269/D269-1</f>
        <v>0.2019329723924983</v>
      </c>
      <c r="G270" s="1165">
        <f>G269/E269-1</f>
        <v>0.36351774530271297</v>
      </c>
      <c r="H270" s="1166">
        <f t="shared" ref="H270" si="1113">H269/F269-1</f>
        <v>8.8973270791453674E-2</v>
      </c>
      <c r="I270" s="1165">
        <f t="shared" ref="I270" si="1114">I269/G269-1</f>
        <v>0.1535885167464115</v>
      </c>
      <c r="J270" s="1166">
        <f t="shared" ref="J270" si="1115">J269/H269-1</f>
        <v>0.50116231368795372</v>
      </c>
      <c r="K270" s="1165">
        <f t="shared" ref="K270" si="1116">K269/I269-1</f>
        <v>0.40414765657403695</v>
      </c>
      <c r="L270" s="1166">
        <f t="shared" ref="L270" si="1117">L269/J269-1</f>
        <v>0.15303333940608432</v>
      </c>
      <c r="M270" s="1165">
        <f t="shared" ref="M270" si="1118">M269/K269-1</f>
        <v>0.19566373249837499</v>
      </c>
      <c r="N270" s="1166">
        <f t="shared" ref="N270" si="1119">N269/L269-1</f>
        <v>5.1805182493282809E-2</v>
      </c>
      <c r="O270" s="1165">
        <f t="shared" ref="O270" si="1120">O269/M269-1</f>
        <v>0.409753446316518</v>
      </c>
      <c r="P270" s="1166">
        <f t="shared" ref="P270" si="1121">P269/N269-1</f>
        <v>0.17081964134823036</v>
      </c>
      <c r="Q270" s="1165">
        <f t="shared" ref="Q270" si="1122">Q269/O269-1</f>
        <v>0.12387845226412475</v>
      </c>
      <c r="R270" s="1166">
        <f t="shared" ref="R270" si="1123">R269/P269-1</f>
        <v>0.15492686682063095</v>
      </c>
      <c r="S270" s="1165">
        <f t="shared" ref="S270:T270" si="1124">S269/Q269-1</f>
        <v>-1.6559337626496418E-2</v>
      </c>
      <c r="T270" s="1166">
        <f t="shared" si="1124"/>
        <v>8.0778203632730472E-2</v>
      </c>
      <c r="U270" s="1165">
        <f t="shared" ref="U270:W270" si="1125">U269/S269-1</f>
        <v>5.8029839387357951E-2</v>
      </c>
      <c r="V270" s="1166">
        <f t="shared" si="1125"/>
        <v>0.1221138650117557</v>
      </c>
      <c r="W270" s="1165">
        <f t="shared" si="1125"/>
        <v>0.10386477049647058</v>
      </c>
      <c r="X270" s="1165"/>
      <c r="Y270" s="1165"/>
      <c r="Z270" s="1165"/>
      <c r="AA270" s="1165"/>
      <c r="AB270" s="1165"/>
      <c r="AC270" s="1165"/>
      <c r="AD270" s="1165"/>
      <c r="AE270" s="1165"/>
      <c r="AF270" s="1165">
        <f t="shared" ref="AF270" si="1126">AF269/AE269-1</f>
        <v>0.51136527644228602</v>
      </c>
      <c r="AG270" s="1165">
        <f t="shared" ref="AG270" si="1127">AG269/AF269-1</f>
        <v>0.46803417955427418</v>
      </c>
      <c r="AH270" s="1165">
        <f t="shared" ref="AH270" si="1128">AH269/AG269-1</f>
        <v>0.39971530429493685</v>
      </c>
      <c r="AI270" s="1165">
        <f t="shared" ref="AI270" si="1129">AI269/AH269-1</f>
        <v>0.2032421353261662</v>
      </c>
      <c r="AJ270" s="1165">
        <f t="shared" ref="AJ270" si="1130">AJ269/AI269-1</f>
        <v>-0.42459910805335044</v>
      </c>
      <c r="AK270" s="1165">
        <f t="shared" ref="AK270" si="1131">AK269/AJ269-1</f>
        <v>0.1441616418031364</v>
      </c>
      <c r="AL270" s="1165">
        <f t="shared" ref="AL270" si="1132">AL269/AK269-1</f>
        <v>1.5399127314950758</v>
      </c>
      <c r="AM270" s="1165">
        <f t="shared" ref="AM270" si="1133">AM269/AL269-1</f>
        <v>0.72107439380040228</v>
      </c>
      <c r="AN270" s="1165">
        <f t="shared" ref="AN270" si="1134">AN269/AM269-1</f>
        <v>0.28977528127096619</v>
      </c>
      <c r="AO270" s="1165">
        <f t="shared" ref="AO270" si="1135">AO269/AN269-1</f>
        <v>0.35577642021149147</v>
      </c>
      <c r="AP270" s="1165">
        <f t="shared" ref="AP270" si="1136">AP269/AO269-1</f>
        <v>0.62365093137428373</v>
      </c>
      <c r="AQ270" s="1165">
        <f t="shared" ref="AQ270" si="1137">AQ269/AP269-1</f>
        <v>0.36835656561216834</v>
      </c>
      <c r="AR270" s="1165">
        <f t="shared" ref="AR270" si="1138">AR269/AQ269-1</f>
        <v>0.22780926982539684</v>
      </c>
      <c r="AS270" s="1165">
        <f t="shared" ref="AS270" si="1139">AS269/AR269-1</f>
        <v>0.29815843320666668</v>
      </c>
      <c r="AT270" s="1165">
        <f t="shared" ref="AT270" si="1140">AT269/AS269-1</f>
        <v>0.11410718306687428</v>
      </c>
      <c r="AU270" s="1165">
        <f t="shared" ref="AU270" si="1141">AU269/AT269-1</f>
        <v>6.5888535192766051E-2</v>
      </c>
      <c r="AV270" s="1165">
        <f t="shared" ref="AV270" si="1142">AV269/AU269-1</f>
        <v>0.18871770561744539</v>
      </c>
      <c r="AW270" s="1165">
        <f t="shared" ref="AW270" si="1143">AW269/AV269-1</f>
        <v>0.35631679693731066</v>
      </c>
      <c r="AX270" s="1165">
        <f t="shared" ref="AX270" si="1144">AX269/AW269-1</f>
        <v>0.24203934021346063</v>
      </c>
      <c r="AY270" s="1165">
        <f t="shared" ref="AY270" si="1145">AY269/AX269-1</f>
        <v>0.10945008640484666</v>
      </c>
      <c r="AZ270" s="1165">
        <f t="shared" ref="AZ270" si="1146">AZ269/AY269-1</f>
        <v>0.27400168563899641</v>
      </c>
      <c r="BA270" s="1165">
        <f t="shared" ref="BA270:BB270" si="1147">BA269/AZ269-1</f>
        <v>0.14009010517853548</v>
      </c>
      <c r="BB270" s="1165">
        <f t="shared" si="1147"/>
        <v>3.4925998016820836E-2</v>
      </c>
      <c r="BC270" s="1165">
        <f t="shared" ref="BC270" si="1148">BC269/BB269-1</f>
        <v>9.3427963094393052E-2</v>
      </c>
    </row>
    <row r="271" spans="1:55" s="776" customFormat="1" ht="12" outlineLevel="1" x14ac:dyDescent="0.3">
      <c r="A271" s="784" t="s">
        <v>278</v>
      </c>
      <c r="C271" s="1165">
        <f t="shared" ref="C271:S271" si="1149">+C269/C255</f>
        <v>6.4829583928974435E-2</v>
      </c>
      <c r="D271" s="1166">
        <f t="shared" si="1149"/>
        <v>6.7670106339171157E-2</v>
      </c>
      <c r="E271" s="1165">
        <f t="shared" si="1149"/>
        <v>5.2208684871130277E-2</v>
      </c>
      <c r="F271" s="1165">
        <f t="shared" si="1149"/>
        <v>7.0920899778223606E-2</v>
      </c>
      <c r="G271" s="1165">
        <f t="shared" si="1149"/>
        <v>5.5217965653896958E-2</v>
      </c>
      <c r="H271" s="1166">
        <f t="shared" si="1149"/>
        <v>6.4435124323752799E-2</v>
      </c>
      <c r="I271" s="1165">
        <f t="shared" si="1149"/>
        <v>5.0989440469669634E-2</v>
      </c>
      <c r="J271" s="1166">
        <f t="shared" si="1149"/>
        <v>7.2124631468296049E-2</v>
      </c>
      <c r="K271" s="1165">
        <f t="shared" si="1149"/>
        <v>5.5703275656678049E-2</v>
      </c>
      <c r="L271" s="1166">
        <f t="shared" si="1149"/>
        <v>6.2794862509115631E-2</v>
      </c>
      <c r="M271" s="1165">
        <f t="shared" si="1149"/>
        <v>5.5622888960344771E-2</v>
      </c>
      <c r="N271" s="1166">
        <f t="shared" si="1149"/>
        <v>5.7982359774799035E-2</v>
      </c>
      <c r="O271" s="1165">
        <f t="shared" si="1149"/>
        <v>6.5529342593613413E-2</v>
      </c>
      <c r="P271" s="1166">
        <f t="shared" si="1149"/>
        <v>5.8402583681146064E-2</v>
      </c>
      <c r="Q271" s="1165">
        <f t="shared" si="1149"/>
        <v>5.5366252252143429E-2</v>
      </c>
      <c r="R271" s="1166">
        <f t="shared" si="1149"/>
        <v>5.3374009410048544E-2</v>
      </c>
      <c r="S271" s="1165">
        <f t="shared" si="1149"/>
        <v>5.1921911736619211E-2</v>
      </c>
      <c r="T271" s="1166">
        <f t="shared" ref="T271:U271" si="1150">+T269/T255</f>
        <v>5.7724999109971892E-2</v>
      </c>
      <c r="U271" s="1165">
        <f t="shared" si="1150"/>
        <v>5.2814404432132984E-2</v>
      </c>
      <c r="V271" s="1166">
        <f t="shared" ref="V271:W271" si="1151">+V269/V255</f>
        <v>5.4971360231635916E-2</v>
      </c>
      <c r="W271" s="1165">
        <f t="shared" si="1151"/>
        <v>4.8876650520867891E-2</v>
      </c>
      <c r="X271" s="1165"/>
      <c r="Y271" s="1165"/>
      <c r="Z271" s="1165"/>
      <c r="AA271" s="1165"/>
      <c r="AB271" s="1165"/>
      <c r="AC271" s="1165"/>
      <c r="AD271" s="1165"/>
      <c r="AE271" s="1165">
        <f t="shared" ref="AE271:BA271" si="1152">+AE269/AE255</f>
        <v>2.9047002471040452E-2</v>
      </c>
      <c r="AF271" s="1165">
        <f t="shared" si="1152"/>
        <v>2.5301413883159728E-2</v>
      </c>
      <c r="AG271" s="1165">
        <f t="shared" si="1152"/>
        <v>3.0659534048744889E-2</v>
      </c>
      <c r="AH271" s="1165">
        <f t="shared" si="1152"/>
        <v>4.1970496218295628E-2</v>
      </c>
      <c r="AI271" s="1165">
        <f t="shared" si="1152"/>
        <v>3.8989052375798888E-2</v>
      </c>
      <c r="AJ271" s="1165">
        <f t="shared" si="1152"/>
        <v>2.0088080618148863E-2</v>
      </c>
      <c r="AK271" s="1165">
        <f t="shared" si="1152"/>
        <v>1.9508655452450945E-2</v>
      </c>
      <c r="AL271" s="1165">
        <f t="shared" si="1152"/>
        <v>3.7396737506142218E-2</v>
      </c>
      <c r="AM271" s="1165">
        <f t="shared" si="1152"/>
        <v>5.5748807728018317E-2</v>
      </c>
      <c r="AN271" s="1165">
        <f t="shared" si="1152"/>
        <v>6.5420645022726528E-2</v>
      </c>
      <c r="AO271" s="1165">
        <f t="shared" si="1152"/>
        <v>6.8834707118870103E-2</v>
      </c>
      <c r="AP271" s="1165">
        <f t="shared" si="1152"/>
        <v>7.4304756837806671E-2</v>
      </c>
      <c r="AQ271" s="1165">
        <f t="shared" si="1152"/>
        <v>7.3309337341136774E-2</v>
      </c>
      <c r="AR271" s="1165">
        <f t="shared" si="1152"/>
        <v>6.9153720979593408E-2</v>
      </c>
      <c r="AS271" s="1165">
        <f t="shared" si="1152"/>
        <v>7.0380766922148924E-2</v>
      </c>
      <c r="AT271" s="1165">
        <f t="shared" si="1152"/>
        <v>6.6403392810409148E-2</v>
      </c>
      <c r="AU271" s="1165">
        <f t="shared" si="1152"/>
        <v>6.2749962445210888E-2</v>
      </c>
      <c r="AV271" s="1165">
        <f t="shared" si="1152"/>
        <v>6.024437941754477E-2</v>
      </c>
      <c r="AW271" s="1165">
        <f t="shared" si="1152"/>
        <v>6.2885627700665081E-2</v>
      </c>
      <c r="AX271" s="1165">
        <f t="shared" si="1152"/>
        <v>5.9746942146890115E-2</v>
      </c>
      <c r="AY271" s="1165">
        <f t="shared" si="1152"/>
        <v>5.6939322350808577E-2</v>
      </c>
      <c r="AZ271" s="1165">
        <f t="shared" si="1152"/>
        <v>6.1604176554342638E-2</v>
      </c>
      <c r="BA271" s="1165">
        <f t="shared" si="1152"/>
        <v>5.4294313503649175E-2</v>
      </c>
      <c r="BB271" s="1165">
        <f t="shared" ref="BB271:BC271" si="1153">+BB269/BB255</f>
        <v>5.4974639094810769E-2</v>
      </c>
      <c r="BC271" s="1165">
        <f t="shared" si="1153"/>
        <v>5.401584741602973E-2</v>
      </c>
    </row>
    <row r="272" spans="1:55" s="776" customFormat="1" ht="12" outlineLevel="1" x14ac:dyDescent="0.3">
      <c r="A272" s="784" t="s">
        <v>279</v>
      </c>
      <c r="C272" s="1165">
        <f t="shared" ref="C272:S272" si="1154">C269/C264</f>
        <v>0.36949763073822317</v>
      </c>
      <c r="D272" s="1166">
        <f t="shared" si="1154"/>
        <v>0.39812241698731682</v>
      </c>
      <c r="E272" s="1165">
        <f t="shared" si="1154"/>
        <v>0.28557056357708444</v>
      </c>
      <c r="F272" s="1165">
        <f t="shared" si="1154"/>
        <v>0.40067420423018385</v>
      </c>
      <c r="G272" s="1165">
        <f t="shared" si="1154"/>
        <v>0.34094616639477976</v>
      </c>
      <c r="H272" s="1166">
        <f t="shared" si="1154"/>
        <v>0.39001106622401771</v>
      </c>
      <c r="I272" s="1165">
        <f t="shared" si="1154"/>
        <v>0.32217545266252429</v>
      </c>
      <c r="J272" s="1166">
        <f t="shared" si="1154"/>
        <v>0.43768439518379726</v>
      </c>
      <c r="K272" s="1165">
        <f t="shared" si="1154"/>
        <v>0.35759252999831015</v>
      </c>
      <c r="L272" s="1166">
        <f t="shared" si="1154"/>
        <v>0.43471765503859333</v>
      </c>
      <c r="M272" s="1165">
        <f t="shared" si="1154"/>
        <v>0.36247224013181473</v>
      </c>
      <c r="N272" s="1166">
        <f t="shared" si="1154"/>
        <v>0.42936154088024914</v>
      </c>
      <c r="O272" s="1165">
        <f t="shared" si="1154"/>
        <v>0.42438124702522628</v>
      </c>
      <c r="P272" s="1166">
        <f t="shared" si="1154"/>
        <v>0.43942661423315954</v>
      </c>
      <c r="Q272" s="1165">
        <f t="shared" si="1154"/>
        <v>0.42695275312726788</v>
      </c>
      <c r="R272" s="1166">
        <f t="shared" si="1154"/>
        <v>0.40684975621331149</v>
      </c>
      <c r="S272" s="1165">
        <f t="shared" si="1154"/>
        <v>0.35622465462514247</v>
      </c>
      <c r="T272" s="1166">
        <f t="shared" ref="T272:U272" si="1155">T269/T264</f>
        <v>0.3955207952189293</v>
      </c>
      <c r="U272" s="1165">
        <f t="shared" si="1155"/>
        <v>0.33957377082548834</v>
      </c>
      <c r="V272" s="1166">
        <f t="shared" ref="V272:W272" si="1156">V269/V264</f>
        <v>0.39474504947138606</v>
      </c>
      <c r="W272" s="1165">
        <f t="shared" si="1156"/>
        <v>0.33451556504166574</v>
      </c>
      <c r="X272" s="1165"/>
      <c r="Y272" s="1165"/>
      <c r="Z272" s="1165"/>
      <c r="AA272" s="1165"/>
      <c r="AB272" s="1165"/>
      <c r="AC272" s="1165"/>
      <c r="AD272" s="1165"/>
      <c r="AE272" s="1165">
        <f t="shared" ref="AE272:BA272" si="1157">AE269/AE264</f>
        <v>0.16790375772506594</v>
      </c>
      <c r="AF272" s="1165">
        <f t="shared" si="1157"/>
        <v>0.1777215982226299</v>
      </c>
      <c r="AG272" s="1165">
        <f t="shared" si="1157"/>
        <v>0.1654979570008982</v>
      </c>
      <c r="AH272" s="1165">
        <f t="shared" si="1157"/>
        <v>0.22546840046360037</v>
      </c>
      <c r="AI272" s="1165">
        <f t="shared" si="1157"/>
        <v>0.22898374741525448</v>
      </c>
      <c r="AJ272" s="1165">
        <f t="shared" si="1157"/>
        <v>0.13397200545217641</v>
      </c>
      <c r="AK272" s="1165">
        <f t="shared" si="1157"/>
        <v>0.12087105927263546</v>
      </c>
      <c r="AL272" s="1165">
        <f t="shared" si="1157"/>
        <v>0.21938980766427515</v>
      </c>
      <c r="AM272" s="1165">
        <f t="shared" si="1157"/>
        <v>0.290379340420166</v>
      </c>
      <c r="AN272" s="1165">
        <f t="shared" si="1157"/>
        <v>0.33511165751367428</v>
      </c>
      <c r="AO272" s="1165">
        <f t="shared" si="1157"/>
        <v>0.35179502244698485</v>
      </c>
      <c r="AP272" s="1165">
        <f t="shared" si="1157"/>
        <v>0.37615148925208175</v>
      </c>
      <c r="AQ272" s="1165">
        <f t="shared" si="1157"/>
        <v>0.39602619381780674</v>
      </c>
      <c r="AR272" s="1165">
        <f t="shared" si="1157"/>
        <v>0.38813802101799688</v>
      </c>
      <c r="AS272" s="1165">
        <f t="shared" si="1157"/>
        <v>0.40135109183131695</v>
      </c>
      <c r="AT272" s="1165">
        <f t="shared" si="1157"/>
        <v>0.3851325711505712</v>
      </c>
      <c r="AU272" s="1165">
        <f t="shared" si="1157"/>
        <v>0.34949510011017493</v>
      </c>
      <c r="AV272" s="1165">
        <f t="shared" si="1157"/>
        <v>0.36794494618607076</v>
      </c>
      <c r="AW272" s="1165">
        <f t="shared" si="1157"/>
        <v>0.38833543613662702</v>
      </c>
      <c r="AX272" s="1165">
        <f t="shared" si="1157"/>
        <v>0.40013640044898491</v>
      </c>
      <c r="AY272" s="1165">
        <f t="shared" si="1157"/>
        <v>0.39767081733522813</v>
      </c>
      <c r="AZ272" s="1165">
        <f t="shared" si="1157"/>
        <v>0.43210618111290416</v>
      </c>
      <c r="BA272" s="1165">
        <f t="shared" si="1157"/>
        <v>0.41607835946334143</v>
      </c>
      <c r="BB272" s="1165">
        <f t="shared" ref="BB272:BC272" si="1158">BB269/BB264</f>
        <v>0.37690929031912906</v>
      </c>
      <c r="BC272" s="1165">
        <f t="shared" si="1158"/>
        <v>0.3687920852752703</v>
      </c>
    </row>
    <row r="273" spans="1:62" outlineLevel="1" x14ac:dyDescent="0.25">
      <c r="E273" s="790"/>
      <c r="F273" s="824"/>
      <c r="H273" s="825"/>
      <c r="I273" s="824"/>
      <c r="J273" s="825"/>
      <c r="K273" s="824"/>
      <c r="L273" s="825"/>
      <c r="M273" s="824"/>
      <c r="N273" s="825"/>
      <c r="O273" s="824"/>
      <c r="P273" s="825"/>
      <c r="Q273" s="824"/>
      <c r="R273" s="825"/>
      <c r="S273" s="824"/>
      <c r="T273" s="825"/>
      <c r="U273" s="824"/>
      <c r="V273" s="825"/>
      <c r="W273" s="824"/>
      <c r="AR273" s="824"/>
      <c r="AS273" s="824"/>
      <c r="AT273" s="824"/>
      <c r="AU273" s="824"/>
      <c r="AV273" s="824"/>
      <c r="AW273" s="824"/>
      <c r="AX273" s="824"/>
      <c r="AY273" s="824"/>
      <c r="AZ273" s="824"/>
      <c r="BA273" s="824"/>
      <c r="BB273" s="824"/>
      <c r="BC273" s="824"/>
    </row>
    <row r="274" spans="1:62" x14ac:dyDescent="0.25">
      <c r="A274" s="1177" t="s">
        <v>280</v>
      </c>
      <c r="C274" s="772"/>
      <c r="D274" s="772"/>
      <c r="E274" s="773"/>
      <c r="F274" s="772"/>
      <c r="G274" s="772"/>
      <c r="H274" s="774"/>
      <c r="I274" s="772"/>
      <c r="J274" s="774"/>
      <c r="K274" s="772"/>
      <c r="L274" s="774"/>
      <c r="M274" s="772"/>
      <c r="N274" s="774"/>
      <c r="O274" s="772"/>
      <c r="P274" s="774"/>
      <c r="Q274" s="772"/>
      <c r="R274" s="774"/>
      <c r="S274" s="772"/>
      <c r="T274" s="774"/>
      <c r="U274" s="772"/>
      <c r="V274" s="774"/>
      <c r="W274" s="772"/>
      <c r="AE274" s="772"/>
      <c r="AF274" s="772"/>
      <c r="AG274" s="772"/>
      <c r="AH274" s="772"/>
      <c r="AI274" s="772"/>
      <c r="AJ274" s="772"/>
      <c r="AK274" s="772"/>
      <c r="AL274" s="772"/>
      <c r="AM274" s="772"/>
      <c r="AN274" s="772"/>
      <c r="AO274" s="772"/>
      <c r="AP274" s="772"/>
      <c r="AQ274" s="772"/>
      <c r="AR274" s="772"/>
      <c r="AS274" s="772"/>
      <c r="AT274" s="772"/>
      <c r="AU274" s="772"/>
      <c r="AV274" s="772"/>
      <c r="AW274" s="772"/>
      <c r="AX274" s="772"/>
      <c r="AY274" s="772"/>
      <c r="AZ274" s="772"/>
      <c r="BA274" s="772"/>
      <c r="BB274" s="772"/>
      <c r="BC274" s="772"/>
    </row>
    <row r="275" spans="1:62" x14ac:dyDescent="0.25">
      <c r="A275" s="760" t="str">
        <f>+A243</f>
        <v>Operating profit</v>
      </c>
      <c r="C275" s="772">
        <f t="shared" ref="C275:BA275" si="1159">+C243</f>
        <v>17.232999999999983</v>
      </c>
      <c r="D275" s="772">
        <f t="shared" si="1159"/>
        <v>22.349000000000025</v>
      </c>
      <c r="E275" s="773">
        <f t="shared" si="1159"/>
        <v>15.32800000000001</v>
      </c>
      <c r="F275" s="772">
        <f t="shared" si="1159"/>
        <v>26.861999999999973</v>
      </c>
      <c r="G275" s="772">
        <f t="shared" si="1159"/>
        <v>20.9</v>
      </c>
      <c r="H275" s="774">
        <f t="shared" si="1159"/>
        <v>29.252000000000002</v>
      </c>
      <c r="I275" s="772">
        <f t="shared" si="1159"/>
        <v>24.109999999999978</v>
      </c>
      <c r="J275" s="774">
        <f t="shared" si="1159"/>
        <v>43.912000000000027</v>
      </c>
      <c r="K275" s="772">
        <f t="shared" si="1159"/>
        <v>33.854000000000028</v>
      </c>
      <c r="L275" s="774">
        <f t="shared" si="1159"/>
        <v>50.632000000000005</v>
      </c>
      <c r="M275" s="772">
        <f t="shared" si="1159"/>
        <v>40.478000000000023</v>
      </c>
      <c r="N275" s="774">
        <f t="shared" si="1159"/>
        <v>53.254999999999896</v>
      </c>
      <c r="O275" s="772">
        <f t="shared" si="1159"/>
        <v>57.06400000000005</v>
      </c>
      <c r="P275" s="774">
        <f t="shared" si="1159"/>
        <v>62.35199999999989</v>
      </c>
      <c r="Q275" s="772">
        <f t="shared" si="1159"/>
        <v>64.133000000000067</v>
      </c>
      <c r="R275" s="774">
        <f t="shared" si="1159"/>
        <v>72.011999999999858</v>
      </c>
      <c r="S275" s="772">
        <f t="shared" si="1159"/>
        <v>63.07099999999997</v>
      </c>
      <c r="T275" s="774">
        <f>+BB275-S275</f>
        <v>77.829000000000036</v>
      </c>
      <c r="U275" s="772">
        <f t="shared" ref="U275:W275" si="1160">+U243</f>
        <v>66.731000000000023</v>
      </c>
      <c r="V275" s="774">
        <f t="shared" ref="V275:V278" si="1161">+BC275-U275</f>
        <v>87.332999999999942</v>
      </c>
      <c r="W275" s="772">
        <f t="shared" si="1160"/>
        <v>73.662000000000006</v>
      </c>
      <c r="AE275" s="772">
        <f t="shared" si="1159"/>
        <v>0.53351100000000029</v>
      </c>
      <c r="AF275" s="772">
        <f t="shared" si="1159"/>
        <v>0.80633000000000088</v>
      </c>
      <c r="AG275" s="772">
        <f t="shared" si="1159"/>
        <v>1.1837199999999992</v>
      </c>
      <c r="AH275" s="772">
        <f t="shared" si="1159"/>
        <v>1.6568710000000015</v>
      </c>
      <c r="AI275" s="772">
        <f t="shared" si="1159"/>
        <v>1.9936170000000022</v>
      </c>
      <c r="AJ275" s="772">
        <f t="shared" si="1159"/>
        <v>1.147129000000005</v>
      </c>
      <c r="AK275" s="772">
        <f t="shared" si="1159"/>
        <v>1.3125009999999957</v>
      </c>
      <c r="AL275" s="772">
        <f t="shared" si="1159"/>
        <v>3.3336380000000077</v>
      </c>
      <c r="AM275" s="772">
        <f t="shared" si="1159"/>
        <v>5.7374389999999984</v>
      </c>
      <c r="AN275" s="772">
        <f t="shared" si="1159"/>
        <v>7.4000070000000093</v>
      </c>
      <c r="AO275" s="772">
        <f t="shared" si="1159"/>
        <v>10.032754999999991</v>
      </c>
      <c r="AP275" s="772">
        <f t="shared" si="1159"/>
        <v>16.289691999999988</v>
      </c>
      <c r="AQ275" s="772">
        <f t="shared" si="1159"/>
        <v>22.290106999999999</v>
      </c>
      <c r="AR275" s="772">
        <f t="shared" si="1159"/>
        <v>27.367999999999967</v>
      </c>
      <c r="AS275" s="772">
        <f t="shared" si="1159"/>
        <v>35.528000000000013</v>
      </c>
      <c r="AT275" s="772">
        <f t="shared" si="1159"/>
        <v>39.581999999999923</v>
      </c>
      <c r="AU275" s="772">
        <f t="shared" si="1159"/>
        <v>42.189999999999984</v>
      </c>
      <c r="AV275" s="772">
        <f t="shared" si="1159"/>
        <v>50.152000000000001</v>
      </c>
      <c r="AW275" s="772">
        <f t="shared" si="1159"/>
        <v>68.022000000000006</v>
      </c>
      <c r="AX275" s="772">
        <f t="shared" si="1159"/>
        <v>84.486000000000033</v>
      </c>
      <c r="AY275" s="772">
        <f t="shared" si="1159"/>
        <v>93.732999999999919</v>
      </c>
      <c r="AZ275" s="772">
        <f t="shared" si="1159"/>
        <v>119.41599999999994</v>
      </c>
      <c r="BA275" s="772">
        <f t="shared" si="1159"/>
        <v>136.14499999999992</v>
      </c>
      <c r="BB275" s="772">
        <f t="shared" ref="BB275:BC275" si="1162">+BB243</f>
        <v>140.9</v>
      </c>
      <c r="BC275" s="772">
        <f t="shared" si="1162"/>
        <v>154.06399999999996</v>
      </c>
    </row>
    <row r="276" spans="1:62" x14ac:dyDescent="0.25">
      <c r="A276" s="760" t="s">
        <v>266</v>
      </c>
      <c r="C276" s="772">
        <v>-5.8000000000000003E-2</v>
      </c>
      <c r="D276" s="772">
        <f>AT276-C276</f>
        <v>-0.94099999999999995</v>
      </c>
      <c r="E276" s="773">
        <v>-3.673</v>
      </c>
      <c r="F276" s="772">
        <f>AU276-E276</f>
        <v>0</v>
      </c>
      <c r="G276" s="772">
        <f t="shared" ref="G276:S276" si="1163">-G221</f>
        <v>0</v>
      </c>
      <c r="H276" s="774">
        <f t="shared" si="1163"/>
        <v>0</v>
      </c>
      <c r="I276" s="772">
        <f t="shared" si="1163"/>
        <v>0</v>
      </c>
      <c r="J276" s="774">
        <f t="shared" si="1163"/>
        <v>0</v>
      </c>
      <c r="K276" s="772">
        <f t="shared" si="1163"/>
        <v>0</v>
      </c>
      <c r="L276" s="774">
        <f t="shared" si="1163"/>
        <v>0</v>
      </c>
      <c r="M276" s="772">
        <f t="shared" si="1163"/>
        <v>0</v>
      </c>
      <c r="N276" s="774">
        <f t="shared" si="1163"/>
        <v>0</v>
      </c>
      <c r="O276" s="772">
        <f t="shared" si="1163"/>
        <v>0</v>
      </c>
      <c r="P276" s="774">
        <f t="shared" si="1163"/>
        <v>0</v>
      </c>
      <c r="Q276" s="772">
        <f t="shared" si="1163"/>
        <v>0</v>
      </c>
      <c r="R276" s="774">
        <f t="shared" si="1163"/>
        <v>0</v>
      </c>
      <c r="S276" s="772">
        <f t="shared" si="1163"/>
        <v>0</v>
      </c>
      <c r="T276" s="774">
        <f t="shared" ref="T276:T278" si="1164">+BB276-S276</f>
        <v>0</v>
      </c>
      <c r="U276" s="772">
        <f t="shared" ref="U276:W276" si="1165">-U221</f>
        <v>0</v>
      </c>
      <c r="V276" s="774">
        <f t="shared" si="1161"/>
        <v>0</v>
      </c>
      <c r="W276" s="772">
        <f t="shared" si="1165"/>
        <v>0</v>
      </c>
      <c r="AE276" s="772">
        <v>0</v>
      </c>
      <c r="AF276" s="772">
        <v>0</v>
      </c>
      <c r="AG276" s="772">
        <v>0</v>
      </c>
      <c r="AH276" s="772">
        <v>0</v>
      </c>
      <c r="AI276" s="772">
        <v>0</v>
      </c>
      <c r="AJ276" s="772">
        <v>0</v>
      </c>
      <c r="AK276" s="772">
        <v>0</v>
      </c>
      <c r="AL276" s="772">
        <v>0</v>
      </c>
      <c r="AM276" s="772">
        <v>0</v>
      </c>
      <c r="AN276" s="772">
        <v>0</v>
      </c>
      <c r="AO276" s="772">
        <v>0</v>
      </c>
      <c r="AP276" s="772">
        <v>0</v>
      </c>
      <c r="AQ276" s="772">
        <v>0</v>
      </c>
      <c r="AR276" s="772">
        <v>0</v>
      </c>
      <c r="AS276" s="772">
        <v>0</v>
      </c>
      <c r="AT276" s="772">
        <v>-0.999</v>
      </c>
      <c r="AU276" s="772">
        <f t="shared" ref="AU276:BA277" si="1166">AU221*-1</f>
        <v>-3.673</v>
      </c>
      <c r="AV276" s="772">
        <f t="shared" si="1166"/>
        <v>0</v>
      </c>
      <c r="AW276" s="772">
        <f t="shared" si="1166"/>
        <v>0</v>
      </c>
      <c r="AX276" s="772">
        <f t="shared" si="1166"/>
        <v>0</v>
      </c>
      <c r="AY276" s="772">
        <f t="shared" si="1166"/>
        <v>0</v>
      </c>
      <c r="AZ276" s="772">
        <f t="shared" si="1166"/>
        <v>0</v>
      </c>
      <c r="BA276" s="772">
        <f t="shared" si="1166"/>
        <v>0</v>
      </c>
      <c r="BB276" s="772">
        <f t="shared" ref="BB276:BC276" si="1167">BB221*-1</f>
        <v>0</v>
      </c>
      <c r="BC276" s="772">
        <f t="shared" si="1167"/>
        <v>0</v>
      </c>
    </row>
    <row r="277" spans="1:62" ht="13" x14ac:dyDescent="0.25">
      <c r="A277" s="760" t="s">
        <v>267</v>
      </c>
      <c r="C277" s="780">
        <v>-1E-3</v>
      </c>
      <c r="D277" s="780">
        <f>AT277-C277</f>
        <v>-4.0000000000000001E-3</v>
      </c>
      <c r="E277" s="781">
        <v>-0.50600000000000001</v>
      </c>
      <c r="F277" s="780">
        <f>AU277-E277</f>
        <v>-0.38200000000000001</v>
      </c>
      <c r="G277" s="780">
        <f t="shared" ref="G277:S277" si="1168">-G222</f>
        <v>-0.47399999999999998</v>
      </c>
      <c r="H277" s="782">
        <f t="shared" si="1168"/>
        <v>-0.82800000000000007</v>
      </c>
      <c r="I277" s="780">
        <f t="shared" si="1168"/>
        <v>-1.3280000000000001</v>
      </c>
      <c r="J277" s="782">
        <f t="shared" si="1168"/>
        <v>-1.1569999999999998</v>
      </c>
      <c r="K277" s="780">
        <f t="shared" si="1168"/>
        <v>-0.89800000000000002</v>
      </c>
      <c r="L277" s="782">
        <f t="shared" si="1168"/>
        <v>-0.83399999999999996</v>
      </c>
      <c r="M277" s="780">
        <f t="shared" si="1168"/>
        <v>-0.97099999999999997</v>
      </c>
      <c r="N277" s="782">
        <f t="shared" si="1168"/>
        <v>-0.98699999999999999</v>
      </c>
      <c r="O277" s="780">
        <f t="shared" si="1168"/>
        <v>-1.113</v>
      </c>
      <c r="P277" s="782">
        <f t="shared" si="1168"/>
        <v>-1.1539999999999999</v>
      </c>
      <c r="Q277" s="780">
        <f t="shared" si="1168"/>
        <v>-1.4159999999999999</v>
      </c>
      <c r="R277" s="782">
        <f t="shared" si="1168"/>
        <v>-1.125</v>
      </c>
      <c r="S277" s="780">
        <f t="shared" si="1168"/>
        <v>-1.591</v>
      </c>
      <c r="T277" s="782">
        <f t="shared" si="1164"/>
        <v>-1.7390000000000001</v>
      </c>
      <c r="U277" s="780">
        <f t="shared" ref="U277:W277" si="1169">-U222</f>
        <v>-1.6990000000000001</v>
      </c>
      <c r="V277" s="782">
        <f t="shared" si="1161"/>
        <v>-1.913</v>
      </c>
      <c r="W277" s="780">
        <f t="shared" si="1169"/>
        <v>-1.6519999999999999</v>
      </c>
      <c r="AE277" s="780">
        <f>'CapIQ - standard'!F92*-1</f>
        <v>0</v>
      </c>
      <c r="AF277" s="780">
        <f>'CapIQ - standard'!G92*-1</f>
        <v>0</v>
      </c>
      <c r="AG277" s="780">
        <f>'CapIQ - standard'!H92*-1</f>
        <v>0</v>
      </c>
      <c r="AH277" s="780">
        <f>'CapIQ - standard'!I92*-1</f>
        <v>0</v>
      </c>
      <c r="AI277" s="780">
        <f>'CapIQ - standard'!J92*-1</f>
        <v>0</v>
      </c>
      <c r="AJ277" s="780">
        <f>'CapIQ - standard'!K92*-1</f>
        <v>0</v>
      </c>
      <c r="AK277" s="780">
        <f>'CapIQ - standard'!L92*-1</f>
        <v>-0.34357500000000002</v>
      </c>
      <c r="AL277" s="780">
        <f>'CapIQ - standard'!M92*-1</f>
        <v>-0.32500000000000001</v>
      </c>
      <c r="AM277" s="780">
        <f>'CapIQ - standard'!N92*-1</f>
        <v>-6.7757999999999999E-2</v>
      </c>
      <c r="AN277" s="780">
        <f>'CapIQ - standard'!O92*-1</f>
        <v>0</v>
      </c>
      <c r="AO277" s="780">
        <f>'CapIQ - standard'!P92*-1</f>
        <v>0</v>
      </c>
      <c r="AP277" s="780">
        <f>'CapIQ - standard'!Q92*-1</f>
        <v>-0.15603700000000001</v>
      </c>
      <c r="AQ277" s="780">
        <f>'CapIQ - standard'!R92*-1</f>
        <v>-0.915798</v>
      </c>
      <c r="AR277" s="780">
        <v>-0.73499999999999999</v>
      </c>
      <c r="AS277" s="780">
        <v>0</v>
      </c>
      <c r="AT277" s="780">
        <v>-5.0000000000000001E-3</v>
      </c>
      <c r="AU277" s="780">
        <f t="shared" si="1166"/>
        <v>-0.88800000000000001</v>
      </c>
      <c r="AV277" s="780">
        <f t="shared" si="1166"/>
        <v>-1.302</v>
      </c>
      <c r="AW277" s="780">
        <f t="shared" si="1166"/>
        <v>-2.4849999999999999</v>
      </c>
      <c r="AX277" s="780">
        <f t="shared" si="1166"/>
        <v>-1.732</v>
      </c>
      <c r="AY277" s="780">
        <f t="shared" si="1166"/>
        <v>-1.958</v>
      </c>
      <c r="AZ277" s="780">
        <f t="shared" si="1166"/>
        <v>-2.2669999999999999</v>
      </c>
      <c r="BA277" s="780">
        <f t="shared" si="1166"/>
        <v>-2.5409999999999999</v>
      </c>
      <c r="BB277" s="780">
        <f t="shared" ref="BB277:BC277" si="1170">BB222*-1</f>
        <v>-3.33</v>
      </c>
      <c r="BC277" s="780">
        <f t="shared" si="1170"/>
        <v>-3.6120000000000001</v>
      </c>
    </row>
    <row r="278" spans="1:62" x14ac:dyDescent="0.25">
      <c r="A278" s="783" t="s">
        <v>280</v>
      </c>
      <c r="C278" s="772">
        <f t="shared" ref="C278:S278" si="1171">C243-SUM(C276:C277)</f>
        <v>17.291999999999984</v>
      </c>
      <c r="D278" s="772">
        <f t="shared" si="1171"/>
        <v>23.294000000000025</v>
      </c>
      <c r="E278" s="773">
        <f t="shared" si="1171"/>
        <v>19.507000000000012</v>
      </c>
      <c r="F278" s="772">
        <f t="shared" si="1171"/>
        <v>27.243999999999975</v>
      </c>
      <c r="G278" s="772">
        <f t="shared" si="1171"/>
        <v>21.373999999999999</v>
      </c>
      <c r="H278" s="774">
        <f t="shared" si="1171"/>
        <v>30.080000000000002</v>
      </c>
      <c r="I278" s="772">
        <f t="shared" si="1171"/>
        <v>25.437999999999978</v>
      </c>
      <c r="J278" s="774">
        <f t="shared" si="1171"/>
        <v>45.069000000000024</v>
      </c>
      <c r="K278" s="772">
        <f t="shared" si="1171"/>
        <v>34.752000000000031</v>
      </c>
      <c r="L278" s="774">
        <f t="shared" si="1171"/>
        <v>51.466000000000008</v>
      </c>
      <c r="M278" s="772">
        <f t="shared" si="1171"/>
        <v>41.449000000000019</v>
      </c>
      <c r="N278" s="774">
        <f t="shared" si="1171"/>
        <v>54.241999999999898</v>
      </c>
      <c r="O278" s="772">
        <f t="shared" si="1171"/>
        <v>58.177000000000049</v>
      </c>
      <c r="P278" s="774">
        <f t="shared" si="1171"/>
        <v>63.505999999999887</v>
      </c>
      <c r="Q278" s="772">
        <f t="shared" si="1171"/>
        <v>65.549000000000063</v>
      </c>
      <c r="R278" s="774">
        <f t="shared" si="1171"/>
        <v>73.136999999999858</v>
      </c>
      <c r="S278" s="772">
        <f t="shared" si="1171"/>
        <v>64.661999999999964</v>
      </c>
      <c r="T278" s="774">
        <f t="shared" si="1164"/>
        <v>79.568000000000055</v>
      </c>
      <c r="U278" s="772">
        <f t="shared" ref="U278:W278" si="1172">U243-SUM(U276:U277)</f>
        <v>68.430000000000021</v>
      </c>
      <c r="V278" s="774">
        <f t="shared" si="1161"/>
        <v>89.245999999999938</v>
      </c>
      <c r="W278" s="772">
        <f t="shared" si="1172"/>
        <v>75.314000000000007</v>
      </c>
      <c r="AE278" s="772">
        <f t="shared" ref="AE278:BA278" si="1173">AE243-SUM(AE276:AE277)</f>
        <v>0.53351100000000029</v>
      </c>
      <c r="AF278" s="772">
        <f t="shared" si="1173"/>
        <v>0.80633000000000088</v>
      </c>
      <c r="AG278" s="772">
        <f t="shared" si="1173"/>
        <v>1.1837199999999992</v>
      </c>
      <c r="AH278" s="772">
        <f t="shared" si="1173"/>
        <v>1.6568710000000015</v>
      </c>
      <c r="AI278" s="772">
        <f t="shared" si="1173"/>
        <v>1.9936170000000022</v>
      </c>
      <c r="AJ278" s="772">
        <f t="shared" si="1173"/>
        <v>1.147129000000005</v>
      </c>
      <c r="AK278" s="772">
        <f t="shared" si="1173"/>
        <v>1.6560759999999957</v>
      </c>
      <c r="AL278" s="772">
        <f t="shared" si="1173"/>
        <v>3.6586380000000078</v>
      </c>
      <c r="AM278" s="772">
        <f t="shared" si="1173"/>
        <v>5.8051969999999988</v>
      </c>
      <c r="AN278" s="772">
        <f t="shared" si="1173"/>
        <v>7.4000070000000093</v>
      </c>
      <c r="AO278" s="772">
        <f t="shared" si="1173"/>
        <v>10.032754999999991</v>
      </c>
      <c r="AP278" s="772">
        <f t="shared" si="1173"/>
        <v>16.445728999999989</v>
      </c>
      <c r="AQ278" s="772">
        <f t="shared" si="1173"/>
        <v>23.205904999999998</v>
      </c>
      <c r="AR278" s="772">
        <f t="shared" si="1173"/>
        <v>28.102999999999966</v>
      </c>
      <c r="AS278" s="772">
        <f t="shared" si="1173"/>
        <v>35.528000000000013</v>
      </c>
      <c r="AT278" s="772">
        <f t="shared" si="1173"/>
        <v>40.58599999999992</v>
      </c>
      <c r="AU278" s="772">
        <f t="shared" si="1173"/>
        <v>46.750999999999983</v>
      </c>
      <c r="AV278" s="772">
        <f t="shared" si="1173"/>
        <v>51.454000000000001</v>
      </c>
      <c r="AW278" s="772">
        <f t="shared" si="1173"/>
        <v>70.507000000000005</v>
      </c>
      <c r="AX278" s="772">
        <f t="shared" si="1173"/>
        <v>86.218000000000032</v>
      </c>
      <c r="AY278" s="772">
        <f t="shared" si="1173"/>
        <v>95.690999999999917</v>
      </c>
      <c r="AZ278" s="772">
        <f t="shared" si="1173"/>
        <v>121.68299999999994</v>
      </c>
      <c r="BA278" s="772">
        <f t="shared" si="1173"/>
        <v>138.68599999999992</v>
      </c>
      <c r="BB278" s="772">
        <f t="shared" ref="BB278:BC278" si="1174">BB243-SUM(BB276:BB277)</f>
        <v>144.23000000000002</v>
      </c>
      <c r="BC278" s="772">
        <f t="shared" si="1174"/>
        <v>157.67599999999996</v>
      </c>
    </row>
    <row r="279" spans="1:62" s="776" customFormat="1" ht="12" x14ac:dyDescent="0.3">
      <c r="A279" s="784" t="s">
        <v>37</v>
      </c>
      <c r="B279" s="1165"/>
      <c r="C279" s="1165"/>
      <c r="D279" s="1165"/>
      <c r="E279" s="1165">
        <f t="shared" ref="E279" si="1175">+E278/C278-1</f>
        <v>0.12809391626185684</v>
      </c>
      <c r="F279" s="1165">
        <f t="shared" ref="F279" si="1176">+F278/D278-1</f>
        <v>0.16957156349274261</v>
      </c>
      <c r="G279" s="1165">
        <f t="shared" ref="G279:R279" si="1177">+G278/E278-1</f>
        <v>9.5709232583174542E-2</v>
      </c>
      <c r="H279" s="1166">
        <f t="shared" si="1177"/>
        <v>0.10409631478490788</v>
      </c>
      <c r="I279" s="1165">
        <f t="shared" si="1177"/>
        <v>0.19013755029474955</v>
      </c>
      <c r="J279" s="1166">
        <f t="shared" si="1177"/>
        <v>0.49830452127659641</v>
      </c>
      <c r="K279" s="1165">
        <f t="shared" si="1177"/>
        <v>0.36614513719632291</v>
      </c>
      <c r="L279" s="1166">
        <f t="shared" si="1177"/>
        <v>0.14193791741551798</v>
      </c>
      <c r="M279" s="1165">
        <f t="shared" si="1177"/>
        <v>0.19270833333333282</v>
      </c>
      <c r="N279" s="1166">
        <f t="shared" si="1177"/>
        <v>5.3938522519719534E-2</v>
      </c>
      <c r="O279" s="1165">
        <f t="shared" si="1177"/>
        <v>0.40358030350551344</v>
      </c>
      <c r="P279" s="1166">
        <f t="shared" si="1177"/>
        <v>0.17079016260462376</v>
      </c>
      <c r="Q279" s="1165">
        <f t="shared" si="1177"/>
        <v>0.12671674373034025</v>
      </c>
      <c r="R279" s="1166">
        <f t="shared" si="1177"/>
        <v>0.15165496173589887</v>
      </c>
      <c r="S279" s="1165">
        <f>+S278/Q278-1</f>
        <v>-1.3531861660743827E-2</v>
      </c>
      <c r="T279" s="1166">
        <f t="shared" ref="T279" si="1178">+T278/R278-1</f>
        <v>8.7930869464159178E-2</v>
      </c>
      <c r="U279" s="1165">
        <f>+U278/S278-1</f>
        <v>5.8272246450775667E-2</v>
      </c>
      <c r="V279" s="1166">
        <f>+V278/T278-1</f>
        <v>0.12163181178363014</v>
      </c>
      <c r="W279" s="1165">
        <f>+W278/U278-1</f>
        <v>0.10059915241852968</v>
      </c>
      <c r="X279" s="1165"/>
      <c r="Y279" s="1165"/>
      <c r="Z279" s="1165"/>
      <c r="AA279" s="1165"/>
      <c r="AB279" s="1165"/>
      <c r="AC279" s="1165"/>
      <c r="AD279" s="1165"/>
      <c r="AE279" s="1165"/>
      <c r="AF279" s="1165">
        <f t="shared" ref="AF279" si="1179">+AF278/AE278-1</f>
        <v>0.51136527644228602</v>
      </c>
      <c r="AG279" s="1165">
        <f t="shared" ref="AG279" si="1180">+AG278/AF278-1</f>
        <v>0.46803417955427418</v>
      </c>
      <c r="AH279" s="1165">
        <f t="shared" ref="AH279" si="1181">+AH278/AG278-1</f>
        <v>0.39971530429493685</v>
      </c>
      <c r="AI279" s="1165">
        <f t="shared" ref="AI279" si="1182">+AI278/AH278-1</f>
        <v>0.2032421353261662</v>
      </c>
      <c r="AJ279" s="1165">
        <f t="shared" ref="AJ279" si="1183">+AJ278/AI278-1</f>
        <v>-0.42459910805335044</v>
      </c>
      <c r="AK279" s="1165">
        <f t="shared" ref="AK279" si="1184">+AK278/AJ278-1</f>
        <v>0.44367024109754749</v>
      </c>
      <c r="AL279" s="1165">
        <f t="shared" ref="AL279:AZ279" si="1185">+AL278/AK278-1</f>
        <v>1.2092210743951468</v>
      </c>
      <c r="AM279" s="1165">
        <f t="shared" si="1185"/>
        <v>0.58670986306925865</v>
      </c>
      <c r="AN279" s="1165">
        <f t="shared" si="1185"/>
        <v>0.2747210818168635</v>
      </c>
      <c r="AO279" s="1165">
        <f t="shared" si="1185"/>
        <v>0.35577642021149147</v>
      </c>
      <c r="AP279" s="1165">
        <f t="shared" si="1185"/>
        <v>0.63920368831891183</v>
      </c>
      <c r="AQ279" s="1165">
        <f t="shared" si="1185"/>
        <v>0.41105967391290554</v>
      </c>
      <c r="AR279" s="1165">
        <f t="shared" si="1185"/>
        <v>0.21102796895876152</v>
      </c>
      <c r="AS279" s="1165">
        <f t="shared" si="1185"/>
        <v>0.26420666832722683</v>
      </c>
      <c r="AT279" s="1165">
        <f t="shared" si="1185"/>
        <v>0.14236658410267689</v>
      </c>
      <c r="AU279" s="1165">
        <f t="shared" si="1185"/>
        <v>0.15189966983689152</v>
      </c>
      <c r="AV279" s="1165">
        <f t="shared" si="1185"/>
        <v>0.10059677867853134</v>
      </c>
      <c r="AW279" s="1165">
        <f t="shared" si="1185"/>
        <v>0.37029191122167382</v>
      </c>
      <c r="AX279" s="1165">
        <f t="shared" si="1185"/>
        <v>0.22282893897059908</v>
      </c>
      <c r="AY279" s="1165">
        <f t="shared" si="1185"/>
        <v>0.10987264840288424</v>
      </c>
      <c r="AZ279" s="1165">
        <f t="shared" si="1185"/>
        <v>0.27162429068564475</v>
      </c>
      <c r="BA279" s="1165">
        <f>+BA278/AZ278-1</f>
        <v>0.13973192639892185</v>
      </c>
      <c r="BB279" s="1165">
        <f t="shared" ref="BB279" si="1186">+BB278/BA278-1</f>
        <v>3.9975195765975746E-2</v>
      </c>
      <c r="BC279" s="1165">
        <f t="shared" ref="BC279" si="1187">+BC278/BB278-1</f>
        <v>9.3226097205851399E-2</v>
      </c>
    </row>
    <row r="280" spans="1:62" s="776" customFormat="1" ht="12" x14ac:dyDescent="0.3">
      <c r="A280" s="784" t="s">
        <v>278</v>
      </c>
      <c r="B280" s="1165"/>
      <c r="C280" s="1165">
        <f t="shared" ref="C280:F280" si="1188">+C278/C255</f>
        <v>6.5051538635166592E-2</v>
      </c>
      <c r="D280" s="1165">
        <f t="shared" si="1188"/>
        <v>7.0531453624978882E-2</v>
      </c>
      <c r="E280" s="1165">
        <f t="shared" si="1188"/>
        <v>6.6442772428310176E-2</v>
      </c>
      <c r="F280" s="1165">
        <f t="shared" si="1188"/>
        <v>7.1929454007814905E-2</v>
      </c>
      <c r="G280" s="1165">
        <f>+G278/G255</f>
        <v>5.6470277410832229E-2</v>
      </c>
      <c r="H280" s="1166">
        <f t="shared" ref="H280:BA280" si="1189">+H278/H255</f>
        <v>6.625900928683455E-2</v>
      </c>
      <c r="I280" s="1165">
        <f t="shared" si="1189"/>
        <v>5.3797983685916838E-2</v>
      </c>
      <c r="J280" s="1166">
        <f t="shared" si="1189"/>
        <v>7.4024982138017725E-2</v>
      </c>
      <c r="K280" s="1165">
        <f t="shared" si="1189"/>
        <v>5.7180842311717245E-2</v>
      </c>
      <c r="L280" s="1166">
        <f t="shared" si="1189"/>
        <v>6.3829206705130065E-2</v>
      </c>
      <c r="M280" s="1165">
        <f t="shared" si="1189"/>
        <v>5.6957189696065273E-2</v>
      </c>
      <c r="N280" s="1166">
        <f t="shared" si="1189"/>
        <v>5.905697416026006E-2</v>
      </c>
      <c r="O280" s="1165">
        <f t="shared" si="1189"/>
        <v>6.6807454157939289E-2</v>
      </c>
      <c r="P280" s="1166">
        <f t="shared" si="1189"/>
        <v>5.9483488569009209E-2</v>
      </c>
      <c r="Q280" s="1165">
        <f t="shared" si="1189"/>
        <v>5.6588690204352664E-2</v>
      </c>
      <c r="R280" s="1166">
        <f t="shared" si="1189"/>
        <v>5.4207839335426319E-2</v>
      </c>
      <c r="S280" s="1165">
        <f t="shared" si="1189"/>
        <v>5.3231669970561286E-2</v>
      </c>
      <c r="T280" s="1166">
        <f t="shared" ref="T280:U280" si="1190">+T278/T255</f>
        <v>5.9014798200956516E-2</v>
      </c>
      <c r="U280" s="1165">
        <f t="shared" si="1190"/>
        <v>5.4159081915314621E-2</v>
      </c>
      <c r="V280" s="1166">
        <f t="shared" ref="V280:W280" si="1191">+V278/V255</f>
        <v>5.6175489393843994E-2</v>
      </c>
      <c r="W280" s="1165">
        <f t="shared" si="1191"/>
        <v>4.9972795434941278E-2</v>
      </c>
      <c r="X280" s="1165"/>
      <c r="Y280" s="1165"/>
      <c r="Z280" s="1165"/>
      <c r="AA280" s="1165"/>
      <c r="AB280" s="1165"/>
      <c r="AC280" s="1165"/>
      <c r="AD280" s="1165"/>
      <c r="AE280" s="1165">
        <f t="shared" si="1189"/>
        <v>2.9047002471040452E-2</v>
      </c>
      <c r="AF280" s="1165">
        <f t="shared" si="1189"/>
        <v>2.5301413883159728E-2</v>
      </c>
      <c r="AG280" s="1165">
        <f t="shared" si="1189"/>
        <v>3.0659534048744889E-2</v>
      </c>
      <c r="AH280" s="1165">
        <f t="shared" si="1189"/>
        <v>4.1970496218295628E-2</v>
      </c>
      <c r="AI280" s="1165">
        <f t="shared" si="1189"/>
        <v>3.8989052375798888E-2</v>
      </c>
      <c r="AJ280" s="1165">
        <f t="shared" si="1189"/>
        <v>2.0088080618148863E-2</v>
      </c>
      <c r="AK280" s="1165">
        <f t="shared" si="1189"/>
        <v>2.4615460168848004E-2</v>
      </c>
      <c r="AL280" s="1165">
        <f t="shared" si="1189"/>
        <v>4.1042586182422069E-2</v>
      </c>
      <c r="AM280" s="1165">
        <f t="shared" si="1189"/>
        <v>5.6407189928514928E-2</v>
      </c>
      <c r="AN280" s="1165">
        <f t="shared" si="1189"/>
        <v>6.5420645022726528E-2</v>
      </c>
      <c r="AO280" s="1165">
        <f t="shared" si="1189"/>
        <v>6.8834707118870103E-2</v>
      </c>
      <c r="AP280" s="1165">
        <f t="shared" si="1189"/>
        <v>7.5016513164611442E-2</v>
      </c>
      <c r="AQ280" s="1165">
        <f t="shared" si="1189"/>
        <v>7.632128091405628E-2</v>
      </c>
      <c r="AR280" s="1165">
        <f t="shared" si="1189"/>
        <v>7.1010925924054141E-2</v>
      </c>
      <c r="AS280" s="1165">
        <f t="shared" si="1189"/>
        <v>7.0380766922148924E-2</v>
      </c>
      <c r="AT280" s="1165">
        <f t="shared" si="1189"/>
        <v>6.808771918051805E-2</v>
      </c>
      <c r="AU280" s="1165">
        <f t="shared" si="1189"/>
        <v>6.9533621575635321E-2</v>
      </c>
      <c r="AV280" s="1165">
        <f t="shared" si="1189"/>
        <v>6.1808388470057998E-2</v>
      </c>
      <c r="AW280" s="1165">
        <f t="shared" si="1189"/>
        <v>6.5182984215265541E-2</v>
      </c>
      <c r="AX280" s="1165">
        <f t="shared" si="1189"/>
        <v>6.0971780626619468E-2</v>
      </c>
      <c r="AY280" s="1165">
        <f t="shared" si="1189"/>
        <v>5.8128734757995834E-2</v>
      </c>
      <c r="AZ280" s="1165">
        <f t="shared" si="1189"/>
        <v>6.2773673675739217E-2</v>
      </c>
      <c r="BA280" s="1165">
        <f t="shared" si="1189"/>
        <v>5.5307658471240875E-2</v>
      </c>
      <c r="BB280" s="1165">
        <f t="shared" ref="BB280:BC280" si="1192">+BB278/BB255</f>
        <v>5.6273897776043705E-2</v>
      </c>
      <c r="BC280" s="1165">
        <f t="shared" si="1192"/>
        <v>5.5282238272210911E-2</v>
      </c>
    </row>
    <row r="281" spans="1:62" s="776" customFormat="1" ht="12" x14ac:dyDescent="0.3">
      <c r="A281" s="784" t="s">
        <v>279</v>
      </c>
      <c r="B281" s="1165"/>
      <c r="C281" s="1165">
        <f t="shared" ref="C281:F281" si="1193">+C278/C264</f>
        <v>0.37076266643795946</v>
      </c>
      <c r="D281" s="1165">
        <f t="shared" si="1193"/>
        <v>0.41495653413139544</v>
      </c>
      <c r="E281" s="1165">
        <f t="shared" si="1193"/>
        <v>0.36342803912435973</v>
      </c>
      <c r="F281" s="1165">
        <f t="shared" si="1193"/>
        <v>0.40637212493660668</v>
      </c>
      <c r="G281" s="1165">
        <f>+G278/G264</f>
        <v>0.34867862969004892</v>
      </c>
      <c r="H281" s="1166">
        <f t="shared" ref="H281:BA281" si="1194">+H278/H264</f>
        <v>0.40105062464168101</v>
      </c>
      <c r="I281" s="1165">
        <f t="shared" si="1194"/>
        <v>0.33992115988508032</v>
      </c>
      <c r="J281" s="1166">
        <f t="shared" si="1194"/>
        <v>0.44921656965154305</v>
      </c>
      <c r="K281" s="1165">
        <f t="shared" si="1194"/>
        <v>0.36707791110360005</v>
      </c>
      <c r="L281" s="1166">
        <f t="shared" si="1194"/>
        <v>0.44187823578401497</v>
      </c>
      <c r="M281" s="1165">
        <f t="shared" si="1194"/>
        <v>0.37116734723117711</v>
      </c>
      <c r="N281" s="1166">
        <f t="shared" si="1194"/>
        <v>0.43731910056194673</v>
      </c>
      <c r="O281" s="1165">
        <f t="shared" si="1194"/>
        <v>0.43265855544978599</v>
      </c>
      <c r="P281" s="1166">
        <f t="shared" si="1194"/>
        <v>0.44755944578347173</v>
      </c>
      <c r="Q281" s="1165">
        <f t="shared" si="1194"/>
        <v>0.43637949284672917</v>
      </c>
      <c r="R281" s="1166">
        <f t="shared" si="1194"/>
        <v>0.41320572432612568</v>
      </c>
      <c r="S281" s="1165">
        <f t="shared" si="1194"/>
        <v>0.36521061371107105</v>
      </c>
      <c r="T281" s="1166">
        <f t="shared" ref="T281:U281" si="1195">+T278/T264</f>
        <v>0.40435825507175699</v>
      </c>
      <c r="U281" s="1165">
        <f t="shared" si="1195"/>
        <v>0.3482194652798275</v>
      </c>
      <c r="V281" s="1166">
        <f t="shared" ref="V281:W281" si="1196">+V278/V264</f>
        <v>0.40339180705029382</v>
      </c>
      <c r="W281" s="1165">
        <f t="shared" si="1196"/>
        <v>0.34201766535728073</v>
      </c>
      <c r="X281" s="1165"/>
      <c r="Y281" s="1165"/>
      <c r="Z281" s="1165"/>
      <c r="AA281" s="1165"/>
      <c r="AB281" s="1165"/>
      <c r="AC281" s="1165"/>
      <c r="AD281" s="1165"/>
      <c r="AE281" s="1165">
        <f t="shared" si="1194"/>
        <v>0.16790375772506594</v>
      </c>
      <c r="AF281" s="1165">
        <f t="shared" si="1194"/>
        <v>0.1777215982226299</v>
      </c>
      <c r="AG281" s="1165">
        <f t="shared" si="1194"/>
        <v>0.1654979570008982</v>
      </c>
      <c r="AH281" s="1165">
        <f t="shared" si="1194"/>
        <v>0.22546840046360037</v>
      </c>
      <c r="AI281" s="1165">
        <f t="shared" si="1194"/>
        <v>0.22898374741525448</v>
      </c>
      <c r="AJ281" s="1165">
        <f t="shared" si="1194"/>
        <v>0.13397200545217641</v>
      </c>
      <c r="AK281" s="1165">
        <f t="shared" si="1194"/>
        <v>0.15251162502427745</v>
      </c>
      <c r="AL281" s="1165">
        <f t="shared" si="1194"/>
        <v>0.24077835899795005</v>
      </c>
      <c r="AM281" s="1165">
        <f t="shared" si="1194"/>
        <v>0.29380866199520839</v>
      </c>
      <c r="AN281" s="1165">
        <f t="shared" si="1194"/>
        <v>0.33511165751367428</v>
      </c>
      <c r="AO281" s="1165">
        <f t="shared" si="1194"/>
        <v>0.35179502244698485</v>
      </c>
      <c r="AP281" s="1165">
        <f t="shared" si="1194"/>
        <v>0.37975459911618648</v>
      </c>
      <c r="AQ281" s="1165">
        <f t="shared" si="1194"/>
        <v>0.41229708907398288</v>
      </c>
      <c r="AR281" s="1165">
        <f t="shared" si="1194"/>
        <v>0.39856192650792044</v>
      </c>
      <c r="AS281" s="1165">
        <f t="shared" si="1194"/>
        <v>0.40135109183131695</v>
      </c>
      <c r="AT281" s="1165">
        <f t="shared" si="1194"/>
        <v>0.39490148382388668</v>
      </c>
      <c r="AU281" s="1165">
        <f t="shared" si="1194"/>
        <v>0.38727768251364753</v>
      </c>
      <c r="AV281" s="1165">
        <f t="shared" si="1194"/>
        <v>0.37749719375215512</v>
      </c>
      <c r="AW281" s="1165">
        <f t="shared" si="1194"/>
        <v>0.40252222215878924</v>
      </c>
      <c r="AX281" s="1165">
        <f t="shared" si="1194"/>
        <v>0.40833937189487701</v>
      </c>
      <c r="AY281" s="1165">
        <f t="shared" si="1194"/>
        <v>0.40597781124710952</v>
      </c>
      <c r="AZ281" s="1165">
        <f t="shared" si="1194"/>
        <v>0.44030930893985321</v>
      </c>
      <c r="BA281" s="1165">
        <f t="shared" si="1194"/>
        <v>0.42384401454723253</v>
      </c>
      <c r="BB281" s="1165">
        <f t="shared" ref="BB281:BC281" si="1197">+BB278/BB264</f>
        <v>0.38581708263114256</v>
      </c>
      <c r="BC281" s="1165">
        <f t="shared" si="1197"/>
        <v>0.37743834275277488</v>
      </c>
    </row>
    <row r="282" spans="1:62" s="798" customFormat="1" ht="12" x14ac:dyDescent="0.3">
      <c r="A282" s="1170"/>
      <c r="C282" s="1165"/>
      <c r="D282" s="1165"/>
      <c r="E282" s="1165"/>
      <c r="F282" s="1165"/>
      <c r="G282" s="1165"/>
      <c r="H282" s="1166"/>
      <c r="I282" s="1165"/>
      <c r="J282" s="1166"/>
      <c r="K282" s="1165"/>
      <c r="L282" s="1166"/>
      <c r="M282" s="1165"/>
      <c r="N282" s="1166"/>
      <c r="O282" s="1165"/>
      <c r="P282" s="1166"/>
      <c r="Q282" s="1165"/>
      <c r="R282" s="1166"/>
      <c r="S282" s="1165"/>
      <c r="T282" s="1166"/>
      <c r="U282" s="1165"/>
      <c r="V282" s="1166"/>
      <c r="W282" s="1165"/>
      <c r="X282" s="1165"/>
      <c r="Y282" s="1165"/>
      <c r="Z282" s="1165"/>
      <c r="AA282" s="1165"/>
      <c r="AB282" s="1165"/>
      <c r="AC282" s="1165"/>
      <c r="AD282" s="1165"/>
      <c r="AE282" s="1165"/>
      <c r="AF282" s="1165"/>
      <c r="AG282" s="1165"/>
      <c r="AH282" s="1165"/>
      <c r="AI282" s="1165"/>
      <c r="AJ282" s="1165"/>
      <c r="AK282" s="1165"/>
      <c r="AL282" s="1165"/>
      <c r="AM282" s="1165"/>
      <c r="AN282" s="1165"/>
      <c r="AO282" s="1165"/>
      <c r="AP282" s="1165"/>
      <c r="AQ282" s="1165"/>
      <c r="AR282" s="1165"/>
      <c r="AS282" s="1165"/>
      <c r="AT282" s="1165"/>
      <c r="AU282" s="1165"/>
      <c r="AV282" s="1165"/>
      <c r="AW282" s="1165"/>
      <c r="AX282" s="1165"/>
      <c r="AY282" s="1165"/>
      <c r="AZ282" s="1165"/>
      <c r="BA282" s="1165"/>
      <c r="BB282" s="776"/>
      <c r="BC282" s="776"/>
      <c r="BD282" s="776"/>
      <c r="BE282" s="776"/>
      <c r="BF282" s="776"/>
      <c r="BG282" s="776"/>
      <c r="BH282" s="776"/>
      <c r="BI282" s="776"/>
      <c r="BJ282" s="776"/>
    </row>
    <row r="283" spans="1:62" x14ac:dyDescent="0.25">
      <c r="A283" s="760" t="s">
        <v>281</v>
      </c>
      <c r="C283" s="772">
        <v>190.376</v>
      </c>
      <c r="D283" s="772">
        <v>191.54</v>
      </c>
      <c r="E283" s="773">
        <v>195.935</v>
      </c>
      <c r="F283" s="772">
        <f>AU283</f>
        <v>196.04</v>
      </c>
      <c r="G283" s="772">
        <v>196.887</v>
      </c>
      <c r="H283" s="774">
        <f>AV283</f>
        <v>196.959</v>
      </c>
      <c r="I283" s="772">
        <v>197.24100000000001</v>
      </c>
      <c r="J283" s="774">
        <f>+Canalyst!F215</f>
        <v>197.43660773480659</v>
      </c>
      <c r="K283" s="772">
        <f>+Canalyst!G215</f>
        <v>197.523</v>
      </c>
      <c r="L283" s="774">
        <f>+Canalyst!H215</f>
        <v>197.76498895027629</v>
      </c>
      <c r="M283" s="772">
        <f>+Canalyst!I215</f>
        <v>197.95699999999999</v>
      </c>
      <c r="N283" s="774">
        <f>+Canalyst!J215</f>
        <v>198.29886813186818</v>
      </c>
      <c r="O283" s="772">
        <f>+Canalyst!K215</f>
        <v>198.423</v>
      </c>
      <c r="P283" s="774">
        <f>+Canalyst!L215</f>
        <v>198.6972541436464</v>
      </c>
      <c r="Q283" s="772">
        <f>+Canalyst!M215</f>
        <v>198.87299999999999</v>
      </c>
      <c r="R283" s="774">
        <f>+Canalyst!N215</f>
        <v>199.08070718232048</v>
      </c>
      <c r="S283" s="772">
        <f>+Canalyst!O215</f>
        <v>199.15700000000001</v>
      </c>
      <c r="T283" s="774">
        <f>+S283</f>
        <v>199.15700000000001</v>
      </c>
      <c r="U283" s="772">
        <v>199.41499999999999</v>
      </c>
      <c r="V283" s="774">
        <f>+BC283</f>
        <v>199.49</v>
      </c>
      <c r="W283" s="772">
        <v>199.62299999999999</v>
      </c>
      <c r="AE283" s="772"/>
      <c r="AF283" s="772"/>
      <c r="AG283" s="772"/>
      <c r="AH283" s="772"/>
      <c r="AI283" s="772"/>
      <c r="AJ283" s="772"/>
      <c r="AK283" s="772"/>
      <c r="AL283" s="772"/>
      <c r="AM283" s="772"/>
      <c r="AN283" s="772"/>
      <c r="AO283" s="772"/>
      <c r="AP283" s="772"/>
      <c r="AQ283" s="772"/>
      <c r="AR283" s="772">
        <v>174.88300000000001</v>
      </c>
      <c r="AS283" s="772">
        <v>186.744</v>
      </c>
      <c r="AT283" s="772">
        <v>191.54</v>
      </c>
      <c r="AU283" s="772">
        <v>196.04</v>
      </c>
      <c r="AV283" s="772">
        <v>196.959</v>
      </c>
      <c r="AW283" s="772">
        <f>+Canalyst!AI215</f>
        <v>197.33799999999999</v>
      </c>
      <c r="AX283" s="772">
        <f>+Canalyst!AJ215</f>
        <v>197.643</v>
      </c>
      <c r="AY283" s="772">
        <f>+Canalyst!AK215</f>
        <v>198.12700000000001</v>
      </c>
      <c r="AZ283" s="772">
        <f>+Canalyst!AL215</f>
        <v>198.559</v>
      </c>
      <c r="BA283" s="772">
        <f>+Canalyst!AM215</f>
        <v>198.976</v>
      </c>
      <c r="BB283" s="772">
        <v>199.23699999999999</v>
      </c>
      <c r="BC283" s="772">
        <v>199.49</v>
      </c>
    </row>
    <row r="284" spans="1:62" ht="13" x14ac:dyDescent="0.25">
      <c r="A284" s="760" t="s">
        <v>282</v>
      </c>
      <c r="C284" s="780">
        <v>3.3439999999999999</v>
      </c>
      <c r="D284" s="780">
        <v>3.2280000000000002</v>
      </c>
      <c r="E284" s="781">
        <v>0.69599999999999995</v>
      </c>
      <c r="F284" s="780">
        <f t="shared" ref="F284" si="1198">AU284</f>
        <v>0.69599999999999995</v>
      </c>
      <c r="G284" s="780">
        <v>0.51500000000000001</v>
      </c>
      <c r="H284" s="782">
        <f>AV284</f>
        <v>1.137</v>
      </c>
      <c r="I284" s="780">
        <v>1.3260000000000001</v>
      </c>
      <c r="J284" s="782">
        <f t="shared" ref="J284:R284" si="1199">+J285-J283</f>
        <v>2.015668508287348</v>
      </c>
      <c r="K284" s="780">
        <f t="shared" si="1199"/>
        <v>1.2549999999999955</v>
      </c>
      <c r="L284" s="782">
        <f t="shared" si="1199"/>
        <v>1.162237569060693</v>
      </c>
      <c r="M284" s="780">
        <f t="shared" si="1199"/>
        <v>1.0910000000000082</v>
      </c>
      <c r="N284" s="782">
        <f t="shared" si="1199"/>
        <v>0.92207692307684397</v>
      </c>
      <c r="O284" s="780">
        <f t="shared" si="1199"/>
        <v>0.97800000000000864</v>
      </c>
      <c r="P284" s="782">
        <f t="shared" si="1199"/>
        <v>0.78844198895032491</v>
      </c>
      <c r="Q284" s="780">
        <f t="shared" si="1199"/>
        <v>0.84400000000002251</v>
      </c>
      <c r="R284" s="782">
        <f t="shared" si="1199"/>
        <v>0.46488397790056979</v>
      </c>
      <c r="S284" s="780">
        <f>+S285-S283</f>
        <v>0.49899999999999523</v>
      </c>
      <c r="T284" s="782">
        <f>+T285-T283</f>
        <v>1.0019999999999811</v>
      </c>
      <c r="U284" s="780">
        <v>1.127</v>
      </c>
      <c r="V284" s="782">
        <f t="shared" ref="V284:V285" si="1200">+BC284</f>
        <v>1.026</v>
      </c>
      <c r="W284" s="780">
        <v>1.2270000000000001</v>
      </c>
      <c r="AE284" s="780"/>
      <c r="AF284" s="780"/>
      <c r="AG284" s="780"/>
      <c r="AH284" s="780"/>
      <c r="AI284" s="780"/>
      <c r="AJ284" s="780"/>
      <c r="AK284" s="780"/>
      <c r="AL284" s="780"/>
      <c r="AM284" s="780"/>
      <c r="AN284" s="780"/>
      <c r="AO284" s="780"/>
      <c r="AP284" s="780"/>
      <c r="AQ284" s="780"/>
      <c r="AR284" s="780">
        <v>4.383</v>
      </c>
      <c r="AS284" s="780">
        <v>7.54</v>
      </c>
      <c r="AT284" s="780">
        <v>3.2280000000000002</v>
      </c>
      <c r="AU284" s="780">
        <v>0.69599999999999995</v>
      </c>
      <c r="AV284" s="780">
        <v>1.137</v>
      </c>
      <c r="AW284" s="780">
        <f t="shared" ref="AW284:AZ284" si="1201">+AW285-AW283</f>
        <v>1.6680000000000064</v>
      </c>
      <c r="AX284" s="780">
        <f t="shared" si="1201"/>
        <v>1.2090000000000032</v>
      </c>
      <c r="AY284" s="780">
        <f t="shared" si="1201"/>
        <v>1.0069999999999766</v>
      </c>
      <c r="AZ284" s="780">
        <f t="shared" si="1201"/>
        <v>0.88400000000001455</v>
      </c>
      <c r="BA284" s="780">
        <f>+BA285-BA283</f>
        <v>0.65600000000000591</v>
      </c>
      <c r="BB284" s="780">
        <v>0.92200000000000004</v>
      </c>
      <c r="BC284" s="780">
        <v>1.026</v>
      </c>
    </row>
    <row r="285" spans="1:62" x14ac:dyDescent="0.25">
      <c r="A285" s="783" t="s">
        <v>283</v>
      </c>
      <c r="C285" s="772">
        <f t="shared" ref="C285:F285" si="1202">SUM(C283:C284)</f>
        <v>193.72</v>
      </c>
      <c r="D285" s="772">
        <f t="shared" si="1202"/>
        <v>194.768</v>
      </c>
      <c r="E285" s="773">
        <f t="shared" si="1202"/>
        <v>196.631</v>
      </c>
      <c r="F285" s="772">
        <f t="shared" si="1202"/>
        <v>196.73599999999999</v>
      </c>
      <c r="G285" s="772">
        <f t="shared" ref="G285:I285" si="1203">SUM(G283:G284)</f>
        <v>197.40199999999999</v>
      </c>
      <c r="H285" s="774">
        <f t="shared" si="1203"/>
        <v>198.096</v>
      </c>
      <c r="I285" s="772">
        <f t="shared" si="1203"/>
        <v>198.56700000000001</v>
      </c>
      <c r="J285" s="774">
        <f>+Canalyst!F216</f>
        <v>199.45227624309393</v>
      </c>
      <c r="K285" s="772">
        <f>+Canalyst!G216</f>
        <v>198.77799999999999</v>
      </c>
      <c r="L285" s="774">
        <f>+Canalyst!H216</f>
        <v>198.92722651933698</v>
      </c>
      <c r="M285" s="772">
        <f>+Canalyst!I216</f>
        <v>199.048</v>
      </c>
      <c r="N285" s="774">
        <f>+Canalyst!J216</f>
        <v>199.22094505494502</v>
      </c>
      <c r="O285" s="772">
        <f>+Canalyst!K216</f>
        <v>199.40100000000001</v>
      </c>
      <c r="P285" s="774">
        <f>+Canalyst!L216</f>
        <v>199.48569613259673</v>
      </c>
      <c r="Q285" s="772">
        <f>+Canalyst!M216</f>
        <v>199.71700000000001</v>
      </c>
      <c r="R285" s="774">
        <f>+Canalyst!N216</f>
        <v>199.54559116022105</v>
      </c>
      <c r="S285" s="772">
        <f>+Canalyst!O216</f>
        <v>199.65600000000001</v>
      </c>
      <c r="T285" s="774">
        <f>+BB285</f>
        <v>200.15899999999999</v>
      </c>
      <c r="U285" s="772">
        <f>+U284+U283</f>
        <v>200.542</v>
      </c>
      <c r="V285" s="774">
        <f t="shared" si="1200"/>
        <v>200.51599999999999</v>
      </c>
      <c r="W285" s="772">
        <f>+W284+W283</f>
        <v>200.85</v>
      </c>
      <c r="AE285" s="772"/>
      <c r="AF285" s="772"/>
      <c r="AG285" s="772"/>
      <c r="AH285" s="772"/>
      <c r="AI285" s="772"/>
      <c r="AJ285" s="772"/>
      <c r="AK285" s="772"/>
      <c r="AL285" s="772"/>
      <c r="AM285" s="772"/>
      <c r="AN285" s="772"/>
      <c r="AO285" s="772"/>
      <c r="AP285" s="772"/>
      <c r="AQ285" s="772"/>
      <c r="AR285" s="772">
        <f>SUM(AR283:AR284)</f>
        <v>179.26600000000002</v>
      </c>
      <c r="AS285" s="772">
        <f t="shared" ref="AS285:AT285" si="1204">SUM(AS283:AS284)</f>
        <v>194.28399999999999</v>
      </c>
      <c r="AT285" s="772">
        <f t="shared" si="1204"/>
        <v>194.768</v>
      </c>
      <c r="AU285" s="772">
        <f t="shared" ref="AU285:AV285" si="1205">SUM(AU283:AU284)</f>
        <v>196.73599999999999</v>
      </c>
      <c r="AV285" s="772">
        <f t="shared" si="1205"/>
        <v>198.096</v>
      </c>
      <c r="AW285" s="772">
        <f>+Canalyst!AI216</f>
        <v>199.006</v>
      </c>
      <c r="AX285" s="772">
        <f>+Canalyst!AJ216</f>
        <v>198.852</v>
      </c>
      <c r="AY285" s="772">
        <f>+Canalyst!AK216</f>
        <v>199.13399999999999</v>
      </c>
      <c r="AZ285" s="772">
        <f>+Canalyst!AL216</f>
        <v>199.44300000000001</v>
      </c>
      <c r="BA285" s="772">
        <f>+Canalyst!AM216</f>
        <v>199.63200000000001</v>
      </c>
      <c r="BB285" s="772">
        <v>200.15899999999999</v>
      </c>
      <c r="BC285" s="772">
        <v>200.51599999999999</v>
      </c>
    </row>
    <row r="286" spans="1:62" x14ac:dyDescent="0.25">
      <c r="A286" s="799"/>
      <c r="C286" s="772"/>
      <c r="D286" s="772"/>
      <c r="E286" s="773"/>
      <c r="F286" s="772"/>
      <c r="G286" s="772"/>
      <c r="H286" s="774"/>
      <c r="I286" s="772"/>
      <c r="J286" s="774"/>
      <c r="K286" s="772"/>
      <c r="L286" s="774"/>
      <c r="M286" s="772"/>
      <c r="N286" s="774"/>
      <c r="O286" s="772"/>
      <c r="P286" s="774"/>
      <c r="Q286" s="772"/>
      <c r="R286" s="774"/>
      <c r="S286" s="772"/>
      <c r="T286" s="774"/>
      <c r="U286" s="772"/>
      <c r="V286" s="774"/>
      <c r="W286" s="772"/>
      <c r="AE286" s="772"/>
      <c r="AF286" s="772"/>
      <c r="AG286" s="772"/>
      <c r="AH286" s="772"/>
      <c r="AI286" s="772"/>
      <c r="AJ286" s="772"/>
      <c r="AK286" s="772"/>
      <c r="AL286" s="772"/>
      <c r="AM286" s="772"/>
      <c r="AN286" s="772"/>
      <c r="AO286" s="772"/>
      <c r="AP286" s="772"/>
      <c r="AQ286" s="772"/>
      <c r="AR286" s="772"/>
      <c r="AS286" s="772"/>
      <c r="AT286" s="772"/>
      <c r="AU286" s="772"/>
      <c r="AV286" s="772"/>
      <c r="AW286" s="772"/>
      <c r="AX286" s="772"/>
      <c r="AY286" s="772"/>
      <c r="AZ286" s="772"/>
      <c r="BA286" s="772"/>
      <c r="BB286" s="772"/>
      <c r="BC286" s="772"/>
    </row>
    <row r="287" spans="1:62" x14ac:dyDescent="0.25">
      <c r="A287" s="760" t="s">
        <v>284</v>
      </c>
      <c r="C287" s="760">
        <v>7.12</v>
      </c>
      <c r="D287" s="760">
        <f>AT287-C287</f>
        <v>9.129999999999999</v>
      </c>
      <c r="E287" s="790">
        <v>6.09</v>
      </c>
      <c r="F287" s="824">
        <f>AU287-E287</f>
        <v>10.809999999999999</v>
      </c>
      <c r="G287" s="760">
        <v>8.5</v>
      </c>
      <c r="H287" s="825">
        <f>AV287-G287</f>
        <v>11.899999999999999</v>
      </c>
      <c r="I287" s="824">
        <v>9.8000000000000007</v>
      </c>
      <c r="J287" s="825">
        <f>+AW287-I287</f>
        <v>18.099999999999998</v>
      </c>
      <c r="K287" s="824">
        <f>+Canalyst!G209</f>
        <v>13.897115778921961</v>
      </c>
      <c r="L287" s="825">
        <f>+Canalyst!H209</f>
        <v>20.737239800474153</v>
      </c>
      <c r="M287" s="824">
        <f>+Canalyst!I209</f>
        <v>16.688472749132398</v>
      </c>
      <c r="N287" s="825">
        <f>+Canalyst!J209</f>
        <v>21.496844839100341</v>
      </c>
      <c r="O287" s="824">
        <f>+Canalyst!K209</f>
        <v>23.300726226294358</v>
      </c>
      <c r="P287" s="825">
        <f>+Canalyst!L209</f>
        <v>25.13925027060931</v>
      </c>
      <c r="Q287" s="824">
        <f>+Canalyst!M209</f>
        <v>26.159408265576563</v>
      </c>
      <c r="R287" s="825">
        <f>+Canalyst!N209</f>
        <v>29.325292654568408</v>
      </c>
      <c r="S287" s="824">
        <f>+Canalyst!O209</f>
        <v>25.026988757613321</v>
      </c>
      <c r="T287" s="825">
        <f>+BB287-S287</f>
        <v>31.173011242386682</v>
      </c>
      <c r="U287" s="824">
        <v>25.6</v>
      </c>
      <c r="V287" s="825">
        <f t="shared" ref="V287:V288" si="1206">+BC287-U287</f>
        <v>34.1</v>
      </c>
      <c r="W287" s="824">
        <v>28.7</v>
      </c>
      <c r="AR287" s="824">
        <v>11.77</v>
      </c>
      <c r="AS287" s="824">
        <v>14.65</v>
      </c>
      <c r="AT287" s="824">
        <v>16.25</v>
      </c>
      <c r="AU287" s="824">
        <v>16.899999999999999</v>
      </c>
      <c r="AV287" s="824">
        <v>20.399999999999999</v>
      </c>
      <c r="AW287" s="824">
        <v>27.9</v>
      </c>
      <c r="AX287" s="824">
        <f>+Canalyst!AJ209</f>
        <v>34.638717283182316</v>
      </c>
      <c r="AY287" s="824">
        <f>+Canalyst!AK209</f>
        <v>38.189646035118848</v>
      </c>
      <c r="AZ287" s="824">
        <f>+Canalyst!AL209</f>
        <v>48.441521159957468</v>
      </c>
      <c r="BA287" s="824">
        <f>+Canalyst!AM209</f>
        <v>55.486591347700184</v>
      </c>
      <c r="BB287" s="824">
        <v>56.2</v>
      </c>
      <c r="BC287" s="824">
        <v>59.7</v>
      </c>
    </row>
    <row r="288" spans="1:62" x14ac:dyDescent="0.25">
      <c r="A288" s="760" t="s">
        <v>285</v>
      </c>
      <c r="C288" s="760">
        <v>6.99</v>
      </c>
      <c r="D288" s="760">
        <f>AT288-C288</f>
        <v>8.99</v>
      </c>
      <c r="E288" s="790">
        <v>6.07</v>
      </c>
      <c r="F288" s="824">
        <f>AU288-E288</f>
        <v>10.829999999999998</v>
      </c>
      <c r="G288" s="760">
        <v>8.5</v>
      </c>
      <c r="H288" s="825">
        <f>AV288-G288</f>
        <v>11.7</v>
      </c>
      <c r="I288" s="824">
        <v>9.8000000000000007</v>
      </c>
      <c r="J288" s="825">
        <f>+AW288-I288</f>
        <v>17.8</v>
      </c>
      <c r="K288" s="824">
        <f>+Canalyst!G210</f>
        <v>13.809375282979017</v>
      </c>
      <c r="L288" s="825">
        <f>+Canalyst!H210</f>
        <v>20.616081929847585</v>
      </c>
      <c r="M288" s="824">
        <f>+Canalyst!I210</f>
        <v>16.597001728226367</v>
      </c>
      <c r="N288" s="825">
        <f>+Canalyst!J210</f>
        <v>21.397348550998547</v>
      </c>
      <c r="O288" s="824">
        <f>+Canalyst!K210</f>
        <v>23.186443397976966</v>
      </c>
      <c r="P288" s="825">
        <f>+Canalyst!L210</f>
        <v>25.039890562778904</v>
      </c>
      <c r="Q288" s="824">
        <f>+Canalyst!M210</f>
        <v>26.048859135677016</v>
      </c>
      <c r="R288" s="825">
        <f>+Canalyst!N210</f>
        <v>29.256973136091009</v>
      </c>
      <c r="S288" s="824">
        <f>+Canalyst!O210</f>
        <v>24.964438834795832</v>
      </c>
      <c r="T288" s="825">
        <f t="shared" ref="T288" si="1207">+BB288-S288</f>
        <v>31.035561165204168</v>
      </c>
      <c r="U288" s="824">
        <v>25.5</v>
      </c>
      <c r="V288" s="825">
        <f t="shared" si="1206"/>
        <v>33.9</v>
      </c>
      <c r="W288" s="824">
        <v>28.6</v>
      </c>
      <c r="AR288" s="824">
        <v>11.48</v>
      </c>
      <c r="AS288" s="824">
        <v>14.08</v>
      </c>
      <c r="AT288" s="824">
        <v>15.98</v>
      </c>
      <c r="AU288" s="824">
        <v>16.899999999999999</v>
      </c>
      <c r="AV288" s="824">
        <v>20.2</v>
      </c>
      <c r="AW288" s="824">
        <v>27.6</v>
      </c>
      <c r="AX288" s="824">
        <f>+Canalyst!AJ210</f>
        <v>34.428117393840658</v>
      </c>
      <c r="AY288" s="824">
        <f>+Canalyst!AK210</f>
        <v>37.996524953046652</v>
      </c>
      <c r="AZ288" s="824">
        <f>+Canalyst!AL210</f>
        <v>48.226811670502315</v>
      </c>
      <c r="BA288" s="824">
        <f>+Canalyst!AM210</f>
        <v>55.304259838102062</v>
      </c>
      <c r="BB288" s="824">
        <v>56</v>
      </c>
      <c r="BC288" s="824">
        <v>59.4</v>
      </c>
    </row>
    <row r="289" spans="1:55" x14ac:dyDescent="0.25">
      <c r="A289" s="783"/>
      <c r="C289" s="772"/>
      <c r="D289" s="772"/>
      <c r="E289" s="773"/>
      <c r="F289" s="772"/>
      <c r="G289" s="772"/>
      <c r="H289" s="774"/>
      <c r="I289" s="772"/>
      <c r="J289" s="774"/>
      <c r="K289" s="772"/>
      <c r="L289" s="774"/>
      <c r="M289" s="772"/>
      <c r="N289" s="774"/>
      <c r="O289" s="772"/>
      <c r="P289" s="774"/>
      <c r="Q289" s="772"/>
      <c r="R289" s="774"/>
      <c r="S289" s="772"/>
      <c r="T289" s="774"/>
      <c r="U289" s="772"/>
      <c r="V289" s="774"/>
      <c r="W289" s="772"/>
      <c r="AE289" s="772"/>
      <c r="AF289" s="772"/>
      <c r="AG289" s="772"/>
      <c r="AH289" s="772"/>
      <c r="AI289" s="772"/>
      <c r="AJ289" s="772"/>
      <c r="AK289" s="772"/>
      <c r="AL289" s="772"/>
      <c r="AM289" s="772"/>
      <c r="AN289" s="772"/>
      <c r="AO289" s="772"/>
      <c r="AP289" s="772"/>
      <c r="AQ289" s="772"/>
      <c r="AR289" s="772"/>
      <c r="AS289" s="772"/>
      <c r="AT289" s="772"/>
      <c r="AU289" s="772"/>
      <c r="AV289" s="772"/>
      <c r="AW289" s="772"/>
      <c r="AX289" s="772"/>
      <c r="AY289" s="772"/>
      <c r="AZ289" s="772"/>
      <c r="BA289" s="772"/>
      <c r="BB289" s="772"/>
      <c r="BC289" s="772"/>
    </row>
    <row r="290" spans="1:55" hidden="1" outlineLevel="1" x14ac:dyDescent="0.25">
      <c r="A290" s="760" t="s">
        <v>286</v>
      </c>
      <c r="C290" s="760">
        <v>7.14</v>
      </c>
      <c r="D290" s="838">
        <f>AT290-C290</f>
        <v>9.5999999999999979</v>
      </c>
      <c r="E290" s="790">
        <v>8.2100000000000009</v>
      </c>
      <c r="F290" s="824">
        <f>AU290-E290</f>
        <v>10.989999999999998</v>
      </c>
      <c r="G290" s="760">
        <v>8.6999999999999993</v>
      </c>
      <c r="H290" s="825">
        <f>AV290-G290</f>
        <v>12.3</v>
      </c>
      <c r="I290" s="824">
        <v>1.5</v>
      </c>
      <c r="J290" s="825">
        <f>+AW290-I290</f>
        <v>27.6</v>
      </c>
      <c r="K290" s="824"/>
      <c r="L290" s="825"/>
      <c r="M290" s="824"/>
      <c r="N290" s="825"/>
      <c r="O290" s="824"/>
      <c r="P290" s="825"/>
      <c r="Q290" s="824"/>
      <c r="R290" s="825"/>
      <c r="S290" s="824"/>
      <c r="T290" s="825"/>
      <c r="U290" s="824"/>
      <c r="V290" s="825"/>
      <c r="W290" s="824"/>
      <c r="AR290" s="824"/>
      <c r="AS290" s="824"/>
      <c r="AT290" s="824">
        <v>16.739999999999998</v>
      </c>
      <c r="AU290" s="824">
        <v>19.2</v>
      </c>
      <c r="AV290" s="824">
        <v>21</v>
      </c>
      <c r="AW290" s="824">
        <v>29.1</v>
      </c>
      <c r="AX290" s="824"/>
      <c r="AY290" s="824"/>
      <c r="AZ290" s="824"/>
      <c r="BA290" s="824"/>
      <c r="BB290" s="824"/>
      <c r="BC290" s="824"/>
    </row>
    <row r="291" spans="1:55" hidden="1" outlineLevel="1" x14ac:dyDescent="0.25">
      <c r="A291" s="760" t="s">
        <v>287</v>
      </c>
      <c r="C291" s="760">
        <v>7.02</v>
      </c>
      <c r="D291" s="760">
        <f>AT291-C291</f>
        <v>9.4400000000000013</v>
      </c>
      <c r="E291" s="790">
        <v>8.18</v>
      </c>
      <c r="F291" s="824">
        <f>AU291-E291</f>
        <v>10.920000000000002</v>
      </c>
      <c r="G291" s="760">
        <v>8.6999999999999993</v>
      </c>
      <c r="H291" s="825">
        <f>AV291-G291</f>
        <v>12.2</v>
      </c>
      <c r="I291" s="824">
        <v>10.4</v>
      </c>
      <c r="J291" s="825">
        <f>+AW291-I291</f>
        <v>18.399999999999999</v>
      </c>
      <c r="K291" s="824"/>
      <c r="L291" s="825"/>
      <c r="M291" s="824"/>
      <c r="N291" s="825"/>
      <c r="O291" s="824"/>
      <c r="P291" s="825"/>
      <c r="Q291" s="824"/>
      <c r="R291" s="825"/>
      <c r="S291" s="824"/>
      <c r="T291" s="825"/>
      <c r="U291" s="824"/>
      <c r="V291" s="825"/>
      <c r="W291" s="824"/>
      <c r="AR291" s="824"/>
      <c r="AS291" s="824"/>
      <c r="AT291" s="824">
        <v>16.46</v>
      </c>
      <c r="AU291" s="824">
        <v>19.100000000000001</v>
      </c>
      <c r="AV291" s="824">
        <v>20.9</v>
      </c>
      <c r="AW291" s="824">
        <v>28.8</v>
      </c>
      <c r="AX291" s="824"/>
      <c r="AY291" s="824"/>
      <c r="AZ291" s="824"/>
      <c r="BA291" s="824"/>
      <c r="BB291" s="824"/>
      <c r="BC291" s="824"/>
    </row>
    <row r="292" spans="1:55" hidden="1" outlineLevel="1" x14ac:dyDescent="0.25">
      <c r="E292" s="790"/>
      <c r="H292" s="791"/>
      <c r="J292" s="791"/>
      <c r="L292" s="791"/>
      <c r="N292" s="791"/>
      <c r="P292" s="791"/>
      <c r="R292" s="791"/>
      <c r="T292" s="791"/>
      <c r="V292" s="791"/>
    </row>
    <row r="293" spans="1:55" hidden="1" outlineLevel="1" x14ac:dyDescent="0.25">
      <c r="A293" s="771" t="s">
        <v>288</v>
      </c>
      <c r="E293" s="790"/>
      <c r="H293" s="791"/>
      <c r="J293" s="791"/>
      <c r="L293" s="791"/>
      <c r="N293" s="791"/>
      <c r="P293" s="791"/>
      <c r="R293" s="791"/>
      <c r="T293" s="791"/>
      <c r="V293" s="791"/>
    </row>
    <row r="294" spans="1:55" hidden="1" outlineLevel="1" x14ac:dyDescent="0.25">
      <c r="A294" s="760" t="s">
        <v>289</v>
      </c>
      <c r="C294" s="772"/>
      <c r="D294" s="772"/>
      <c r="E294" s="773"/>
      <c r="F294" s="772"/>
      <c r="G294" s="772"/>
      <c r="H294" s="774"/>
      <c r="I294" s="772"/>
      <c r="J294" s="774"/>
      <c r="K294" s="772"/>
      <c r="L294" s="774"/>
      <c r="M294" s="772"/>
      <c r="N294" s="774"/>
      <c r="O294" s="772"/>
      <c r="P294" s="774"/>
      <c r="Q294" s="772"/>
      <c r="R294" s="774"/>
      <c r="S294" s="772"/>
      <c r="T294" s="774"/>
      <c r="U294" s="772"/>
      <c r="V294" s="774"/>
      <c r="W294" s="772"/>
      <c r="AE294" s="772"/>
      <c r="AF294" s="772"/>
      <c r="AG294" s="772"/>
      <c r="AH294" s="772"/>
      <c r="AI294" s="772"/>
      <c r="AJ294" s="772"/>
      <c r="AK294" s="772"/>
      <c r="AL294" s="772"/>
      <c r="AM294" s="772"/>
      <c r="AN294" s="772"/>
      <c r="AO294" s="772"/>
      <c r="AP294" s="772"/>
      <c r="AQ294" s="772"/>
      <c r="AR294" s="772">
        <v>21.361000000000001</v>
      </c>
      <c r="AS294" s="772">
        <v>25.16</v>
      </c>
      <c r="AT294" s="772">
        <v>29.562999999999999</v>
      </c>
      <c r="AU294" s="772"/>
      <c r="AV294" s="772"/>
      <c r="AW294" s="772"/>
      <c r="AX294" s="772"/>
      <c r="AY294" s="772"/>
      <c r="AZ294" s="772"/>
      <c r="BA294" s="772"/>
      <c r="BB294" s="772"/>
      <c r="BC294" s="772"/>
    </row>
    <row r="295" spans="1:55" hidden="1" outlineLevel="1" x14ac:dyDescent="0.25">
      <c r="A295" s="760" t="s">
        <v>290</v>
      </c>
      <c r="C295" s="772"/>
      <c r="D295" s="772"/>
      <c r="E295" s="773"/>
      <c r="F295" s="772"/>
      <c r="G295" s="772"/>
      <c r="H295" s="774"/>
      <c r="I295" s="772"/>
      <c r="J295" s="774"/>
      <c r="K295" s="772"/>
      <c r="L295" s="774"/>
      <c r="M295" s="772"/>
      <c r="N295" s="774"/>
      <c r="O295" s="772"/>
      <c r="P295" s="774"/>
      <c r="Q295" s="772"/>
      <c r="R295" s="774"/>
      <c r="S295" s="772"/>
      <c r="T295" s="774"/>
      <c r="U295" s="772"/>
      <c r="V295" s="774"/>
      <c r="W295" s="772"/>
      <c r="AE295" s="772"/>
      <c r="AF295" s="772"/>
      <c r="AG295" s="772"/>
      <c r="AH295" s="772"/>
      <c r="AI295" s="772"/>
      <c r="AJ295" s="772"/>
      <c r="AK295" s="772"/>
      <c r="AL295" s="772"/>
      <c r="AM295" s="772"/>
      <c r="AN295" s="772"/>
      <c r="AO295" s="772"/>
      <c r="AP295" s="772"/>
      <c r="AQ295" s="772"/>
      <c r="AR295" s="772">
        <v>15.428000000000001</v>
      </c>
      <c r="AS295" s="772">
        <v>19.905999999999999</v>
      </c>
      <c r="AT295" s="772">
        <v>21.716000000000001</v>
      </c>
      <c r="AU295" s="772"/>
      <c r="AV295" s="772"/>
      <c r="AW295" s="772"/>
      <c r="AX295" s="772"/>
      <c r="AY295" s="772"/>
      <c r="AZ295" s="772"/>
      <c r="BA295" s="772"/>
      <c r="BB295" s="772"/>
      <c r="BC295" s="772"/>
    </row>
    <row r="296" spans="1:55" hidden="1" outlineLevel="1" x14ac:dyDescent="0.25">
      <c r="A296" s="760" t="s">
        <v>291</v>
      </c>
      <c r="C296" s="772"/>
      <c r="D296" s="772"/>
      <c r="E296" s="773"/>
      <c r="F296" s="772"/>
      <c r="G296" s="772"/>
      <c r="H296" s="774"/>
      <c r="I296" s="772"/>
      <c r="J296" s="774"/>
      <c r="K296" s="772"/>
      <c r="L296" s="774"/>
      <c r="M296" s="772"/>
      <c r="N296" s="774"/>
      <c r="O296" s="772"/>
      <c r="P296" s="774"/>
      <c r="Q296" s="772"/>
      <c r="R296" s="774"/>
      <c r="S296" s="772"/>
      <c r="T296" s="774"/>
      <c r="U296" s="772"/>
      <c r="V296" s="774"/>
      <c r="W296" s="772"/>
      <c r="AE296" s="772"/>
      <c r="AF296" s="772"/>
      <c r="AG296" s="772"/>
      <c r="AH296" s="772"/>
      <c r="AI296" s="772"/>
      <c r="AJ296" s="772"/>
      <c r="AK296" s="772"/>
      <c r="AL296" s="772"/>
      <c r="AM296" s="772"/>
      <c r="AN296" s="772"/>
      <c r="AO296" s="772"/>
      <c r="AP296" s="772"/>
      <c r="AQ296" s="772"/>
      <c r="AR296" s="772">
        <v>1.1659999999999999</v>
      </c>
      <c r="AS296" s="772">
        <v>1.778</v>
      </c>
      <c r="AT296" s="772">
        <v>2.1480000000000001</v>
      </c>
      <c r="AU296" s="772"/>
      <c r="AV296" s="772"/>
      <c r="AW296" s="772"/>
      <c r="AX296" s="772"/>
      <c r="AY296" s="772"/>
      <c r="AZ296" s="772"/>
      <c r="BA296" s="772"/>
      <c r="BB296" s="772"/>
      <c r="BC296" s="772"/>
    </row>
    <row r="297" spans="1:55" ht="13" hidden="1" outlineLevel="1" x14ac:dyDescent="0.25">
      <c r="A297" s="760" t="s">
        <v>292</v>
      </c>
      <c r="C297" s="780"/>
      <c r="D297" s="780"/>
      <c r="E297" s="781"/>
      <c r="F297" s="780"/>
      <c r="G297" s="780"/>
      <c r="H297" s="782"/>
      <c r="I297" s="780"/>
      <c r="J297" s="782"/>
      <c r="K297" s="780"/>
      <c r="L297" s="782"/>
      <c r="M297" s="780"/>
      <c r="N297" s="782"/>
      <c r="O297" s="780"/>
      <c r="P297" s="782"/>
      <c r="Q297" s="780"/>
      <c r="R297" s="782"/>
      <c r="S297" s="780"/>
      <c r="T297" s="782"/>
      <c r="U297" s="780"/>
      <c r="V297" s="782"/>
      <c r="W297" s="780"/>
      <c r="AE297" s="780"/>
      <c r="AF297" s="780"/>
      <c r="AG297" s="780"/>
      <c r="AH297" s="780"/>
      <c r="AI297" s="780"/>
      <c r="AJ297" s="780"/>
      <c r="AK297" s="780"/>
      <c r="AL297" s="780"/>
      <c r="AM297" s="780"/>
      <c r="AN297" s="780"/>
      <c r="AO297" s="780"/>
      <c r="AP297" s="780"/>
      <c r="AQ297" s="780"/>
      <c r="AR297" s="780">
        <v>5.1879999999999997</v>
      </c>
      <c r="AS297" s="780">
        <v>6.149</v>
      </c>
      <c r="AT297" s="780">
        <v>9.766</v>
      </c>
      <c r="AU297" s="780"/>
      <c r="AV297" s="780"/>
      <c r="AW297" s="780"/>
      <c r="AX297" s="780"/>
      <c r="AY297" s="780"/>
      <c r="AZ297" s="780"/>
      <c r="BA297" s="780"/>
      <c r="BB297" s="780"/>
      <c r="BC297" s="780"/>
    </row>
    <row r="298" spans="1:55" s="763" customFormat="1" hidden="1" outlineLevel="1" x14ac:dyDescent="0.25">
      <c r="A298" s="786" t="s">
        <v>293</v>
      </c>
      <c r="C298" s="787"/>
      <c r="D298" s="787"/>
      <c r="E298" s="788"/>
      <c r="F298" s="787"/>
      <c r="G298" s="787"/>
      <c r="H298" s="789"/>
      <c r="I298" s="787"/>
      <c r="J298" s="789"/>
      <c r="K298" s="787"/>
      <c r="L298" s="789"/>
      <c r="M298" s="787"/>
      <c r="N298" s="789"/>
      <c r="O298" s="787"/>
      <c r="P298" s="789"/>
      <c r="Q298" s="787"/>
      <c r="R298" s="789"/>
      <c r="S298" s="787"/>
      <c r="T298" s="789"/>
      <c r="U298" s="787"/>
      <c r="V298" s="789"/>
      <c r="W298" s="787"/>
      <c r="X298" s="760"/>
      <c r="Y298" s="760"/>
      <c r="Z298" s="760"/>
      <c r="AA298" s="760"/>
      <c r="AB298" s="760"/>
      <c r="AC298" s="760"/>
      <c r="AD298" s="760"/>
      <c r="AE298" s="787">
        <f>'CapIQ - as disclosed'!G15/1000000*-1</f>
        <v>2.6439699999999999</v>
      </c>
      <c r="AF298" s="787">
        <f>'CapIQ - as disclosed'!H15/1000000*-1</f>
        <v>3.7307100000000002</v>
      </c>
      <c r="AG298" s="787">
        <f>'CapIQ - as disclosed'!I15/1000000*-1</f>
        <v>5.9687549999999998</v>
      </c>
      <c r="AH298" s="787">
        <f>'CapIQ - as disclosed'!J15/1000000*-1</f>
        <v>5.6917020000000003</v>
      </c>
      <c r="AI298" s="787">
        <f>'CapIQ - as disclosed'!K15/1000000*-1</f>
        <v>6.7127520000000001</v>
      </c>
      <c r="AJ298" s="787">
        <f>'CapIQ - as disclosed'!L15/1000000*-1</f>
        <v>7.415324</v>
      </c>
      <c r="AK298" s="787">
        <f>'CapIQ - as disclosed'!M15/1000000*-1</f>
        <v>9.5461860000000005</v>
      </c>
      <c r="AL298" s="787">
        <f>'CapIQ - as disclosed'!N15/1000000*-1</f>
        <v>11.861407</v>
      </c>
      <c r="AM298" s="787">
        <f>'CapIQ - as disclosed'!O15/1000000*-1</f>
        <v>14.020987999999999</v>
      </c>
      <c r="AN298" s="787">
        <f>'CapIQ - as disclosed'!P15/1000000*-1</f>
        <v>14.682206000000001</v>
      </c>
      <c r="AO298" s="787">
        <f>'CapIQ - as disclosed'!Q15/1000000*-1</f>
        <v>18.485997000000001</v>
      </c>
      <c r="AP298" s="787">
        <f>'CapIQ - as disclosed'!R15/1000000*-1</f>
        <v>27.016508999999999</v>
      </c>
      <c r="AQ298" s="787">
        <f>'CapIQ - as disclosed'!S15/1000000*-1</f>
        <v>33.994318999999997</v>
      </c>
      <c r="AR298" s="787">
        <f>SUM(AR294:AR297)</f>
        <v>43.143000000000001</v>
      </c>
      <c r="AS298" s="787">
        <f t="shared" ref="AS298:AT298" si="1208">SUM(AS294:AS297)</f>
        <v>52.993000000000002</v>
      </c>
      <c r="AT298" s="787">
        <f t="shared" si="1208"/>
        <v>63.192999999999998</v>
      </c>
      <c r="AU298" s="787">
        <f t="shared" ref="AU298:BA298" si="1209">+AU242*-1</f>
        <v>78.527000000000001</v>
      </c>
      <c r="AV298" s="787">
        <f t="shared" si="1209"/>
        <v>86.150999999999996</v>
      </c>
      <c r="AW298" s="787">
        <f t="shared" si="1209"/>
        <v>107.14100000000001</v>
      </c>
      <c r="AX298" s="787">
        <f t="shared" si="1209"/>
        <v>126.657</v>
      </c>
      <c r="AY298" s="787">
        <f t="shared" si="1209"/>
        <v>141.97200000000001</v>
      </c>
      <c r="AZ298" s="787">
        <f t="shared" si="1209"/>
        <v>156.94200000000001</v>
      </c>
      <c r="BA298" s="787">
        <f t="shared" si="1209"/>
        <v>191.065</v>
      </c>
      <c r="BB298" s="787"/>
      <c r="BC298" s="787"/>
    </row>
    <row r="299" spans="1:55" hidden="1" outlineLevel="1" x14ac:dyDescent="0.25">
      <c r="E299" s="790"/>
      <c r="H299" s="791"/>
      <c r="J299" s="791"/>
      <c r="L299" s="791"/>
      <c r="N299" s="791"/>
      <c r="P299" s="791"/>
      <c r="R299" s="791"/>
      <c r="T299" s="791"/>
      <c r="V299" s="791"/>
    </row>
    <row r="300" spans="1:55" collapsed="1" x14ac:dyDescent="0.25">
      <c r="A300" s="771" t="s">
        <v>294</v>
      </c>
      <c r="E300" s="790"/>
      <c r="H300" s="791"/>
      <c r="J300" s="791"/>
      <c r="L300" s="791"/>
      <c r="N300" s="791"/>
      <c r="P300" s="791"/>
      <c r="R300" s="791"/>
      <c r="T300" s="791"/>
      <c r="V300" s="791"/>
    </row>
    <row r="301" spans="1:55" x14ac:dyDescent="0.25">
      <c r="A301" s="763"/>
      <c r="E301" s="790"/>
      <c r="H301" s="791"/>
      <c r="J301" s="791"/>
      <c r="L301" s="791"/>
      <c r="N301" s="791"/>
      <c r="P301" s="791"/>
      <c r="R301" s="791"/>
      <c r="T301" s="791"/>
      <c r="V301" s="791"/>
    </row>
    <row r="302" spans="1:55" x14ac:dyDescent="0.25">
      <c r="A302" s="763" t="s">
        <v>212</v>
      </c>
      <c r="E302" s="790"/>
      <c r="H302" s="791"/>
      <c r="J302" s="791"/>
      <c r="L302" s="791"/>
      <c r="N302" s="791"/>
      <c r="P302" s="791"/>
      <c r="R302" s="791"/>
      <c r="T302" s="791"/>
      <c r="V302" s="791"/>
    </row>
    <row r="303" spans="1:55" x14ac:dyDescent="0.25">
      <c r="A303" s="760" t="s">
        <v>295</v>
      </c>
      <c r="C303" s="772">
        <f>'CapIQ - as disclosed'!Y53/1000</f>
        <v>6.9669999999999996</v>
      </c>
      <c r="D303" s="772">
        <f>'CapIQ - as disclosed'!Z53/1000</f>
        <v>6.9969999999999999</v>
      </c>
      <c r="E303" s="773">
        <f>'CapIQ - as disclosed'!AA53/1000</f>
        <v>6.7629999999999999</v>
      </c>
      <c r="F303" s="772">
        <f>AU303</f>
        <v>6.391</v>
      </c>
      <c r="G303" s="772">
        <v>6.1429999999999998</v>
      </c>
      <c r="H303" s="774">
        <f>AV303</f>
        <v>5.5789999999999997</v>
      </c>
      <c r="I303" s="772">
        <v>5.3819999999999997</v>
      </c>
      <c r="J303" s="774">
        <f>+Canalyst!F431</f>
        <v>5.056</v>
      </c>
      <c r="K303" s="772">
        <f>+Canalyst!G431</f>
        <v>5.4880000000000004</v>
      </c>
      <c r="L303" s="774">
        <f>+Canalyst!H431</f>
        <v>5.7610000000000001</v>
      </c>
      <c r="M303" s="772">
        <f>+Canalyst!I431</f>
        <v>6.585</v>
      </c>
      <c r="N303" s="774">
        <f>+Canalyst!J431</f>
        <v>11.897</v>
      </c>
      <c r="O303" s="772">
        <f>+Canalyst!K431</f>
        <v>12.782999999999999</v>
      </c>
      <c r="P303" s="774">
        <f>+Canalyst!L431</f>
        <v>11.753</v>
      </c>
      <c r="Q303" s="772">
        <f>+Canalyst!M431</f>
        <v>11.811999999999999</v>
      </c>
      <c r="R303" s="774">
        <f>+Canalyst!N431</f>
        <v>11.27</v>
      </c>
      <c r="S303" s="772">
        <f>+Canalyst!O431</f>
        <v>11.166</v>
      </c>
      <c r="T303" s="774">
        <f>+BB303</f>
        <v>11.348000000000001</v>
      </c>
      <c r="U303" s="772">
        <v>10.755000000000001</v>
      </c>
      <c r="V303" s="774">
        <f>+BC303</f>
        <v>9.8320000000000007</v>
      </c>
      <c r="W303" s="772">
        <v>13.342000000000001</v>
      </c>
      <c r="AE303" s="772"/>
      <c r="AF303" s="772"/>
      <c r="AG303" s="772"/>
      <c r="AH303" s="772"/>
      <c r="AI303" s="772"/>
      <c r="AJ303" s="772"/>
      <c r="AK303" s="772"/>
      <c r="AL303" s="772"/>
      <c r="AM303" s="772"/>
      <c r="AN303" s="772"/>
      <c r="AO303" s="772"/>
      <c r="AP303" s="772"/>
      <c r="AQ303" s="772">
        <f>'CapIQ - as disclosed'!S53/1000000</f>
        <v>4.6967359999999996</v>
      </c>
      <c r="AR303" s="772">
        <v>6.351</v>
      </c>
      <c r="AS303" s="772">
        <v>6.6070000000000002</v>
      </c>
      <c r="AT303" s="772">
        <v>6.9969999999999999</v>
      </c>
      <c r="AU303" s="772">
        <v>6.391</v>
      </c>
      <c r="AV303" s="772">
        <v>5.5789999999999997</v>
      </c>
      <c r="AW303" s="772">
        <f>+Canalyst!AI431</f>
        <v>5.056</v>
      </c>
      <c r="AX303" s="772">
        <f>+Canalyst!AJ431</f>
        <v>5.7610000000000001</v>
      </c>
      <c r="AY303" s="772">
        <f>+Canalyst!AK431</f>
        <v>11.897</v>
      </c>
      <c r="AZ303" s="772">
        <f>+Canalyst!AL431</f>
        <v>11.753</v>
      </c>
      <c r="BA303" s="772">
        <f>+Canalyst!AM431</f>
        <v>11.27</v>
      </c>
      <c r="BB303" s="772">
        <v>11.348000000000001</v>
      </c>
      <c r="BC303" s="772">
        <v>9.8320000000000007</v>
      </c>
    </row>
    <row r="304" spans="1:55" x14ac:dyDescent="0.25">
      <c r="A304" s="760" t="s">
        <v>296</v>
      </c>
      <c r="C304" s="772">
        <v>0</v>
      </c>
      <c r="D304" s="772">
        <v>0</v>
      </c>
      <c r="E304" s="773">
        <v>0</v>
      </c>
      <c r="F304" s="772">
        <v>0</v>
      </c>
      <c r="G304" s="772">
        <v>0</v>
      </c>
      <c r="H304" s="774">
        <v>0</v>
      </c>
      <c r="I304" s="772">
        <v>0</v>
      </c>
      <c r="J304" s="774">
        <f>+Canalyst!F432</f>
        <v>0</v>
      </c>
      <c r="K304" s="772">
        <f>+Canalyst!G432</f>
        <v>0</v>
      </c>
      <c r="L304" s="774">
        <f>+Canalyst!H432</f>
        <v>0</v>
      </c>
      <c r="M304" s="772">
        <f>+Canalyst!I432</f>
        <v>6.1449999999999996</v>
      </c>
      <c r="N304" s="774">
        <f>+Canalyst!J432</f>
        <v>8.6980000000000004</v>
      </c>
      <c r="O304" s="772">
        <f>+Canalyst!K432</f>
        <v>7.5720000000000001</v>
      </c>
      <c r="P304" s="774">
        <f>+Canalyst!L432</f>
        <v>7.0220000000000002</v>
      </c>
      <c r="Q304" s="772">
        <f>+Canalyst!M432</f>
        <v>6.55</v>
      </c>
      <c r="R304" s="774">
        <f>+Canalyst!N432</f>
        <v>6.1619999999999999</v>
      </c>
      <c r="S304" s="772">
        <f>+Canalyst!O432</f>
        <v>5.8490000000000002</v>
      </c>
      <c r="T304" s="774">
        <f t="shared" ref="T304:T341" si="1210">+BB304</f>
        <v>9.9689999999999994</v>
      </c>
      <c r="U304" s="772">
        <v>8.7789999999999999</v>
      </c>
      <c r="V304" s="774">
        <f t="shared" ref="V304:V341" si="1211">+BC304</f>
        <v>10.066000000000001</v>
      </c>
      <c r="W304" s="772">
        <v>26.751999999999999</v>
      </c>
      <c r="AE304" s="772"/>
      <c r="AF304" s="772"/>
      <c r="AG304" s="772"/>
      <c r="AH304" s="772"/>
      <c r="AI304" s="772"/>
      <c r="AJ304" s="772"/>
      <c r="AK304" s="772"/>
      <c r="AL304" s="772"/>
      <c r="AM304" s="772"/>
      <c r="AN304" s="772"/>
      <c r="AO304" s="772"/>
      <c r="AP304" s="772"/>
      <c r="AQ304" s="772">
        <v>0</v>
      </c>
      <c r="AR304" s="772">
        <v>0</v>
      </c>
      <c r="AS304" s="772">
        <v>0</v>
      </c>
      <c r="AT304" s="772">
        <v>0</v>
      </c>
      <c r="AU304" s="772">
        <v>0</v>
      </c>
      <c r="AV304" s="772">
        <v>0</v>
      </c>
      <c r="AW304" s="772">
        <f>+Canalyst!AI432</f>
        <v>0</v>
      </c>
      <c r="AX304" s="772">
        <f>+Canalyst!AJ432</f>
        <v>0</v>
      </c>
      <c r="AY304" s="772">
        <f>+Canalyst!AK432</f>
        <v>8.6980000000000004</v>
      </c>
      <c r="AZ304" s="772">
        <f>+Canalyst!AL432</f>
        <v>7.0220000000000002</v>
      </c>
      <c r="BA304" s="772">
        <f>+Canalyst!AM432</f>
        <v>6.1619999999999999</v>
      </c>
      <c r="BB304" s="772">
        <v>9.9689999999999994</v>
      </c>
      <c r="BC304" s="772">
        <v>10.066000000000001</v>
      </c>
    </row>
    <row r="305" spans="1:55" x14ac:dyDescent="0.25">
      <c r="A305" s="760" t="s">
        <v>297</v>
      </c>
      <c r="C305" s="772">
        <f>'CapIQ - as disclosed'!Y58/1000</f>
        <v>0.46800000000000003</v>
      </c>
      <c r="D305" s="772">
        <f>'CapIQ - as disclosed'!Z58/1000</f>
        <v>0.45800000000000002</v>
      </c>
      <c r="E305" s="773">
        <f>'CapIQ - as disclosed'!AA58/1000</f>
        <v>0.63200000000000001</v>
      </c>
      <c r="F305" s="772">
        <f t="shared" ref="F305:F307" si="1212">AU305</f>
        <v>0.66700000000000004</v>
      </c>
      <c r="G305" s="772">
        <v>0.94399999999999995</v>
      </c>
      <c r="H305" s="774">
        <f t="shared" ref="H305:H307" si="1213">AV305</f>
        <v>0.504</v>
      </c>
      <c r="I305" s="772">
        <v>0.38600000000000001</v>
      </c>
      <c r="J305" s="774">
        <f>+Canalyst!F433</f>
        <v>0.32400000000000001</v>
      </c>
      <c r="K305" s="772">
        <f>+Canalyst!G433</f>
        <v>0.34599999999999997</v>
      </c>
      <c r="L305" s="774">
        <f>+Canalyst!H433</f>
        <v>0.24</v>
      </c>
      <c r="M305" s="772">
        <f>+Canalyst!I433</f>
        <v>0.70099999999999996</v>
      </c>
      <c r="N305" s="774">
        <f>+Canalyst!J433</f>
        <v>1.3009999999999999</v>
      </c>
      <c r="O305" s="772">
        <f>+Canalyst!K433</f>
        <v>2.6960000000000002</v>
      </c>
      <c r="P305" s="774">
        <f>+Canalyst!L433</f>
        <v>5.202</v>
      </c>
      <c r="Q305" s="772">
        <f>+Canalyst!M433</f>
        <v>6.6959999999999997</v>
      </c>
      <c r="R305" s="774">
        <f>+Canalyst!N433</f>
        <v>7.9779999999999998</v>
      </c>
      <c r="S305" s="772">
        <f>+Canalyst!O433</f>
        <v>7.5750000000000002</v>
      </c>
      <c r="T305" s="774">
        <f t="shared" si="1210"/>
        <v>7.1550000000000002</v>
      </c>
      <c r="U305" s="772">
        <v>8.548</v>
      </c>
      <c r="V305" s="774">
        <f t="shared" si="1211"/>
        <v>11.608000000000001</v>
      </c>
      <c r="W305" s="772">
        <v>13.422000000000001</v>
      </c>
      <c r="AE305" s="772"/>
      <c r="AF305" s="772"/>
      <c r="AG305" s="772"/>
      <c r="AH305" s="772"/>
      <c r="AI305" s="772"/>
      <c r="AJ305" s="772"/>
      <c r="AK305" s="772"/>
      <c r="AL305" s="772"/>
      <c r="AM305" s="772"/>
      <c r="AN305" s="772"/>
      <c r="AO305" s="772"/>
      <c r="AP305" s="772"/>
      <c r="AQ305" s="772">
        <f>'CapIQ - as disclosed'!S58/1000000</f>
        <v>0.12920999999999999</v>
      </c>
      <c r="AR305" s="772">
        <v>0.40600000000000003</v>
      </c>
      <c r="AS305" s="772">
        <v>0.52300000000000002</v>
      </c>
      <c r="AT305" s="772">
        <v>0.45800000000000002</v>
      </c>
      <c r="AU305" s="772">
        <v>0.66700000000000004</v>
      </c>
      <c r="AV305" s="772">
        <v>0.504</v>
      </c>
      <c r="AW305" s="772">
        <f>+Canalyst!AI433</f>
        <v>0.32400000000000001</v>
      </c>
      <c r="AX305" s="772">
        <f>+Canalyst!AJ433</f>
        <v>0.24</v>
      </c>
      <c r="AY305" s="772">
        <f>+Canalyst!AK433</f>
        <v>1.3009999999999999</v>
      </c>
      <c r="AZ305" s="772">
        <f>+Canalyst!AL433</f>
        <v>5.202</v>
      </c>
      <c r="BA305" s="772">
        <f>+Canalyst!AM433</f>
        <v>7.9779999999999998</v>
      </c>
      <c r="BB305" s="772">
        <v>7.1550000000000002</v>
      </c>
      <c r="BC305" s="772">
        <v>11.608000000000001</v>
      </c>
    </row>
    <row r="306" spans="1:55" x14ac:dyDescent="0.25">
      <c r="A306" s="760" t="s">
        <v>298</v>
      </c>
      <c r="C306" s="772">
        <f>'CapIQ - as disclosed'!Y56/1000</f>
        <v>0</v>
      </c>
      <c r="D306" s="772">
        <f>'CapIQ - as disclosed'!Z56/1000</f>
        <v>0</v>
      </c>
      <c r="E306" s="773">
        <f>'CapIQ - as disclosed'!AA56/1000</f>
        <v>0</v>
      </c>
      <c r="F306" s="772">
        <f t="shared" si="1212"/>
        <v>0</v>
      </c>
      <c r="G306" s="772">
        <v>0</v>
      </c>
      <c r="H306" s="774">
        <f t="shared" si="1213"/>
        <v>0</v>
      </c>
      <c r="I306" s="772">
        <v>0</v>
      </c>
      <c r="J306" s="774">
        <f t="shared" ref="J306" si="1214">+AW306</f>
        <v>0</v>
      </c>
      <c r="K306" s="772">
        <v>0</v>
      </c>
      <c r="L306" s="774">
        <v>0</v>
      </c>
      <c r="M306" s="772">
        <v>0</v>
      </c>
      <c r="N306" s="774">
        <v>0</v>
      </c>
      <c r="O306" s="772">
        <v>0</v>
      </c>
      <c r="P306" s="774">
        <v>0</v>
      </c>
      <c r="Q306" s="772">
        <v>0</v>
      </c>
      <c r="R306" s="774">
        <v>0</v>
      </c>
      <c r="S306" s="772">
        <v>0</v>
      </c>
      <c r="T306" s="774">
        <f t="shared" si="1210"/>
        <v>0</v>
      </c>
      <c r="U306" s="772">
        <v>0</v>
      </c>
      <c r="V306" s="774">
        <f t="shared" si="1211"/>
        <v>0</v>
      </c>
      <c r="W306" s="772">
        <v>0</v>
      </c>
      <c r="AE306" s="772"/>
      <c r="AF306" s="772"/>
      <c r="AG306" s="772"/>
      <c r="AH306" s="772"/>
      <c r="AI306" s="772"/>
      <c r="AJ306" s="772"/>
      <c r="AK306" s="772"/>
      <c r="AL306" s="772"/>
      <c r="AM306" s="772"/>
      <c r="AN306" s="772"/>
      <c r="AO306" s="772"/>
      <c r="AP306" s="772"/>
      <c r="AQ306" s="772">
        <f>'CapIQ - as disclosed'!S56/1000000</f>
        <v>5.0000000000000004E-6</v>
      </c>
      <c r="AR306" s="772">
        <v>0</v>
      </c>
      <c r="AS306" s="772">
        <v>0</v>
      </c>
      <c r="AT306" s="772">
        <v>0</v>
      </c>
      <c r="AU306" s="772">
        <v>0</v>
      </c>
      <c r="AV306" s="772">
        <v>0</v>
      </c>
      <c r="AW306" s="772">
        <v>0</v>
      </c>
      <c r="AX306" s="772">
        <v>0</v>
      </c>
      <c r="AY306" s="772">
        <v>0</v>
      </c>
      <c r="AZ306" s="772">
        <v>0</v>
      </c>
      <c r="BA306" s="772">
        <v>0</v>
      </c>
      <c r="BB306" s="772">
        <v>0</v>
      </c>
      <c r="BC306" s="772">
        <v>0</v>
      </c>
    </row>
    <row r="307" spans="1:55" ht="13" x14ac:dyDescent="0.25">
      <c r="A307" s="760" t="s">
        <v>299</v>
      </c>
      <c r="C307" s="780">
        <f>'CapIQ - as disclosed'!Y57/1000</f>
        <v>0.59599999999999997</v>
      </c>
      <c r="D307" s="780">
        <f>'CapIQ - as disclosed'!Z57/1000</f>
        <v>0.67800000000000005</v>
      </c>
      <c r="E307" s="781">
        <f>'CapIQ - as disclosed'!AA57/1000</f>
        <v>0.52200000000000002</v>
      </c>
      <c r="F307" s="780">
        <f t="shared" si="1212"/>
        <v>0.42599999999999999</v>
      </c>
      <c r="G307" s="780">
        <v>0.41899999999999998</v>
      </c>
      <c r="H307" s="782">
        <f t="shared" si="1213"/>
        <v>0.89500000000000002</v>
      </c>
      <c r="I307" s="780">
        <v>0.876</v>
      </c>
      <c r="J307" s="782">
        <f>+Canalyst!F434</f>
        <v>1.4359999999999999</v>
      </c>
      <c r="K307" s="780">
        <f>+Canalyst!G434</f>
        <v>1.5629999999999999</v>
      </c>
      <c r="L307" s="782">
        <f>+Canalyst!H434</f>
        <v>2.4849999999999999</v>
      </c>
      <c r="M307" s="780">
        <f>+Canalyst!I434</f>
        <v>2.7589999999999999</v>
      </c>
      <c r="N307" s="782">
        <f>+Canalyst!J434</f>
        <v>2.4079999999999999</v>
      </c>
      <c r="O307" s="780">
        <f>+Canalyst!K434</f>
        <v>2.516</v>
      </c>
      <c r="P307" s="782">
        <f>+Canalyst!L434</f>
        <v>3.149</v>
      </c>
      <c r="Q307" s="780">
        <f>+Canalyst!M434</f>
        <v>2.5110000000000001</v>
      </c>
      <c r="R307" s="782">
        <f>+Canalyst!N434</f>
        <v>2.508</v>
      </c>
      <c r="S307" s="780">
        <f>+Canalyst!O434</f>
        <v>2.306</v>
      </c>
      <c r="T307" s="782">
        <f t="shared" si="1210"/>
        <v>2.9969999999999999</v>
      </c>
      <c r="U307" s="780">
        <v>2.6230000000000002</v>
      </c>
      <c r="V307" s="782">
        <f t="shared" si="1211"/>
        <v>2.5710000000000002</v>
      </c>
      <c r="W307" s="780">
        <v>2.4969999999999999</v>
      </c>
      <c r="AE307" s="780"/>
      <c r="AF307" s="780"/>
      <c r="AG307" s="780"/>
      <c r="AH307" s="780"/>
      <c r="AI307" s="780"/>
      <c r="AJ307" s="780"/>
      <c r="AK307" s="780"/>
      <c r="AL307" s="780"/>
      <c r="AM307" s="780"/>
      <c r="AN307" s="780"/>
      <c r="AO307" s="780"/>
      <c r="AP307" s="780"/>
      <c r="AQ307" s="780">
        <f>SUM('CapIQ - as disclosed'!S54,'CapIQ - as disclosed'!S57)/1000000</f>
        <v>1.1042670000000001</v>
      </c>
      <c r="AR307" s="780">
        <v>0.68200000000000005</v>
      </c>
      <c r="AS307" s="780">
        <v>0.53500000000000003</v>
      </c>
      <c r="AT307" s="780">
        <v>0.67800000000000005</v>
      </c>
      <c r="AU307" s="780">
        <v>0.42599999999999999</v>
      </c>
      <c r="AV307" s="780">
        <v>0.89500000000000002</v>
      </c>
      <c r="AW307" s="780">
        <f>+Canalyst!AI434</f>
        <v>1.4359999999999999</v>
      </c>
      <c r="AX307" s="780">
        <f>+Canalyst!AJ434</f>
        <v>2.4849999999999999</v>
      </c>
      <c r="AY307" s="780">
        <f>+Canalyst!AK434</f>
        <v>2.4079999999999999</v>
      </c>
      <c r="AZ307" s="780">
        <f>+Canalyst!AL434</f>
        <v>3.149</v>
      </c>
      <c r="BA307" s="780">
        <f>+Canalyst!AM434</f>
        <v>2.508</v>
      </c>
      <c r="BB307" s="780">
        <v>2.9969999999999999</v>
      </c>
      <c r="BC307" s="780">
        <v>2.5710000000000002</v>
      </c>
    </row>
    <row r="308" spans="1:55" x14ac:dyDescent="0.25">
      <c r="A308" s="783" t="s">
        <v>213</v>
      </c>
      <c r="C308" s="772">
        <f t="shared" ref="C308" si="1215">SUM(C303:C307)</f>
        <v>8.0309999999999988</v>
      </c>
      <c r="D308" s="772">
        <f t="shared" ref="D308" si="1216">SUM(D303:D307)</f>
        <v>8.1330000000000009</v>
      </c>
      <c r="E308" s="773">
        <f t="shared" ref="E308:F308" si="1217">SUM(E303:E307)</f>
        <v>7.9169999999999998</v>
      </c>
      <c r="F308" s="772">
        <f t="shared" si="1217"/>
        <v>7.484</v>
      </c>
      <c r="G308" s="772">
        <f t="shared" ref="G308:W308" si="1218">SUM(G303:G307)</f>
        <v>7.5059999999999993</v>
      </c>
      <c r="H308" s="774">
        <f t="shared" si="1218"/>
        <v>6.9779999999999998</v>
      </c>
      <c r="I308" s="772">
        <f t="shared" si="1218"/>
        <v>6.6440000000000001</v>
      </c>
      <c r="J308" s="774">
        <f t="shared" si="1218"/>
        <v>6.8159999999999998</v>
      </c>
      <c r="K308" s="772">
        <f t="shared" si="1218"/>
        <v>7.3970000000000002</v>
      </c>
      <c r="L308" s="774">
        <f t="shared" si="1218"/>
        <v>8.4860000000000007</v>
      </c>
      <c r="M308" s="772">
        <f t="shared" si="1218"/>
        <v>16.190000000000001</v>
      </c>
      <c r="N308" s="774">
        <f t="shared" si="1218"/>
        <v>24.303999999999998</v>
      </c>
      <c r="O308" s="772">
        <f t="shared" si="1218"/>
        <v>25.567</v>
      </c>
      <c r="P308" s="774">
        <f t="shared" si="1218"/>
        <v>27.125999999999998</v>
      </c>
      <c r="Q308" s="772">
        <f t="shared" si="1218"/>
        <v>27.568999999999999</v>
      </c>
      <c r="R308" s="774">
        <f t="shared" si="1218"/>
        <v>27.917999999999996</v>
      </c>
      <c r="S308" s="772">
        <f t="shared" si="1218"/>
        <v>26.896000000000001</v>
      </c>
      <c r="T308" s="774">
        <f t="shared" si="1210"/>
        <v>31.469000000000001</v>
      </c>
      <c r="U308" s="772">
        <f t="shared" si="1218"/>
        <v>30.705000000000002</v>
      </c>
      <c r="V308" s="774">
        <f t="shared" si="1211"/>
        <v>34.077000000000005</v>
      </c>
      <c r="W308" s="772">
        <f t="shared" si="1218"/>
        <v>56.013000000000005</v>
      </c>
      <c r="AE308" s="772">
        <f>SUM('CapIQ - as disclosed'!G53:G58)/1000000</f>
        <v>0.43894499999999997</v>
      </c>
      <c r="AF308" s="772">
        <f>SUM('CapIQ - as disclosed'!H53:H58)/1000000</f>
        <v>0.51457900000000001</v>
      </c>
      <c r="AG308" s="772">
        <f>SUM('CapIQ - as disclosed'!I53:I58)/1000000</f>
        <v>0.84068900000000002</v>
      </c>
      <c r="AH308" s="772">
        <f>SUM('CapIQ - as disclosed'!J53:J58)/1000000</f>
        <v>1.6953819999999999</v>
      </c>
      <c r="AI308" s="772">
        <f>SUM('CapIQ - as disclosed'!K53:K58)/1000000</f>
        <v>0.75508500000000001</v>
      </c>
      <c r="AJ308" s="772">
        <f>SUM('CapIQ - as disclosed'!L53:L58)/1000000</f>
        <v>0.68072900000000003</v>
      </c>
      <c r="AK308" s="772">
        <f>SUM('CapIQ - as disclosed'!M53:M58)/1000000</f>
        <v>0.46166099999999999</v>
      </c>
      <c r="AL308" s="772">
        <f>SUM('CapIQ - as disclosed'!N53:N58)/1000000</f>
        <v>0.51700699999999999</v>
      </c>
      <c r="AM308" s="772">
        <f>SUM('CapIQ - as disclosed'!O53:O58)/1000000</f>
        <v>0.63753099999999996</v>
      </c>
      <c r="AN308" s="772">
        <f>SUM('CapIQ - as disclosed'!P53:P58)/1000000</f>
        <v>0.51860700000000004</v>
      </c>
      <c r="AO308" s="772">
        <f>SUM('CapIQ - as disclosed'!Q53:Q58)/1000000</f>
        <v>0.437392</v>
      </c>
      <c r="AP308" s="772">
        <f>SUM('CapIQ - as disclosed'!R53:R58)/1000000</f>
        <v>0.70627399999999996</v>
      </c>
      <c r="AQ308" s="772">
        <f t="shared" ref="AQ308" si="1219">SUM(AQ303:AQ307)</f>
        <v>5.9302179999999991</v>
      </c>
      <c r="AR308" s="772">
        <f>SUM(AR303:AR307)</f>
        <v>7.4390000000000001</v>
      </c>
      <c r="AS308" s="772">
        <f t="shared" ref="AS308:AT308" si="1220">SUM(AS303:AS307)</f>
        <v>7.665</v>
      </c>
      <c r="AT308" s="772">
        <f t="shared" si="1220"/>
        <v>8.1330000000000009</v>
      </c>
      <c r="AU308" s="772">
        <f t="shared" ref="AU308" si="1221">SUM(AU303:AU307)</f>
        <v>7.484</v>
      </c>
      <c r="AV308" s="772">
        <f>SUM(AV303:AV307)</f>
        <v>6.9779999999999998</v>
      </c>
      <c r="AW308" s="772">
        <f t="shared" ref="AW308:AZ308" si="1222">SUM(AW303:AW307)</f>
        <v>6.8159999999999998</v>
      </c>
      <c r="AX308" s="772">
        <f t="shared" si="1222"/>
        <v>8.4860000000000007</v>
      </c>
      <c r="AY308" s="772">
        <f t="shared" si="1222"/>
        <v>24.303999999999998</v>
      </c>
      <c r="AZ308" s="772">
        <f t="shared" si="1222"/>
        <v>27.125999999999998</v>
      </c>
      <c r="BA308" s="772">
        <f t="shared" ref="BA308:BC308" si="1223">SUM(BA303:BA307)</f>
        <v>27.917999999999996</v>
      </c>
      <c r="BB308" s="772">
        <f t="shared" si="1223"/>
        <v>31.469000000000001</v>
      </c>
      <c r="BC308" s="772">
        <f t="shared" si="1223"/>
        <v>34.077000000000005</v>
      </c>
    </row>
    <row r="309" spans="1:55" x14ac:dyDescent="0.25">
      <c r="A309" s="760" t="s">
        <v>300</v>
      </c>
      <c r="C309" s="772">
        <f>'CapIQ - as disclosed'!Y49/1000</f>
        <v>2.238</v>
      </c>
      <c r="D309" s="772">
        <f>'CapIQ - as disclosed'!Z49/1000</f>
        <v>2.6520000000000001</v>
      </c>
      <c r="E309" s="773">
        <f>'CapIQ - as disclosed'!AA49/1000</f>
        <v>3.9220000000000002</v>
      </c>
      <c r="F309" s="772">
        <f t="shared" ref="F309:F312" si="1224">AU309</f>
        <v>4.6109999999999998</v>
      </c>
      <c r="G309" s="772">
        <v>5.6219999999999999</v>
      </c>
      <c r="H309" s="774">
        <f t="shared" ref="H309:H312" si="1225">AV309</f>
        <v>6.9749999999999996</v>
      </c>
      <c r="I309" s="772">
        <v>12.704000000000001</v>
      </c>
      <c r="J309" s="774">
        <f t="shared" ref="J309:J311" si="1226">+AW309</f>
        <v>8.6310000000000002</v>
      </c>
      <c r="K309" s="772">
        <f>+Canalyst!G424</f>
        <v>35.000999999999998</v>
      </c>
      <c r="L309" s="774">
        <f>+Canalyst!H424</f>
        <v>11.084</v>
      </c>
      <c r="M309" s="772">
        <f>+Canalyst!I424</f>
        <v>16.381</v>
      </c>
      <c r="N309" s="774">
        <f>+Canalyst!J424</f>
        <v>11.744</v>
      </c>
      <c r="O309" s="772">
        <f>+Canalyst!K424</f>
        <v>13.583</v>
      </c>
      <c r="P309" s="774">
        <f>+Canalyst!L424</f>
        <v>38.411000000000001</v>
      </c>
      <c r="Q309" s="772">
        <f>+Canalyst!M424</f>
        <v>44.366999999999997</v>
      </c>
      <c r="R309" s="774">
        <f>+Canalyst!N424</f>
        <v>5.1040000000000001</v>
      </c>
      <c r="S309" s="772">
        <f>+Canalyst!O424</f>
        <v>7.157</v>
      </c>
      <c r="T309" s="774">
        <f t="shared" si="1210"/>
        <v>3.5910000000000002</v>
      </c>
      <c r="U309" s="772">
        <v>3.992</v>
      </c>
      <c r="V309" s="774">
        <f t="shared" si="1211"/>
        <v>2.9159999999999999</v>
      </c>
      <c r="W309" s="772">
        <v>21.335000000000001</v>
      </c>
      <c r="AE309" s="772">
        <f>'CapIQ - as disclosed'!G49/1000000</f>
        <v>0.17154</v>
      </c>
      <c r="AF309" s="772">
        <f>'CapIQ - as disclosed'!H49/1000000</f>
        <v>0.33513799999999999</v>
      </c>
      <c r="AG309" s="772">
        <f>'CapIQ - as disclosed'!I49/1000000</f>
        <v>1.279763</v>
      </c>
      <c r="AH309" s="772">
        <f>'CapIQ - as disclosed'!J49/1000000</f>
        <v>0.28871599999999997</v>
      </c>
      <c r="AI309" s="772">
        <f>'CapIQ - as disclosed'!K49/1000000</f>
        <v>0.24516399999999999</v>
      </c>
      <c r="AJ309" s="772">
        <f>'CapIQ - as disclosed'!L49/1000000</f>
        <v>0.25069599999999997</v>
      </c>
      <c r="AK309" s="772">
        <f>'CapIQ - as disclosed'!M49/1000000</f>
        <v>0.17116600000000001</v>
      </c>
      <c r="AL309" s="772">
        <f>'CapIQ - as disclosed'!N49/1000000</f>
        <v>0.403391</v>
      </c>
      <c r="AM309" s="772">
        <f>'CapIQ - as disclosed'!O49/1000000</f>
        <v>0.40257500000000002</v>
      </c>
      <c r="AN309" s="772">
        <f>'CapIQ - as disclosed'!P49/1000000</f>
        <v>0.26390200000000003</v>
      </c>
      <c r="AO309" s="772">
        <f>'CapIQ - as disclosed'!Q49/1000000</f>
        <v>0.83121500000000004</v>
      </c>
      <c r="AP309" s="772">
        <f>'CapIQ - as disclosed'!R49/1000000</f>
        <v>1.0403690000000001</v>
      </c>
      <c r="AQ309" s="772">
        <f>'CapIQ - as disclosed'!S49/1000000</f>
        <v>2.0073970000000001</v>
      </c>
      <c r="AR309" s="772">
        <v>4.2789999999999999</v>
      </c>
      <c r="AS309" s="772">
        <v>4.4809999999999999</v>
      </c>
      <c r="AT309" s="772">
        <v>2.6520000000000001</v>
      </c>
      <c r="AU309" s="772">
        <v>4.6109999999999998</v>
      </c>
      <c r="AV309" s="772">
        <v>6.9749999999999996</v>
      </c>
      <c r="AW309" s="772">
        <f>+Canalyst!AI424</f>
        <v>8.6310000000000002</v>
      </c>
      <c r="AX309" s="772">
        <f>+Canalyst!AJ424</f>
        <v>11.084</v>
      </c>
      <c r="AY309" s="772">
        <f>+Canalyst!AK424</f>
        <v>11.744</v>
      </c>
      <c r="AZ309" s="772">
        <f>+Canalyst!AL424</f>
        <v>38.411000000000001</v>
      </c>
      <c r="BA309" s="772">
        <f>+Canalyst!AM424</f>
        <v>5.1040000000000001</v>
      </c>
      <c r="BB309" s="772">
        <v>3.5910000000000002</v>
      </c>
      <c r="BC309" s="772">
        <v>2.9159999999999999</v>
      </c>
    </row>
    <row r="310" spans="1:55" x14ac:dyDescent="0.25">
      <c r="A310" s="760" t="s">
        <v>301</v>
      </c>
      <c r="C310" s="772">
        <f>'CapIQ - as disclosed'!Y46/1000</f>
        <v>112.038</v>
      </c>
      <c r="D310" s="772">
        <f>'CapIQ - as disclosed'!Z46/1000</f>
        <v>121.952</v>
      </c>
      <c r="E310" s="773">
        <f>'CapIQ - as disclosed'!AA46/1000</f>
        <v>113.473</v>
      </c>
      <c r="F310" s="772">
        <f t="shared" si="1224"/>
        <v>132.78700000000001</v>
      </c>
      <c r="G310" s="772">
        <v>151.673</v>
      </c>
      <c r="H310" s="774">
        <f t="shared" si="1225"/>
        <v>173.506</v>
      </c>
      <c r="I310" s="772">
        <v>189.62299999999999</v>
      </c>
      <c r="J310" s="774">
        <f t="shared" si="1226"/>
        <v>205.95699999999999</v>
      </c>
      <c r="K310" s="772">
        <f>+Canalyst!G425</f>
        <v>240.80500000000001</v>
      </c>
      <c r="L310" s="774">
        <f>+Canalyst!H425</f>
        <v>285.30700000000002</v>
      </c>
      <c r="M310" s="772">
        <f>+Canalyst!I425</f>
        <v>284.166</v>
      </c>
      <c r="N310" s="774">
        <f>+Canalyst!J425</f>
        <v>314.12299999999999</v>
      </c>
      <c r="O310" s="772">
        <f>+Canalyst!K425</f>
        <v>284.14299999999997</v>
      </c>
      <c r="P310" s="774">
        <f>+Canalyst!L425</f>
        <v>329.666</v>
      </c>
      <c r="Q310" s="772">
        <f>+Canalyst!M425</f>
        <v>405.18900000000002</v>
      </c>
      <c r="R310" s="774">
        <f>+Canalyst!N425</f>
        <v>541.42399999999998</v>
      </c>
      <c r="S310" s="772">
        <f>+Canalyst!O425</f>
        <v>545.50099999999998</v>
      </c>
      <c r="T310" s="774">
        <f t="shared" si="1210"/>
        <v>490.041</v>
      </c>
      <c r="U310" s="772">
        <v>496.822</v>
      </c>
      <c r="V310" s="774">
        <f t="shared" si="1211"/>
        <v>585.30200000000002</v>
      </c>
      <c r="W310" s="772">
        <v>609.50800000000004</v>
      </c>
      <c r="AE310" s="772">
        <f>('CapIQ - as disclosed'!G46+'CapIQ - as disclosed'!G47)/1000000</f>
        <v>5.7787660000000001</v>
      </c>
      <c r="AF310" s="772">
        <f>('CapIQ - as disclosed'!H46+'CapIQ - as disclosed'!H47)/1000000</f>
        <v>7.028905</v>
      </c>
      <c r="AG310" s="772">
        <f>('CapIQ - as disclosed'!I46+'CapIQ - as disclosed'!I47)/1000000</f>
        <v>16.722294999999999</v>
      </c>
      <c r="AH310" s="772">
        <f>('CapIQ - as disclosed'!J46+'CapIQ - as disclosed'!J47)/1000000</f>
        <v>10.161258999999999</v>
      </c>
      <c r="AI310" s="772">
        <f>('CapIQ - as disclosed'!K46+'CapIQ - as disclosed'!K47)/1000000</f>
        <v>13.687734000000001</v>
      </c>
      <c r="AJ310" s="772">
        <f>('CapIQ - as disclosed'!L46+'CapIQ - as disclosed'!L47)/1000000</f>
        <v>13.646055</v>
      </c>
      <c r="AK310" s="772">
        <f>('CapIQ - as disclosed'!M46+'CapIQ - as disclosed'!M47)/1000000</f>
        <v>15.766052</v>
      </c>
      <c r="AL310" s="772">
        <f>('CapIQ - as disclosed'!N46+'CapIQ - as disclosed'!N47)/1000000</f>
        <v>19.372043000000001</v>
      </c>
      <c r="AM310" s="772">
        <f>('CapIQ - as disclosed'!O46+'CapIQ - as disclosed'!O47)/1000000</f>
        <v>19.731705000000002</v>
      </c>
      <c r="AN310" s="772">
        <f>('CapIQ - as disclosed'!P46+'CapIQ - as disclosed'!P47)/1000000</f>
        <v>20.752227999999999</v>
      </c>
      <c r="AO310" s="772">
        <f>('CapIQ - as disclosed'!Q46+'CapIQ - as disclosed'!Q47)/1000000</f>
        <v>30.100736000000001</v>
      </c>
      <c r="AP310" s="772">
        <f>('CapIQ - as disclosed'!R46+'CapIQ - as disclosed'!R47)/1000000</f>
        <v>49.007102000000003</v>
      </c>
      <c r="AQ310" s="772">
        <f>('CapIQ - as disclosed'!S46+'CapIQ - as disclosed'!S47)/1000000</f>
        <v>71.902552</v>
      </c>
      <c r="AR310" s="772">
        <v>86.662000000000006</v>
      </c>
      <c r="AS310" s="772">
        <v>100.19499999999999</v>
      </c>
      <c r="AT310" s="772">
        <v>121.952</v>
      </c>
      <c r="AU310" s="772">
        <v>132.78700000000001</v>
      </c>
      <c r="AV310" s="772">
        <v>173.506</v>
      </c>
      <c r="AW310" s="772">
        <f>+Canalyst!AI425</f>
        <v>205.95699999999999</v>
      </c>
      <c r="AX310" s="772">
        <f>+Canalyst!AJ425</f>
        <v>285.30700000000002</v>
      </c>
      <c r="AY310" s="772">
        <f>+Canalyst!AK425</f>
        <v>314.12299999999999</v>
      </c>
      <c r="AZ310" s="772">
        <f>+Canalyst!AL425</f>
        <v>329.666</v>
      </c>
      <c r="BA310" s="772">
        <f>+Canalyst!AM425</f>
        <v>541.42399999999998</v>
      </c>
      <c r="BB310" s="772">
        <v>490.041</v>
      </c>
      <c r="BC310" s="772">
        <v>585.30200000000002</v>
      </c>
    </row>
    <row r="311" spans="1:55" x14ac:dyDescent="0.25">
      <c r="A311" s="760" t="s">
        <v>302</v>
      </c>
      <c r="C311" s="772">
        <f>'CapIQ - as disclosed'!Y48/1000</f>
        <v>0</v>
      </c>
      <c r="D311" s="772">
        <f>'CapIQ - as disclosed'!Z48/1000</f>
        <v>0</v>
      </c>
      <c r="E311" s="773">
        <f>'CapIQ - as disclosed'!AA48/1000</f>
        <v>0</v>
      </c>
      <c r="F311" s="772">
        <f t="shared" si="1224"/>
        <v>0</v>
      </c>
      <c r="G311" s="772">
        <v>0</v>
      </c>
      <c r="H311" s="774">
        <f t="shared" si="1225"/>
        <v>0</v>
      </c>
      <c r="I311" s="772">
        <v>0</v>
      </c>
      <c r="J311" s="774">
        <f t="shared" si="1226"/>
        <v>0</v>
      </c>
      <c r="K311" s="772">
        <f>+Canalyst!G427</f>
        <v>0</v>
      </c>
      <c r="L311" s="774">
        <f>+Canalyst!H427</f>
        <v>0</v>
      </c>
      <c r="M311" s="772">
        <f>+Canalyst!I427</f>
        <v>2.1859999999999999</v>
      </c>
      <c r="N311" s="774">
        <f>+Canalyst!J427</f>
        <v>0.63600000000000001</v>
      </c>
      <c r="O311" s="772">
        <f>+Canalyst!K427</f>
        <v>0.14799999999999999</v>
      </c>
      <c r="P311" s="774">
        <f>+Canalyst!L427</f>
        <v>0.432</v>
      </c>
      <c r="Q311" s="772">
        <f>+Canalyst!M427</f>
        <v>0.45900000000000002</v>
      </c>
      <c r="R311" s="774">
        <f>+Canalyst!N427</f>
        <v>0.29599999999999999</v>
      </c>
      <c r="S311" s="772">
        <f>+Canalyst!O427</f>
        <v>1.415</v>
      </c>
      <c r="T311" s="774">
        <f t="shared" si="1210"/>
        <v>0</v>
      </c>
      <c r="U311" s="772">
        <v>2.1840000000000002</v>
      </c>
      <c r="V311" s="774">
        <f t="shared" si="1211"/>
        <v>0</v>
      </c>
      <c r="W311" s="772">
        <v>3.98</v>
      </c>
      <c r="AE311" s="772">
        <f>'CapIQ - as disclosed'!G48/1000000</f>
        <v>0</v>
      </c>
      <c r="AF311" s="772">
        <f>'CapIQ - as disclosed'!H48/1000000</f>
        <v>0</v>
      </c>
      <c r="AG311" s="772">
        <f>'CapIQ - as disclosed'!I48/1000000</f>
        <v>0</v>
      </c>
      <c r="AH311" s="772">
        <f>'CapIQ - as disclosed'!J48/1000000</f>
        <v>0</v>
      </c>
      <c r="AI311" s="772">
        <f>'CapIQ - as disclosed'!K48/1000000</f>
        <v>0</v>
      </c>
      <c r="AJ311" s="772">
        <f>'CapIQ - as disclosed'!L48/1000000</f>
        <v>0</v>
      </c>
      <c r="AK311" s="772">
        <f>'CapIQ - as disclosed'!M48/1000000</f>
        <v>0</v>
      </c>
      <c r="AL311" s="772">
        <f>'CapIQ - as disclosed'!N48/1000000</f>
        <v>0</v>
      </c>
      <c r="AM311" s="772">
        <f>'CapIQ - as disclosed'!O48/1000000</f>
        <v>0</v>
      </c>
      <c r="AN311" s="772">
        <f>'CapIQ - as disclosed'!P48/1000000</f>
        <v>0</v>
      </c>
      <c r="AO311" s="772">
        <f>'CapIQ - as disclosed'!Q48/1000000</f>
        <v>0</v>
      </c>
      <c r="AP311" s="772">
        <f>'CapIQ - as disclosed'!R48/1000000</f>
        <v>0</v>
      </c>
      <c r="AQ311" s="772">
        <f>'CapIQ - as disclosed'!S48/1000000</f>
        <v>0.15956999999999999</v>
      </c>
      <c r="AR311" s="772">
        <v>0.159</v>
      </c>
      <c r="AS311" s="772">
        <v>0</v>
      </c>
      <c r="AT311" s="772">
        <v>0</v>
      </c>
      <c r="AU311" s="772">
        <v>0</v>
      </c>
      <c r="AV311" s="772">
        <v>0</v>
      </c>
      <c r="AW311" s="772">
        <f>+Canalyst!AI427</f>
        <v>0</v>
      </c>
      <c r="AX311" s="772">
        <f>+Canalyst!AJ427</f>
        <v>0</v>
      </c>
      <c r="AY311" s="772">
        <f>+Canalyst!AK427</f>
        <v>0.63600000000000001</v>
      </c>
      <c r="AZ311" s="772">
        <f>+Canalyst!AL427</f>
        <v>0.432</v>
      </c>
      <c r="BA311" s="772">
        <f>+Canalyst!AM427</f>
        <v>0.29599999999999999</v>
      </c>
      <c r="BB311" s="772">
        <v>0</v>
      </c>
      <c r="BC311" s="772">
        <v>0</v>
      </c>
    </row>
    <row r="312" spans="1:55" ht="13" x14ac:dyDescent="0.25">
      <c r="A312" s="760" t="s">
        <v>303</v>
      </c>
      <c r="C312" s="780">
        <f>'CapIQ - as disclosed'!Y45/1000</f>
        <v>37.406999999999996</v>
      </c>
      <c r="D312" s="780">
        <f>'CapIQ - as disclosed'!Z45/1000</f>
        <v>74.641999999999996</v>
      </c>
      <c r="E312" s="781">
        <f>'CapIQ - as disclosed'!AA45/1000</f>
        <v>54.881</v>
      </c>
      <c r="F312" s="780">
        <f t="shared" si="1224"/>
        <v>62.360999999999997</v>
      </c>
      <c r="G312" s="780">
        <v>46.62</v>
      </c>
      <c r="H312" s="782">
        <f t="shared" si="1225"/>
        <v>61.643000000000001</v>
      </c>
      <c r="I312" s="780">
        <v>43.317999999999998</v>
      </c>
      <c r="J312" s="782">
        <f>+Canalyst!F426</f>
        <v>72.831000000000003</v>
      </c>
      <c r="K312" s="780">
        <f>+Canalyst!G426</f>
        <v>52.774000000000001</v>
      </c>
      <c r="L312" s="782">
        <f>+Canalyst!H426</f>
        <v>79.263000000000005</v>
      </c>
      <c r="M312" s="780">
        <f>+Canalyst!I426</f>
        <v>49.433</v>
      </c>
      <c r="N312" s="782">
        <f>+Canalyst!J426</f>
        <v>80.138999999999996</v>
      </c>
      <c r="O312" s="780">
        <f>+Canalyst!K426</f>
        <v>71.245000000000005</v>
      </c>
      <c r="P312" s="782">
        <f>+Canalyst!L426</f>
        <v>101.724</v>
      </c>
      <c r="Q312" s="780">
        <f>+Canalyst!M426</f>
        <v>74.283000000000001</v>
      </c>
      <c r="R312" s="782">
        <f>+Canalyst!N426</f>
        <v>97.316000000000003</v>
      </c>
      <c r="S312" s="780">
        <f>+Canalyst!O426</f>
        <v>97.721999999999994</v>
      </c>
      <c r="T312" s="782">
        <f t="shared" si="1210"/>
        <v>122.621</v>
      </c>
      <c r="U312" s="780">
        <v>112.455</v>
      </c>
      <c r="V312" s="782">
        <f t="shared" si="1211"/>
        <v>158.45400000000001</v>
      </c>
      <c r="W312" s="780">
        <v>141.04499999999999</v>
      </c>
      <c r="AE312" s="780">
        <f>'CapIQ - as disclosed'!G45/1000000</f>
        <v>2.1426000000000001E-2</v>
      </c>
      <c r="AF312" s="780">
        <f>'CapIQ - as disclosed'!H45/1000000</f>
        <v>8.6899999999999998E-3</v>
      </c>
      <c r="AG312" s="780">
        <f>'CapIQ - as disclosed'!I45/1000000</f>
        <v>2.0939999999999999E-3</v>
      </c>
      <c r="AH312" s="780">
        <f>'CapIQ - as disclosed'!J45/1000000</f>
        <v>1.379014</v>
      </c>
      <c r="AI312" s="780">
        <f>'CapIQ - as disclosed'!K45/1000000</f>
        <v>1.791488</v>
      </c>
      <c r="AJ312" s="780">
        <f>'CapIQ - as disclosed'!L45/1000000</f>
        <v>2.0525169999999999</v>
      </c>
      <c r="AK312" s="780">
        <f>'CapIQ - as disclosed'!M45/1000000</f>
        <v>2.3259999999999999E-3</v>
      </c>
      <c r="AL312" s="780">
        <f>'CapIQ - as disclosed'!N45/1000000</f>
        <v>6.0714319999999997</v>
      </c>
      <c r="AM312" s="780">
        <f>'CapIQ - as disclosed'!O45/1000000</f>
        <v>10.374245999999999</v>
      </c>
      <c r="AN312" s="780">
        <f>'CapIQ - as disclosed'!P45/1000000</f>
        <v>13.633570000000001</v>
      </c>
      <c r="AO312" s="780">
        <f>'CapIQ - as disclosed'!Q45/1000000</f>
        <v>13.675719000000001</v>
      </c>
      <c r="AP312" s="780">
        <f>'CapIQ - as disclosed'!R45/1000000</f>
        <v>9.0160850000000003</v>
      </c>
      <c r="AQ312" s="780">
        <f>'CapIQ - as disclosed'!S45/1000000</f>
        <v>12.281984</v>
      </c>
      <c r="AR312" s="780">
        <v>8.6760000000000002</v>
      </c>
      <c r="AS312" s="780">
        <v>37.72</v>
      </c>
      <c r="AT312" s="780">
        <v>74.641999999999996</v>
      </c>
      <c r="AU312" s="780">
        <v>62.360999999999997</v>
      </c>
      <c r="AV312" s="780">
        <v>61.643000000000001</v>
      </c>
      <c r="AW312" s="780">
        <f>+Canalyst!AI426</f>
        <v>72.831000000000003</v>
      </c>
      <c r="AX312" s="780">
        <f>+Canalyst!AJ426</f>
        <v>79.263000000000005</v>
      </c>
      <c r="AY312" s="780">
        <f>+Canalyst!AK426</f>
        <v>80.138999999999996</v>
      </c>
      <c r="AZ312" s="780">
        <f>+Canalyst!AL426</f>
        <v>101.724</v>
      </c>
      <c r="BA312" s="780">
        <f>+Canalyst!AM426</f>
        <v>97.316000000000003</v>
      </c>
      <c r="BB312" s="780">
        <v>122.621</v>
      </c>
      <c r="BC312" s="780">
        <v>158.45400000000001</v>
      </c>
    </row>
    <row r="313" spans="1:55" s="769" customFormat="1" x14ac:dyDescent="0.25">
      <c r="A313" s="783" t="s">
        <v>214</v>
      </c>
      <c r="C313" s="851">
        <f t="shared" ref="C313" si="1227">SUM(C309:C312)</f>
        <v>151.68299999999999</v>
      </c>
      <c r="D313" s="851">
        <f t="shared" ref="D313" si="1228">SUM(D309:D312)</f>
        <v>199.24599999999998</v>
      </c>
      <c r="E313" s="852">
        <f t="shared" ref="E313:F313" si="1229">SUM(E309:E312)</f>
        <v>172.27600000000001</v>
      </c>
      <c r="F313" s="851">
        <f t="shared" si="1229"/>
        <v>199.75899999999999</v>
      </c>
      <c r="G313" s="851">
        <f t="shared" ref="G313:H313" si="1230">SUM(G309:G312)</f>
        <v>203.91500000000002</v>
      </c>
      <c r="H313" s="853">
        <f t="shared" si="1230"/>
        <v>242.124</v>
      </c>
      <c r="I313" s="851">
        <f t="shared" ref="I313:J313" si="1231">SUM(I309:I312)</f>
        <v>245.64499999999998</v>
      </c>
      <c r="J313" s="853">
        <f t="shared" si="1231"/>
        <v>287.41899999999998</v>
      </c>
      <c r="K313" s="851">
        <f t="shared" ref="K313:S313" si="1232">SUM(K309:K312)</f>
        <v>328.58</v>
      </c>
      <c r="L313" s="853">
        <f t="shared" si="1232"/>
        <v>375.654</v>
      </c>
      <c r="M313" s="851">
        <f t="shared" si="1232"/>
        <v>352.166</v>
      </c>
      <c r="N313" s="853">
        <f t="shared" si="1232"/>
        <v>406.642</v>
      </c>
      <c r="O313" s="851">
        <f t="shared" si="1232"/>
        <v>369.11900000000003</v>
      </c>
      <c r="P313" s="853">
        <f t="shared" si="1232"/>
        <v>470.233</v>
      </c>
      <c r="Q313" s="851">
        <f t="shared" si="1232"/>
        <v>524.298</v>
      </c>
      <c r="R313" s="853">
        <f t="shared" si="1232"/>
        <v>644.1400000000001</v>
      </c>
      <c r="S313" s="851">
        <f t="shared" si="1232"/>
        <v>651.79499999999996</v>
      </c>
      <c r="T313" s="853">
        <f t="shared" si="1210"/>
        <v>616.25300000000004</v>
      </c>
      <c r="U313" s="851">
        <f t="shared" ref="U313:W313" si="1233">SUM(U309:U312)</f>
        <v>615.45300000000009</v>
      </c>
      <c r="V313" s="853">
        <f t="shared" si="1211"/>
        <v>746.67200000000003</v>
      </c>
      <c r="W313" s="851">
        <f t="shared" si="1233"/>
        <v>775.86800000000005</v>
      </c>
      <c r="AE313" s="851">
        <f t="shared" ref="AE313" si="1234">SUM(AE309:AE312)</f>
        <v>5.9717320000000003</v>
      </c>
      <c r="AF313" s="851">
        <f t="shared" ref="AF313" si="1235">SUM(AF309:AF312)</f>
        <v>7.3727329999999993</v>
      </c>
      <c r="AG313" s="851">
        <f t="shared" ref="AG313" si="1236">SUM(AG309:AG312)</f>
        <v>18.004151999999998</v>
      </c>
      <c r="AH313" s="851">
        <f t="shared" ref="AH313" si="1237">SUM(AH309:AH312)</f>
        <v>11.828988999999998</v>
      </c>
      <c r="AI313" s="851">
        <f t="shared" ref="AI313" si="1238">SUM(AI309:AI312)</f>
        <v>15.724386000000001</v>
      </c>
      <c r="AJ313" s="851">
        <f t="shared" ref="AJ313" si="1239">SUM(AJ309:AJ312)</f>
        <v>15.949268</v>
      </c>
      <c r="AK313" s="851">
        <f t="shared" ref="AK313" si="1240">SUM(AK309:AK312)</f>
        <v>15.939544</v>
      </c>
      <c r="AL313" s="851">
        <f t="shared" ref="AL313" si="1241">SUM(AL309:AL312)</f>
        <v>25.846865999999999</v>
      </c>
      <c r="AM313" s="851">
        <f t="shared" ref="AM313" si="1242">SUM(AM309:AM312)</f>
        <v>30.508526</v>
      </c>
      <c r="AN313" s="851">
        <f t="shared" ref="AN313" si="1243">SUM(AN309:AN312)</f>
        <v>34.649700000000003</v>
      </c>
      <c r="AO313" s="851">
        <f t="shared" ref="AO313" si="1244">SUM(AO309:AO312)</f>
        <v>44.607669999999999</v>
      </c>
      <c r="AP313" s="851">
        <f t="shared" ref="AP313" si="1245">SUM(AP309:AP312)</f>
        <v>59.063556000000005</v>
      </c>
      <c r="AQ313" s="851">
        <f t="shared" ref="AQ313" si="1246">SUM(AQ309:AQ312)</f>
        <v>86.351502999999994</v>
      </c>
      <c r="AR313" s="851">
        <f>SUM(AR309:AR312)</f>
        <v>99.77600000000001</v>
      </c>
      <c r="AS313" s="851">
        <f t="shared" ref="AS313:AT313" si="1247">SUM(AS309:AS312)</f>
        <v>142.39599999999999</v>
      </c>
      <c r="AT313" s="851">
        <f t="shared" si="1247"/>
        <v>199.24599999999998</v>
      </c>
      <c r="AU313" s="851">
        <f t="shared" ref="AU313:BA313" si="1248">SUM(AU309:AU312)</f>
        <v>199.75899999999999</v>
      </c>
      <c r="AV313" s="851">
        <f t="shared" si="1248"/>
        <v>242.124</v>
      </c>
      <c r="AW313" s="851">
        <f t="shared" ref="AW313:AZ313" si="1249">SUM(AW309:AW312)</f>
        <v>287.41899999999998</v>
      </c>
      <c r="AX313" s="851">
        <f t="shared" si="1249"/>
        <v>375.654</v>
      </c>
      <c r="AY313" s="851">
        <f t="shared" si="1249"/>
        <v>406.642</v>
      </c>
      <c r="AZ313" s="851">
        <f t="shared" si="1249"/>
        <v>470.233</v>
      </c>
      <c r="BA313" s="851">
        <f t="shared" si="1248"/>
        <v>644.1400000000001</v>
      </c>
      <c r="BB313" s="851">
        <f t="shared" ref="BB313:BC313" si="1250">SUM(BB309:BB312)</f>
        <v>616.25300000000004</v>
      </c>
      <c r="BC313" s="851">
        <f t="shared" si="1250"/>
        <v>746.67200000000003</v>
      </c>
    </row>
    <row r="314" spans="1:55" s="763" customFormat="1" x14ac:dyDescent="0.25">
      <c r="A314" s="1171" t="s">
        <v>215</v>
      </c>
      <c r="C314" s="787">
        <f t="shared" ref="C314:S314" si="1251">C313+C308</f>
        <v>159.714</v>
      </c>
      <c r="D314" s="787">
        <f t="shared" si="1251"/>
        <v>207.37899999999999</v>
      </c>
      <c r="E314" s="788">
        <f t="shared" si="1251"/>
        <v>180.19300000000001</v>
      </c>
      <c r="F314" s="787">
        <f t="shared" si="1251"/>
        <v>207.24299999999999</v>
      </c>
      <c r="G314" s="787">
        <f t="shared" si="1251"/>
        <v>211.42100000000002</v>
      </c>
      <c r="H314" s="789">
        <f t="shared" si="1251"/>
        <v>249.102</v>
      </c>
      <c r="I314" s="787">
        <f t="shared" si="1251"/>
        <v>252.28899999999999</v>
      </c>
      <c r="J314" s="789">
        <f t="shared" si="1251"/>
        <v>294.23499999999996</v>
      </c>
      <c r="K314" s="787">
        <f t="shared" si="1251"/>
        <v>335.97699999999998</v>
      </c>
      <c r="L314" s="789">
        <f t="shared" si="1251"/>
        <v>384.14</v>
      </c>
      <c r="M314" s="787">
        <f t="shared" si="1251"/>
        <v>368.35599999999999</v>
      </c>
      <c r="N314" s="789">
        <f t="shared" si="1251"/>
        <v>430.94599999999997</v>
      </c>
      <c r="O314" s="787">
        <f t="shared" si="1251"/>
        <v>394.68600000000004</v>
      </c>
      <c r="P314" s="789">
        <f t="shared" si="1251"/>
        <v>497.35899999999998</v>
      </c>
      <c r="Q314" s="787">
        <f t="shared" si="1251"/>
        <v>551.86699999999996</v>
      </c>
      <c r="R314" s="789">
        <f t="shared" si="1251"/>
        <v>672.05800000000011</v>
      </c>
      <c r="S314" s="787">
        <f t="shared" si="1251"/>
        <v>678.69099999999992</v>
      </c>
      <c r="T314" s="789">
        <f t="shared" si="1210"/>
        <v>647.72200000000009</v>
      </c>
      <c r="U314" s="787">
        <f t="shared" ref="U314:W314" si="1252">U313+U308</f>
        <v>646.15800000000013</v>
      </c>
      <c r="V314" s="789">
        <f t="shared" si="1211"/>
        <v>780.74900000000002</v>
      </c>
      <c r="W314" s="787">
        <f t="shared" si="1252"/>
        <v>831.88100000000009</v>
      </c>
      <c r="AE314" s="787">
        <f t="shared" ref="AE314:BA314" si="1253">AE313+AE308</f>
        <v>6.4106770000000006</v>
      </c>
      <c r="AF314" s="787">
        <f t="shared" si="1253"/>
        <v>7.8873119999999997</v>
      </c>
      <c r="AG314" s="787">
        <f t="shared" si="1253"/>
        <v>18.844840999999999</v>
      </c>
      <c r="AH314" s="787">
        <f t="shared" si="1253"/>
        <v>13.524370999999999</v>
      </c>
      <c r="AI314" s="787">
        <f t="shared" si="1253"/>
        <v>16.479471</v>
      </c>
      <c r="AJ314" s="787">
        <f t="shared" si="1253"/>
        <v>16.629996999999999</v>
      </c>
      <c r="AK314" s="787">
        <f t="shared" si="1253"/>
        <v>16.401205000000001</v>
      </c>
      <c r="AL314" s="787">
        <f t="shared" si="1253"/>
        <v>26.363872999999998</v>
      </c>
      <c r="AM314" s="787">
        <f t="shared" si="1253"/>
        <v>31.146056999999999</v>
      </c>
      <c r="AN314" s="787">
        <f t="shared" si="1253"/>
        <v>35.168307000000006</v>
      </c>
      <c r="AO314" s="787">
        <f t="shared" si="1253"/>
        <v>45.045062000000001</v>
      </c>
      <c r="AP314" s="787">
        <f t="shared" si="1253"/>
        <v>59.769830000000006</v>
      </c>
      <c r="AQ314" s="787">
        <f t="shared" si="1253"/>
        <v>92.28172099999999</v>
      </c>
      <c r="AR314" s="787">
        <f t="shared" si="1253"/>
        <v>107.215</v>
      </c>
      <c r="AS314" s="787">
        <f t="shared" si="1253"/>
        <v>150.06099999999998</v>
      </c>
      <c r="AT314" s="787">
        <f t="shared" si="1253"/>
        <v>207.37899999999999</v>
      </c>
      <c r="AU314" s="787">
        <f t="shared" si="1253"/>
        <v>207.24299999999999</v>
      </c>
      <c r="AV314" s="787">
        <f t="shared" si="1253"/>
        <v>249.102</v>
      </c>
      <c r="AW314" s="787">
        <f t="shared" si="1253"/>
        <v>294.23499999999996</v>
      </c>
      <c r="AX314" s="787">
        <f t="shared" si="1253"/>
        <v>384.14</v>
      </c>
      <c r="AY314" s="787">
        <f t="shared" si="1253"/>
        <v>430.94599999999997</v>
      </c>
      <c r="AZ314" s="787">
        <f t="shared" si="1253"/>
        <v>497.35899999999998</v>
      </c>
      <c r="BA314" s="787">
        <f t="shared" si="1253"/>
        <v>672.05800000000011</v>
      </c>
      <c r="BB314" s="787">
        <f t="shared" ref="BB314:BC314" si="1254">BB313+BB308</f>
        <v>647.72200000000009</v>
      </c>
      <c r="BC314" s="787">
        <f t="shared" si="1254"/>
        <v>780.74900000000002</v>
      </c>
    </row>
    <row r="315" spans="1:55" s="763" customFormat="1" x14ac:dyDescent="0.25">
      <c r="A315" s="806"/>
      <c r="C315" s="787"/>
      <c r="D315" s="787"/>
      <c r="E315" s="788"/>
      <c r="F315" s="787"/>
      <c r="G315" s="787"/>
      <c r="H315" s="789"/>
      <c r="I315" s="787"/>
      <c r="J315" s="789"/>
      <c r="K315" s="787"/>
      <c r="L315" s="789"/>
      <c r="M315" s="787"/>
      <c r="N315" s="789"/>
      <c r="O315" s="787"/>
      <c r="P315" s="789"/>
      <c r="Q315" s="787"/>
      <c r="R315" s="789"/>
      <c r="S315" s="787"/>
      <c r="T315" s="789"/>
      <c r="U315" s="787"/>
      <c r="V315" s="789"/>
      <c r="W315" s="787"/>
      <c r="AE315" s="787"/>
      <c r="AF315" s="787"/>
      <c r="AG315" s="787"/>
      <c r="AH315" s="787"/>
      <c r="AI315" s="787"/>
      <c r="AJ315" s="787"/>
      <c r="AK315" s="787"/>
      <c r="AL315" s="787"/>
      <c r="AM315" s="787"/>
      <c r="AN315" s="787"/>
      <c r="AO315" s="787"/>
      <c r="AP315" s="787"/>
      <c r="AQ315" s="787"/>
      <c r="AR315" s="787"/>
      <c r="AS315" s="787"/>
      <c r="AT315" s="787"/>
      <c r="AU315" s="787"/>
      <c r="AV315" s="787"/>
      <c r="AW315" s="787"/>
      <c r="AX315" s="787"/>
      <c r="AY315" s="787"/>
      <c r="AZ315" s="787"/>
      <c r="BA315" s="787"/>
      <c r="BB315" s="787"/>
      <c r="BC315" s="787"/>
    </row>
    <row r="316" spans="1:55" x14ac:dyDescent="0.25">
      <c r="A316" s="763" t="s">
        <v>216</v>
      </c>
      <c r="E316" s="790"/>
      <c r="H316" s="791">
        <v>-1</v>
      </c>
      <c r="J316" s="791"/>
      <c r="L316" s="791"/>
      <c r="N316" s="791"/>
      <c r="P316" s="791"/>
      <c r="R316" s="791"/>
      <c r="T316" s="791"/>
      <c r="V316" s="791"/>
    </row>
    <row r="317" spans="1:55" x14ac:dyDescent="0.25">
      <c r="A317" s="760" t="s">
        <v>304</v>
      </c>
      <c r="C317" s="772">
        <f>('CapIQ - as disclosed'!Y62*-1/1000)*-1</f>
        <v>79.543000000000006</v>
      </c>
      <c r="D317" s="772">
        <f>('CapIQ - as disclosed'!Z62*-1/1000)*-1</f>
        <v>108.053</v>
      </c>
      <c r="E317" s="773">
        <f>('CapIQ - as disclosed'!AA62*-1/1000)*-1</f>
        <v>108.77800000000001</v>
      </c>
      <c r="F317" s="772">
        <f>((AU317)*-1)*-1</f>
        <v>115.527</v>
      </c>
      <c r="G317" s="772">
        <v>137.583</v>
      </c>
      <c r="H317" s="774">
        <f>((AV317)*-1)*-1</f>
        <v>155.17400000000001</v>
      </c>
      <c r="I317" s="772">
        <v>176.51300000000001</v>
      </c>
      <c r="J317" s="774">
        <f>(+Canalyst!F439*-1)*-1</f>
        <v>185.26400000000001</v>
      </c>
      <c r="K317" s="772">
        <f>(+Canalyst!G439*-1)*-1</f>
        <v>247.506</v>
      </c>
      <c r="L317" s="774">
        <f>(+Canalyst!H439*-1)*-1</f>
        <v>259.63299999999998</v>
      </c>
      <c r="M317" s="772">
        <f>(+Canalyst!I439*-1)*-1</f>
        <v>262.54700000000003</v>
      </c>
      <c r="N317" s="774">
        <f>(+Canalyst!J439*-1)*-1</f>
        <v>263.86599999999999</v>
      </c>
      <c r="O317" s="772">
        <f>(+Canalyst!K439*-1)*-1</f>
        <v>230.34800000000001</v>
      </c>
      <c r="P317" s="774">
        <f>(+Canalyst!L439*-1)*-1</f>
        <v>293.52800000000002</v>
      </c>
      <c r="Q317" s="772">
        <f>(+Canalyst!M439*-1)*-1</f>
        <v>362.91899999999998</v>
      </c>
      <c r="R317" s="774">
        <f>(+Canalyst!N439*-1)*-1</f>
        <v>419.108</v>
      </c>
      <c r="S317" s="772">
        <f>(+Canalyst!O439*-1)*-1</f>
        <v>437.86599999999999</v>
      </c>
      <c r="T317" s="774">
        <f t="shared" si="1210"/>
        <v>359.62700000000001</v>
      </c>
      <c r="U317" s="772">
        <v>349.27100000000002</v>
      </c>
      <c r="V317" s="774">
        <f t="shared" si="1211"/>
        <v>430.08199999999999</v>
      </c>
      <c r="W317" s="772">
        <v>440.81200000000001</v>
      </c>
      <c r="AE317" s="772"/>
      <c r="AF317" s="772"/>
      <c r="AG317" s="772"/>
      <c r="AH317" s="772"/>
      <c r="AI317" s="772"/>
      <c r="AJ317" s="772"/>
      <c r="AK317" s="772"/>
      <c r="AL317" s="772"/>
      <c r="AM317" s="772"/>
      <c r="AN317" s="772"/>
      <c r="AO317" s="772"/>
      <c r="AP317" s="772"/>
      <c r="AQ317" s="772">
        <f>('CapIQ - as disclosed'!S62/1000000*-1)*-1</f>
        <v>43.456125999999998</v>
      </c>
      <c r="AR317" s="772">
        <v>53.137999999999998</v>
      </c>
      <c r="AS317" s="772">
        <v>74.503</v>
      </c>
      <c r="AT317" s="772">
        <v>108.053</v>
      </c>
      <c r="AU317" s="772">
        <v>115.527</v>
      </c>
      <c r="AV317" s="772">
        <v>155.17400000000001</v>
      </c>
      <c r="AW317" s="772">
        <f>(+Canalyst!AI439*-1)*-1</f>
        <v>185.26400000000001</v>
      </c>
      <c r="AX317" s="772">
        <f>(+Canalyst!AJ439*-1)*-1</f>
        <v>259.63299999999998</v>
      </c>
      <c r="AY317" s="772">
        <f>(+Canalyst!AK439*-1)*-1</f>
        <v>263.86599999999999</v>
      </c>
      <c r="AZ317" s="772">
        <f>(+Canalyst!AL439*-1)*-1</f>
        <v>293.52800000000002</v>
      </c>
      <c r="BA317" s="772">
        <f>(+Canalyst!AM439*-1)*-1</f>
        <v>419.108</v>
      </c>
      <c r="BB317" s="772">
        <v>359.62700000000001</v>
      </c>
      <c r="BC317" s="772">
        <v>430.08199999999999</v>
      </c>
    </row>
    <row r="318" spans="1:55" x14ac:dyDescent="0.25">
      <c r="A318" s="760" t="s">
        <v>305</v>
      </c>
      <c r="C318" s="772">
        <v>0</v>
      </c>
      <c r="D318" s="772">
        <v>0</v>
      </c>
      <c r="E318" s="773">
        <v>0</v>
      </c>
      <c r="F318" s="772">
        <v>0</v>
      </c>
      <c r="G318" s="772">
        <v>0</v>
      </c>
      <c r="H318" s="774">
        <v>0</v>
      </c>
      <c r="I318" s="772">
        <v>0</v>
      </c>
      <c r="J318" s="774">
        <f>(+Canalyst!F440*-1)*-1</f>
        <v>0</v>
      </c>
      <c r="K318" s="772">
        <f>(+Canalyst!G440*-1)*-1</f>
        <v>0</v>
      </c>
      <c r="L318" s="774">
        <f>(+Canalyst!H440*-1)*-1</f>
        <v>0</v>
      </c>
      <c r="M318" s="772">
        <f>(+Canalyst!I440*-1)*-1</f>
        <v>0</v>
      </c>
      <c r="N318" s="774">
        <f>(+Canalyst!J440*-1)*-1</f>
        <v>13.929</v>
      </c>
      <c r="O318" s="772">
        <f>(+Canalyst!K440*-1)*-1</f>
        <v>11.509</v>
      </c>
      <c r="P318" s="774">
        <f>(+Canalyst!L440*-1)*-1</f>
        <v>12.759</v>
      </c>
      <c r="Q318" s="772">
        <f>(+Canalyst!M440*-1)*-1</f>
        <v>14.907</v>
      </c>
      <c r="R318" s="774">
        <f>(+Canalyst!N440*-1)*-1</f>
        <v>31.564</v>
      </c>
      <c r="S318" s="772">
        <f>(+Canalyst!O440*-1)*-1</f>
        <v>27.274999999999999</v>
      </c>
      <c r="T318" s="774">
        <f t="shared" si="1210"/>
        <v>23.850999999999999</v>
      </c>
      <c r="U318" s="772">
        <v>36.277999999999999</v>
      </c>
      <c r="V318" s="774">
        <f t="shared" si="1211"/>
        <v>31.98</v>
      </c>
      <c r="W318" s="772">
        <v>69.328000000000003</v>
      </c>
      <c r="X318" s="772"/>
      <c r="Y318" s="772"/>
      <c r="Z318" s="772"/>
      <c r="AA318" s="772"/>
      <c r="AB318" s="772"/>
      <c r="AC318" s="772"/>
      <c r="AD318" s="772"/>
      <c r="AE318" s="772"/>
      <c r="AF318" s="772"/>
      <c r="AG318" s="772"/>
      <c r="AH318" s="772"/>
      <c r="AI318" s="772"/>
      <c r="AJ318" s="772"/>
      <c r="AK318" s="772"/>
      <c r="AL318" s="772"/>
      <c r="AM318" s="772"/>
      <c r="AN318" s="772"/>
      <c r="AO318" s="772"/>
      <c r="AP318" s="772"/>
      <c r="AQ318" s="772">
        <v>0</v>
      </c>
      <c r="AR318" s="772">
        <v>0</v>
      </c>
      <c r="AS318" s="772">
        <v>0</v>
      </c>
      <c r="AT318" s="772">
        <v>0</v>
      </c>
      <c r="AU318" s="772">
        <v>0</v>
      </c>
      <c r="AV318" s="772">
        <v>0</v>
      </c>
      <c r="AW318" s="772">
        <f>(+Canalyst!AI440*-1)*-1</f>
        <v>0</v>
      </c>
      <c r="AX318" s="772">
        <f>(+Canalyst!AJ440*-1)*-1</f>
        <v>0</v>
      </c>
      <c r="AY318" s="772">
        <f>(+Canalyst!AK440*-1)*-1</f>
        <v>13.929</v>
      </c>
      <c r="AZ318" s="772">
        <f>(+Canalyst!AL440*-1)*-1</f>
        <v>12.759</v>
      </c>
      <c r="BA318" s="772">
        <f>(+Canalyst!AM440*-1)*-1</f>
        <v>31.564</v>
      </c>
      <c r="BB318" s="772">
        <v>23.850999999999999</v>
      </c>
      <c r="BC318" s="772">
        <v>31.98</v>
      </c>
    </row>
    <row r="319" spans="1:55" x14ac:dyDescent="0.25">
      <c r="A319" s="760" t="s">
        <v>306</v>
      </c>
      <c r="C319" s="772">
        <f>('CapIQ - as disclosed'!Y64*-1/1000)*-1</f>
        <v>2.585</v>
      </c>
      <c r="D319" s="772">
        <f>('CapIQ - as disclosed'!Z64*-1/1000)*-1</f>
        <v>3.51</v>
      </c>
      <c r="E319" s="773">
        <f>('CapIQ - as disclosed'!AA64*-1/1000)*-1</f>
        <v>2.456</v>
      </c>
      <c r="F319" s="772">
        <f>((AU319)*-1)*-1</f>
        <v>4.3520000000000003</v>
      </c>
      <c r="G319" s="772">
        <v>4.0860000000000003</v>
      </c>
      <c r="H319" s="774">
        <f>((AV319)*-1)*-1</f>
        <v>5.51</v>
      </c>
      <c r="I319" s="772">
        <v>5.0869999999999997</v>
      </c>
      <c r="J319" s="774">
        <f>(+Canalyst!F441*-1)*-1</f>
        <v>8.1549999999999994</v>
      </c>
      <c r="K319" s="772">
        <f>(+Canalyst!G441*-1)*-1</f>
        <v>6.524</v>
      </c>
      <c r="L319" s="774">
        <f>(+Canalyst!H441*-1)*-1</f>
        <v>9.1150000000000002</v>
      </c>
      <c r="M319" s="772">
        <f>(+Canalyst!I441*-1)*-1</f>
        <v>0</v>
      </c>
      <c r="N319" s="774">
        <f>(+Canalyst!J441*-1)*-1</f>
        <v>0</v>
      </c>
      <c r="O319" s="772">
        <f>(+Canalyst!K441*-1)*-1</f>
        <v>0</v>
      </c>
      <c r="P319" s="774">
        <f>(+Canalyst!L441*-1)*-1</f>
        <v>0</v>
      </c>
      <c r="Q319" s="772">
        <f>(+Canalyst!M441*-1)*-1</f>
        <v>0</v>
      </c>
      <c r="R319" s="774">
        <f>(+Canalyst!N441*-1)*-1</f>
        <v>0</v>
      </c>
      <c r="S319" s="772">
        <f>(+Canalyst!O441*-1)*-1</f>
        <v>0</v>
      </c>
      <c r="T319" s="774">
        <f t="shared" si="1210"/>
        <v>6.0000000000000001E-3</v>
      </c>
      <c r="U319" s="772">
        <v>0</v>
      </c>
      <c r="V319" s="774">
        <f t="shared" si="1211"/>
        <v>1.141</v>
      </c>
      <c r="W319" s="772">
        <v>0</v>
      </c>
      <c r="AE319" s="772"/>
      <c r="AF319" s="772"/>
      <c r="AG319" s="772"/>
      <c r="AH319" s="772"/>
      <c r="AI319" s="772"/>
      <c r="AJ319" s="772"/>
      <c r="AK319" s="772"/>
      <c r="AL319" s="772"/>
      <c r="AM319" s="772"/>
      <c r="AN319" s="772"/>
      <c r="AO319" s="772"/>
      <c r="AP319" s="772"/>
      <c r="AQ319" s="772">
        <f>('CapIQ - as disclosed'!S64/1000000*-1)*-1</f>
        <v>4.391534</v>
      </c>
      <c r="AR319" s="772">
        <v>5.6340000000000003</v>
      </c>
      <c r="AS319" s="772">
        <v>3.2589999999999999</v>
      </c>
      <c r="AT319" s="772">
        <v>3.51</v>
      </c>
      <c r="AU319" s="772">
        <v>4.3520000000000003</v>
      </c>
      <c r="AV319" s="772">
        <v>5.51</v>
      </c>
      <c r="AW319" s="772">
        <f>(+Canalyst!AI441*-1)*-1</f>
        <v>8.1549999999999994</v>
      </c>
      <c r="AX319" s="772">
        <f>(+Canalyst!AJ441*-1)*-1</f>
        <v>9.1150000000000002</v>
      </c>
      <c r="AY319" s="772">
        <f>(+Canalyst!AK441*-1)*-1</f>
        <v>0</v>
      </c>
      <c r="AZ319" s="772">
        <f>(+Canalyst!AL441*-1)*-1</f>
        <v>0</v>
      </c>
      <c r="BA319" s="772">
        <f>(+Canalyst!AM441*-1)*-1</f>
        <v>0</v>
      </c>
      <c r="BB319" s="772">
        <v>6.0000000000000001E-3</v>
      </c>
      <c r="BC319" s="772">
        <v>1.141</v>
      </c>
    </row>
    <row r="320" spans="1:55" x14ac:dyDescent="0.25">
      <c r="A320" s="760" t="s">
        <v>307</v>
      </c>
      <c r="C320" s="772">
        <v>0</v>
      </c>
      <c r="D320" s="772">
        <v>0</v>
      </c>
      <c r="E320" s="773">
        <v>0</v>
      </c>
      <c r="F320" s="772">
        <v>0</v>
      </c>
      <c r="G320" s="772">
        <v>0</v>
      </c>
      <c r="H320" s="774">
        <v>0</v>
      </c>
      <c r="I320" s="772">
        <v>0</v>
      </c>
      <c r="J320" s="774">
        <f>(+Canalyst!F442*-1)*-1</f>
        <v>0</v>
      </c>
      <c r="K320" s="772">
        <f>(+Canalyst!G442*-1)*-1</f>
        <v>0</v>
      </c>
      <c r="L320" s="774">
        <f>(+Canalyst!H442*-1)*-1</f>
        <v>0</v>
      </c>
      <c r="M320" s="772">
        <f>(+Canalyst!I442*-1)*-1</f>
        <v>2.3380000000000001</v>
      </c>
      <c r="N320" s="774">
        <f>(+Canalyst!J442*-1)*-1</f>
        <v>1.867</v>
      </c>
      <c r="O320" s="772">
        <f>(+Canalyst!K442*-1)*-1</f>
        <v>2.48</v>
      </c>
      <c r="P320" s="774">
        <f>(+Canalyst!L442*-1)*-1</f>
        <v>2.5979999999999999</v>
      </c>
      <c r="Q320" s="772">
        <f>(+Canalyst!M442*-1)*-1</f>
        <v>2.6840000000000002</v>
      </c>
      <c r="R320" s="774">
        <f>(+Canalyst!N442*-1)*-1</f>
        <v>2.7160000000000002</v>
      </c>
      <c r="S320" s="772">
        <f>(+Canalyst!O442*-1)*-1</f>
        <v>2.722</v>
      </c>
      <c r="T320" s="774">
        <f t="shared" si="1210"/>
        <v>2.734</v>
      </c>
      <c r="U320" s="772">
        <v>2.3849999999999998</v>
      </c>
      <c r="V320" s="774">
        <f t="shared" si="1211"/>
        <v>2.2530000000000001</v>
      </c>
      <c r="W320" s="772">
        <v>3.4220000000000002</v>
      </c>
      <c r="AE320" s="772"/>
      <c r="AF320" s="772"/>
      <c r="AG320" s="772"/>
      <c r="AH320" s="772"/>
      <c r="AI320" s="772"/>
      <c r="AJ320" s="772"/>
      <c r="AK320" s="772"/>
      <c r="AL320" s="772"/>
      <c r="AM320" s="772"/>
      <c r="AN320" s="772"/>
      <c r="AO320" s="772"/>
      <c r="AP320" s="772"/>
      <c r="AQ320" s="772">
        <v>0</v>
      </c>
      <c r="AR320" s="772">
        <v>0</v>
      </c>
      <c r="AS320" s="772">
        <v>0</v>
      </c>
      <c r="AT320" s="772">
        <v>0</v>
      </c>
      <c r="AU320" s="772">
        <v>0</v>
      </c>
      <c r="AV320" s="772">
        <v>0</v>
      </c>
      <c r="AW320" s="772">
        <f>(+Canalyst!AI442*-1)*-1</f>
        <v>0</v>
      </c>
      <c r="AX320" s="772">
        <f>(+Canalyst!AJ442*-1)*-1</f>
        <v>0</v>
      </c>
      <c r="AY320" s="772">
        <f>(+Canalyst!AK442*-1)*-1</f>
        <v>1.867</v>
      </c>
      <c r="AZ320" s="772">
        <f>(+Canalyst!AL442*-1)*-1</f>
        <v>2.5979999999999999</v>
      </c>
      <c r="BA320" s="772">
        <f>(+Canalyst!AM442*-1)*-1</f>
        <v>2.7160000000000002</v>
      </c>
      <c r="BB320" s="772">
        <v>2.734</v>
      </c>
      <c r="BC320" s="772">
        <v>2.2530000000000001</v>
      </c>
    </row>
    <row r="321" spans="1:55" x14ac:dyDescent="0.25">
      <c r="A321" s="760" t="s">
        <v>308</v>
      </c>
      <c r="C321" s="772">
        <f>('CapIQ - as disclosed'!Y63*-1/1000)*-1</f>
        <v>0</v>
      </c>
      <c r="D321" s="772">
        <f>('CapIQ - as disclosed'!Z63*-1/1000)*-1</f>
        <v>0</v>
      </c>
      <c r="E321" s="773">
        <f>('CapIQ - as disclosed'!AA63*-1/1000)*-1</f>
        <v>0</v>
      </c>
      <c r="F321" s="772">
        <f>((AU321)*-1)*-1</f>
        <v>0</v>
      </c>
      <c r="G321" s="772">
        <v>0</v>
      </c>
      <c r="H321" s="774">
        <f>((AV321)*-1)*-1</f>
        <v>0</v>
      </c>
      <c r="I321" s="772">
        <v>0</v>
      </c>
      <c r="J321" s="774">
        <v>0</v>
      </c>
      <c r="K321" s="772">
        <v>0</v>
      </c>
      <c r="L321" s="774">
        <v>0</v>
      </c>
      <c r="M321" s="772">
        <v>0</v>
      </c>
      <c r="N321" s="774">
        <v>0</v>
      </c>
      <c r="O321" s="772">
        <v>0</v>
      </c>
      <c r="P321" s="774">
        <v>0</v>
      </c>
      <c r="Q321" s="772">
        <v>0</v>
      </c>
      <c r="R321" s="774">
        <v>0</v>
      </c>
      <c r="S321" s="772">
        <v>0</v>
      </c>
      <c r="T321" s="774">
        <f t="shared" si="1210"/>
        <v>0</v>
      </c>
      <c r="U321" s="772">
        <v>0</v>
      </c>
      <c r="V321" s="774">
        <f t="shared" si="1211"/>
        <v>0</v>
      </c>
      <c r="W321" s="772">
        <v>0</v>
      </c>
      <c r="AE321" s="772"/>
      <c r="AF321" s="772"/>
      <c r="AG321" s="772"/>
      <c r="AH321" s="772"/>
      <c r="AI321" s="772"/>
      <c r="AJ321" s="772"/>
      <c r="AK321" s="772"/>
      <c r="AL321" s="772"/>
      <c r="AM321" s="772"/>
      <c r="AN321" s="772"/>
      <c r="AO321" s="772"/>
      <c r="AP321" s="772"/>
      <c r="AQ321" s="772">
        <f>('CapIQ - as disclosed'!S63/1000000*-1)*-1</f>
        <v>2.1777609999999998</v>
      </c>
      <c r="AR321" s="772">
        <f>('CapIQ - as disclosed'!T63/1000000*-1)*-1</f>
        <v>0</v>
      </c>
      <c r="AS321" s="772">
        <f>('CapIQ - as disclosed'!U63/1000000*-1)*-1</f>
        <v>0</v>
      </c>
      <c r="AT321" s="772">
        <f>('CapIQ - as disclosed'!V63/1000000*-1)*-1</f>
        <v>0</v>
      </c>
      <c r="AU321" s="772">
        <f>('CapIQ - as disclosed'!W63/1000000*-1)*-1</f>
        <v>0</v>
      </c>
      <c r="AV321" s="772">
        <v>0</v>
      </c>
      <c r="AW321" s="772">
        <v>0</v>
      </c>
      <c r="AX321" s="772">
        <v>0</v>
      </c>
      <c r="AY321" s="772">
        <v>0</v>
      </c>
      <c r="AZ321" s="772">
        <v>0</v>
      </c>
      <c r="BA321" s="772">
        <v>0</v>
      </c>
      <c r="BB321" s="772">
        <v>0</v>
      </c>
      <c r="BC321" s="772">
        <v>0</v>
      </c>
    </row>
    <row r="322" spans="1:55" ht="13" x14ac:dyDescent="0.25">
      <c r="A322" s="760" t="s">
        <v>309</v>
      </c>
      <c r="C322" s="780">
        <f>('CapIQ - as disclosed'!Y65*-1/1000)*-1</f>
        <v>0</v>
      </c>
      <c r="D322" s="780">
        <f>('CapIQ - as disclosed'!Z65*-1/1000)*-1</f>
        <v>0</v>
      </c>
      <c r="E322" s="781">
        <f>('CapIQ - as disclosed'!AA65*-1/1000)*-1</f>
        <v>0</v>
      </c>
      <c r="F322" s="780">
        <f>((AU322)*-1)*-1</f>
        <v>0</v>
      </c>
      <c r="G322" s="780">
        <v>0</v>
      </c>
      <c r="H322" s="782">
        <f>((AV322)*-1)*-1</f>
        <v>0</v>
      </c>
      <c r="I322" s="780">
        <v>0</v>
      </c>
      <c r="J322" s="782">
        <f>(+Canalyst!F443*-1)*-1</f>
        <v>0</v>
      </c>
      <c r="K322" s="780">
        <f>(+Canalyst!G443*-1)*-1</f>
        <v>0</v>
      </c>
      <c r="L322" s="782">
        <f>(+Canalyst!H443*-1)*-1</f>
        <v>0</v>
      </c>
      <c r="M322" s="780">
        <f>(+Canalyst!I443*-1)*-1</f>
        <v>0</v>
      </c>
      <c r="N322" s="782">
        <f>(+Canalyst!J443*-1)*-1</f>
        <v>0</v>
      </c>
      <c r="O322" s="780">
        <f>(+Canalyst!K443*-1)*-1</f>
        <v>0</v>
      </c>
      <c r="P322" s="782">
        <f>(+Canalyst!L443*-1)*-1</f>
        <v>0</v>
      </c>
      <c r="Q322" s="780">
        <f>(+Canalyst!M443*-1)*-1</f>
        <v>0</v>
      </c>
      <c r="R322" s="782">
        <f>(+Canalyst!N443*-1)*-1</f>
        <v>0</v>
      </c>
      <c r="S322" s="780">
        <f>(+Canalyst!O443*-1)*-1</f>
        <v>0</v>
      </c>
      <c r="T322" s="782">
        <f t="shared" si="1210"/>
        <v>0</v>
      </c>
      <c r="U322" s="780">
        <v>0</v>
      </c>
      <c r="V322" s="782">
        <f t="shared" si="1211"/>
        <v>0</v>
      </c>
      <c r="W322" s="780">
        <v>0</v>
      </c>
      <c r="AE322" s="780"/>
      <c r="AF322" s="780"/>
      <c r="AG322" s="780"/>
      <c r="AH322" s="780"/>
      <c r="AI322" s="780"/>
      <c r="AJ322" s="780"/>
      <c r="AK322" s="780"/>
      <c r="AL322" s="780"/>
      <c r="AM322" s="780"/>
      <c r="AN322" s="780"/>
      <c r="AO322" s="780"/>
      <c r="AP322" s="780"/>
      <c r="AQ322" s="780">
        <f>('CapIQ - as disclosed'!S65/1000000*-1)*-1</f>
        <v>0.35699999999999998</v>
      </c>
      <c r="AR322" s="780">
        <v>0.06</v>
      </c>
      <c r="AS322" s="780">
        <v>0</v>
      </c>
      <c r="AT322" s="780">
        <v>0</v>
      </c>
      <c r="AU322" s="780">
        <v>0</v>
      </c>
      <c r="AV322" s="780">
        <v>0</v>
      </c>
      <c r="AW322" s="780">
        <f>(+Canalyst!AI443*-1)*-1</f>
        <v>0</v>
      </c>
      <c r="AX322" s="780">
        <f>(+Canalyst!AJ443*-1)*-1</f>
        <v>0</v>
      </c>
      <c r="AY322" s="780">
        <f>(+Canalyst!AK443*-1)*-1</f>
        <v>0</v>
      </c>
      <c r="AZ322" s="780">
        <f>(+Canalyst!AL443*-1)*-1</f>
        <v>0</v>
      </c>
      <c r="BA322" s="780">
        <f>(+Canalyst!AM443*-1)*-1</f>
        <v>0</v>
      </c>
      <c r="BB322" s="780">
        <v>0</v>
      </c>
      <c r="BC322" s="780">
        <v>0</v>
      </c>
    </row>
    <row r="323" spans="1:55" x14ac:dyDescent="0.25">
      <c r="A323" s="783" t="s">
        <v>217</v>
      </c>
      <c r="C323" s="772">
        <f t="shared" ref="C323" si="1255">SUM(C317:C322)</f>
        <v>82.128</v>
      </c>
      <c r="D323" s="772">
        <f t="shared" ref="D323" si="1256">SUM(D317:D322)</f>
        <v>111.563</v>
      </c>
      <c r="E323" s="773">
        <f t="shared" ref="E323:F323" si="1257">SUM(E317:E322)</f>
        <v>111.23400000000001</v>
      </c>
      <c r="F323" s="772">
        <f t="shared" si="1257"/>
        <v>119.879</v>
      </c>
      <c r="G323" s="772">
        <f t="shared" ref="G323:R323" si="1258">SUM(G317:G322)</f>
        <v>141.66900000000001</v>
      </c>
      <c r="H323" s="774">
        <f t="shared" si="1258"/>
        <v>160.684</v>
      </c>
      <c r="I323" s="772">
        <f t="shared" si="1258"/>
        <v>181.6</v>
      </c>
      <c r="J323" s="774">
        <f t="shared" si="1258"/>
        <v>193.41900000000001</v>
      </c>
      <c r="K323" s="772">
        <f t="shared" si="1258"/>
        <v>254.03</v>
      </c>
      <c r="L323" s="774">
        <f t="shared" si="1258"/>
        <v>268.74799999999999</v>
      </c>
      <c r="M323" s="772">
        <f t="shared" si="1258"/>
        <v>264.88500000000005</v>
      </c>
      <c r="N323" s="774">
        <f t="shared" si="1258"/>
        <v>279.66199999999998</v>
      </c>
      <c r="O323" s="772">
        <f t="shared" si="1258"/>
        <v>244.33700000000002</v>
      </c>
      <c r="P323" s="774">
        <f t="shared" si="1258"/>
        <v>308.88500000000005</v>
      </c>
      <c r="Q323" s="772">
        <f t="shared" si="1258"/>
        <v>380.51</v>
      </c>
      <c r="R323" s="774">
        <f t="shared" si="1258"/>
        <v>453.38800000000003</v>
      </c>
      <c r="S323" s="772">
        <f t="shared" ref="S323:W323" si="1259">SUM(S317:S322)</f>
        <v>467.86299999999994</v>
      </c>
      <c r="T323" s="774">
        <f t="shared" si="1210"/>
        <v>386.21799999999996</v>
      </c>
      <c r="U323" s="772">
        <f t="shared" si="1259"/>
        <v>387.93400000000003</v>
      </c>
      <c r="V323" s="774">
        <f t="shared" si="1211"/>
        <v>465.45600000000002</v>
      </c>
      <c r="W323" s="772">
        <f t="shared" si="1259"/>
        <v>513.56200000000001</v>
      </c>
      <c r="AE323" s="772">
        <f>('CapIQ - as disclosed'!G67/1000000*-1)*-1</f>
        <v>5.0825319999999996</v>
      </c>
      <c r="AF323" s="772">
        <f>('CapIQ - as disclosed'!H67/1000000*-1)*-1</f>
        <v>6.0729179999999996</v>
      </c>
      <c r="AG323" s="772">
        <f>('CapIQ - as disclosed'!I67/1000000*-1)*-1</f>
        <v>16.231460999999999</v>
      </c>
      <c r="AH323" s="772">
        <f>('CapIQ - as disclosed'!J67/1000000*-1)*-1</f>
        <v>10.504493999999999</v>
      </c>
      <c r="AI323" s="772">
        <f>('CapIQ - as disclosed'!K67/1000000*-1)*-1</f>
        <v>11.781143</v>
      </c>
      <c r="AJ323" s="772">
        <f>('CapIQ - as disclosed'!L67/1000000*-1)*-1</f>
        <v>13.451715</v>
      </c>
      <c r="AK323" s="772">
        <f>('CapIQ - as disclosed'!M67/1000000*-1)*-1</f>
        <v>12.100166</v>
      </c>
      <c r="AL323" s="772">
        <f>('CapIQ - as disclosed'!N67/1000000*-1)*-1</f>
        <v>19.668657</v>
      </c>
      <c r="AM323" s="772">
        <f>('CapIQ - as disclosed'!O67/1000000*-1)*-1</f>
        <v>21.218641999999999</v>
      </c>
      <c r="AN323" s="772">
        <f>('CapIQ - as disclosed'!P67/1000000*-1)*-1</f>
        <v>20.21237</v>
      </c>
      <c r="AO323" s="772">
        <f>('CapIQ - as disclosed'!Q67/1000000*-1)*-1</f>
        <v>31.860106999999999</v>
      </c>
      <c r="AP323" s="772">
        <f>('CapIQ - as disclosed'!R67/1000000*-1)*-1</f>
        <v>34.728802999999999</v>
      </c>
      <c r="AQ323" s="772">
        <f t="shared" ref="AQ323" si="1260">SUM(AQ317:AQ322)</f>
        <v>50.382420999999994</v>
      </c>
      <c r="AR323" s="772">
        <f>SUM(AR317:AR322)</f>
        <v>58.832000000000001</v>
      </c>
      <c r="AS323" s="772">
        <f t="shared" ref="AS323:AT323" si="1261">SUM(AS317:AS322)</f>
        <v>77.762</v>
      </c>
      <c r="AT323" s="772">
        <f t="shared" si="1261"/>
        <v>111.563</v>
      </c>
      <c r="AU323" s="772">
        <f t="shared" ref="AU323:AZ323" si="1262">SUM(AU317:AU322)</f>
        <v>119.879</v>
      </c>
      <c r="AV323" s="772">
        <f t="shared" si="1262"/>
        <v>160.684</v>
      </c>
      <c r="AW323" s="772">
        <f t="shared" si="1262"/>
        <v>193.41900000000001</v>
      </c>
      <c r="AX323" s="772">
        <f t="shared" si="1262"/>
        <v>268.74799999999999</v>
      </c>
      <c r="AY323" s="772">
        <f t="shared" si="1262"/>
        <v>279.66199999999998</v>
      </c>
      <c r="AZ323" s="772">
        <f t="shared" si="1262"/>
        <v>308.88500000000005</v>
      </c>
      <c r="BA323" s="772">
        <f t="shared" ref="BA323:BC323" si="1263">SUM(BA317:BA322)</f>
        <v>453.38800000000003</v>
      </c>
      <c r="BB323" s="772">
        <f t="shared" si="1263"/>
        <v>386.21799999999996</v>
      </c>
      <c r="BC323" s="772">
        <f t="shared" si="1263"/>
        <v>465.45600000000002</v>
      </c>
    </row>
    <row r="324" spans="1:55" x14ac:dyDescent="0.25">
      <c r="A324" s="760" t="str">
        <f>'CapIQ - as disclosed'!A70</f>
        <v>Minority Interest</v>
      </c>
      <c r="C324" s="772">
        <f>('CapIQ - as disclosed'!Y70)*-1</f>
        <v>0</v>
      </c>
      <c r="D324" s="772">
        <f>('CapIQ - as disclosed'!Z70)*-1</f>
        <v>0</v>
      </c>
      <c r="E324" s="773">
        <f>('CapIQ - as disclosed'!AA70)*-1</f>
        <v>0</v>
      </c>
      <c r="F324" s="772">
        <f>((AU324)*-1)*-1</f>
        <v>0</v>
      </c>
      <c r="G324" s="772">
        <v>0</v>
      </c>
      <c r="H324" s="774">
        <f>((AV324)*-1)*-1</f>
        <v>0</v>
      </c>
      <c r="I324" s="772">
        <v>0</v>
      </c>
      <c r="J324" s="774">
        <v>0</v>
      </c>
      <c r="K324" s="772">
        <v>0</v>
      </c>
      <c r="L324" s="774">
        <v>0</v>
      </c>
      <c r="M324" s="772">
        <v>0</v>
      </c>
      <c r="N324" s="774">
        <v>0</v>
      </c>
      <c r="O324" s="772">
        <v>0</v>
      </c>
      <c r="P324" s="774">
        <v>0</v>
      </c>
      <c r="Q324" s="772">
        <v>0</v>
      </c>
      <c r="R324" s="774">
        <v>0</v>
      </c>
      <c r="S324" s="772">
        <v>0</v>
      </c>
      <c r="T324" s="774">
        <f t="shared" si="1210"/>
        <v>0</v>
      </c>
      <c r="U324" s="772">
        <v>0</v>
      </c>
      <c r="V324" s="774">
        <f t="shared" si="1211"/>
        <v>0</v>
      </c>
      <c r="W324" s="772">
        <v>0</v>
      </c>
      <c r="AE324" s="772">
        <f>('CapIQ - as disclosed'!G70/1000000*-1)*-1</f>
        <v>0.55672900000000003</v>
      </c>
      <c r="AF324" s="772">
        <f>('CapIQ - as disclosed'!H70/1000000*-1)*-1</f>
        <v>0.77671100000000004</v>
      </c>
      <c r="AG324" s="772">
        <f>('CapIQ - as disclosed'!I70/1000000*-1)*-1</f>
        <v>0</v>
      </c>
      <c r="AH324" s="772">
        <f>('CapIQ - as disclosed'!J70/1000000*-1)*-1</f>
        <v>0</v>
      </c>
      <c r="AI324" s="772">
        <f>('CapIQ - as disclosed'!K70/1000000*-1)*-1</f>
        <v>0</v>
      </c>
      <c r="AJ324" s="772">
        <f>('CapIQ - as disclosed'!L70/1000000*-1)*-1</f>
        <v>0</v>
      </c>
      <c r="AK324" s="772">
        <f>('CapIQ - as disclosed'!M70/1000000*-1)*-1</f>
        <v>0</v>
      </c>
      <c r="AL324" s="772">
        <f>('CapIQ - as disclosed'!N70/1000000*-1)*-1</f>
        <v>0</v>
      </c>
      <c r="AM324" s="772">
        <f>('CapIQ - as disclosed'!O70/1000000*-1)*-1</f>
        <v>0</v>
      </c>
      <c r="AN324" s="772">
        <f>('CapIQ - as disclosed'!P70/1000000*-1)*-1</f>
        <v>0</v>
      </c>
      <c r="AO324" s="772">
        <f>('CapIQ - as disclosed'!Q70/1000000*-1)*-1</f>
        <v>0</v>
      </c>
      <c r="AP324" s="772">
        <f>('CapIQ - as disclosed'!R70/1000000*-1)*-1</f>
        <v>0</v>
      </c>
      <c r="AQ324" s="772">
        <f>('CapIQ - as disclosed'!S70/1000000*-1)*-1</f>
        <v>0</v>
      </c>
      <c r="AR324" s="772">
        <f>('CapIQ - as disclosed'!T70/1000000*-1)*-1</f>
        <v>0</v>
      </c>
      <c r="AS324" s="772">
        <f>('CapIQ - as disclosed'!U70/1000000*-1)*-1</f>
        <v>0</v>
      </c>
      <c r="AT324" s="772">
        <f>('CapIQ - as disclosed'!V70/1000000*-1)*-1</f>
        <v>0</v>
      </c>
      <c r="AU324" s="772">
        <f>('CapIQ - as disclosed'!W70/1000000*-1)*-1</f>
        <v>0</v>
      </c>
      <c r="AV324" s="772">
        <v>0</v>
      </c>
      <c r="AW324" s="772">
        <v>0</v>
      </c>
      <c r="AX324" s="772">
        <v>0</v>
      </c>
      <c r="AY324" s="772">
        <v>0</v>
      </c>
      <c r="AZ324" s="772">
        <v>0</v>
      </c>
      <c r="BA324" s="772">
        <v>0</v>
      </c>
      <c r="BB324" s="772">
        <v>0</v>
      </c>
      <c r="BC324" s="772">
        <v>0</v>
      </c>
    </row>
    <row r="325" spans="1:55" x14ac:dyDescent="0.25">
      <c r="A325" s="760" t="str">
        <f>+Canalyst!A448</f>
        <v>Contract liabilities</v>
      </c>
      <c r="C325" s="772">
        <v>0</v>
      </c>
      <c r="D325" s="772">
        <v>0</v>
      </c>
      <c r="E325" s="773">
        <v>0</v>
      </c>
      <c r="F325" s="772">
        <v>0</v>
      </c>
      <c r="G325" s="772">
        <v>0</v>
      </c>
      <c r="H325" s="774">
        <v>0</v>
      </c>
      <c r="I325" s="772">
        <v>0</v>
      </c>
      <c r="J325" s="774">
        <f>(+Canalyst!F448*-1)*-1</f>
        <v>0</v>
      </c>
      <c r="K325" s="772">
        <f>(+Canalyst!G448*-1)*-1</f>
        <v>0</v>
      </c>
      <c r="L325" s="774">
        <f>(+Canalyst!H448*-1)*-1</f>
        <v>0</v>
      </c>
      <c r="M325" s="772">
        <f>(+Canalyst!I448*-1)*-1</f>
        <v>0</v>
      </c>
      <c r="N325" s="774">
        <f>(+Canalyst!J448*-1)*-1</f>
        <v>2.5649999999999999</v>
      </c>
      <c r="O325" s="772">
        <f>(+Canalyst!K448*-1)*-1</f>
        <v>3.73</v>
      </c>
      <c r="P325" s="774">
        <f>(+Canalyst!L448*-1)*-1</f>
        <v>3.6259999999999999</v>
      </c>
      <c r="Q325" s="772">
        <f>(+Canalyst!M448*-1)*-1</f>
        <v>3.0880000000000001</v>
      </c>
      <c r="R325" s="774">
        <f>(+Canalyst!N448*-1)*-1</f>
        <v>3.62</v>
      </c>
      <c r="S325" s="772">
        <f>(+Canalyst!O448*-1)*-1</f>
        <v>3.4260000000000002</v>
      </c>
      <c r="T325" s="774">
        <f t="shared" si="1210"/>
        <v>3.032</v>
      </c>
      <c r="U325" s="772">
        <v>6.2270000000000003</v>
      </c>
      <c r="V325" s="774">
        <f t="shared" si="1211"/>
        <v>9.1509999999999998</v>
      </c>
      <c r="W325" s="772">
        <v>12.497</v>
      </c>
      <c r="AE325" s="772">
        <v>0</v>
      </c>
      <c r="AF325" s="772">
        <v>0</v>
      </c>
      <c r="AG325" s="772">
        <v>0</v>
      </c>
      <c r="AH325" s="772">
        <v>0</v>
      </c>
      <c r="AI325" s="772">
        <v>0</v>
      </c>
      <c r="AJ325" s="772">
        <v>0</v>
      </c>
      <c r="AK325" s="772">
        <v>0</v>
      </c>
      <c r="AL325" s="772">
        <v>0</v>
      </c>
      <c r="AM325" s="772">
        <v>0</v>
      </c>
      <c r="AN325" s="772">
        <v>0</v>
      </c>
      <c r="AO325" s="772">
        <v>0</v>
      </c>
      <c r="AP325" s="772">
        <v>0</v>
      </c>
      <c r="AQ325" s="772">
        <v>0</v>
      </c>
      <c r="AR325" s="772">
        <v>0</v>
      </c>
      <c r="AS325" s="772">
        <v>0</v>
      </c>
      <c r="AT325" s="772">
        <v>0</v>
      </c>
      <c r="AU325" s="772">
        <v>0</v>
      </c>
      <c r="AV325" s="772">
        <v>0</v>
      </c>
      <c r="AW325" s="772">
        <f>(+Canalyst!AI448*-1)*-1</f>
        <v>0</v>
      </c>
      <c r="AX325" s="772">
        <f>(+Canalyst!AJ448*-1)*-1</f>
        <v>0</v>
      </c>
      <c r="AY325" s="772">
        <f>(+Canalyst!AK448*-1)*-1</f>
        <v>2.5649999999999999</v>
      </c>
      <c r="AZ325" s="772">
        <f>(+Canalyst!AL448*-1)*-1</f>
        <v>3.6259999999999999</v>
      </c>
      <c r="BA325" s="772">
        <f>(+Canalyst!AM448*-1)*-1</f>
        <v>3.62</v>
      </c>
      <c r="BB325" s="772">
        <v>3.032</v>
      </c>
      <c r="BC325" s="772">
        <v>9.1509999999999998</v>
      </c>
    </row>
    <row r="326" spans="1:55" s="769" customFormat="1" x14ac:dyDescent="0.25">
      <c r="A326" s="760" t="str">
        <f>+Canalyst!A449</f>
        <v>Lease liabilities</v>
      </c>
      <c r="C326" s="851">
        <v>0</v>
      </c>
      <c r="D326" s="851">
        <v>0</v>
      </c>
      <c r="E326" s="852">
        <v>0</v>
      </c>
      <c r="F326" s="851">
        <v>0</v>
      </c>
      <c r="G326" s="851">
        <v>0</v>
      </c>
      <c r="H326" s="853">
        <v>0</v>
      </c>
      <c r="I326" s="851">
        <v>0</v>
      </c>
      <c r="J326" s="853">
        <f>(+Canalyst!F449*-1)*-1</f>
        <v>0</v>
      </c>
      <c r="K326" s="851">
        <f>(+Canalyst!G449*-1)*-1</f>
        <v>0</v>
      </c>
      <c r="L326" s="853">
        <f>(+Canalyst!H449*-1)*-1</f>
        <v>0</v>
      </c>
      <c r="M326" s="851">
        <f>(+Canalyst!I449*-1)*-1</f>
        <v>5.2539999999999996</v>
      </c>
      <c r="N326" s="853">
        <f>(+Canalyst!J449*-1)*-1</f>
        <v>7.9720000000000004</v>
      </c>
      <c r="O326" s="851">
        <f>(+Canalyst!K449*-1)*-1</f>
        <v>6.2140000000000004</v>
      </c>
      <c r="P326" s="853">
        <f>(+Canalyst!L449*-1)*-1</f>
        <v>5.7039999999999997</v>
      </c>
      <c r="Q326" s="851">
        <f>(+Canalyst!M449*-1)*-1</f>
        <v>5.1449999999999996</v>
      </c>
      <c r="R326" s="853">
        <f>(+Canalyst!N449*-1)*-1</f>
        <v>3.95</v>
      </c>
      <c r="S326" s="851">
        <f>(+Canalyst!O449*-1)*-1</f>
        <v>3.7069999999999999</v>
      </c>
      <c r="T326" s="853">
        <f t="shared" si="1210"/>
        <v>7.0270000000000001</v>
      </c>
      <c r="U326" s="851">
        <v>6.391</v>
      </c>
      <c r="V326" s="853">
        <f t="shared" si="1211"/>
        <v>8.1050000000000004</v>
      </c>
      <c r="W326" s="851">
        <v>24.913</v>
      </c>
      <c r="AE326" s="851">
        <v>0</v>
      </c>
      <c r="AF326" s="851">
        <v>0</v>
      </c>
      <c r="AG326" s="851">
        <v>0</v>
      </c>
      <c r="AH326" s="851">
        <v>0</v>
      </c>
      <c r="AI326" s="851">
        <v>0</v>
      </c>
      <c r="AJ326" s="851">
        <v>0</v>
      </c>
      <c r="AK326" s="851">
        <v>0</v>
      </c>
      <c r="AL326" s="851">
        <v>0</v>
      </c>
      <c r="AM326" s="851">
        <v>0</v>
      </c>
      <c r="AN326" s="851">
        <v>0</v>
      </c>
      <c r="AO326" s="851">
        <v>0</v>
      </c>
      <c r="AP326" s="851">
        <v>0</v>
      </c>
      <c r="AQ326" s="851">
        <v>0</v>
      </c>
      <c r="AR326" s="851">
        <v>0</v>
      </c>
      <c r="AS326" s="851">
        <v>0</v>
      </c>
      <c r="AT326" s="851">
        <v>0</v>
      </c>
      <c r="AU326" s="851">
        <v>0</v>
      </c>
      <c r="AV326" s="851">
        <v>0</v>
      </c>
      <c r="AW326" s="851">
        <f>(+Canalyst!AI449*-1)*-1</f>
        <v>0</v>
      </c>
      <c r="AX326" s="851">
        <f>(+Canalyst!AJ449*-1)*-1</f>
        <v>0</v>
      </c>
      <c r="AY326" s="851">
        <f>(+Canalyst!AK449*-1)*-1</f>
        <v>7.9720000000000004</v>
      </c>
      <c r="AZ326" s="851">
        <f>(+Canalyst!AL449*-1)*-1</f>
        <v>5.7039999999999997</v>
      </c>
      <c r="BA326" s="851">
        <f>(+Canalyst!AM449*-1)*-1</f>
        <v>3.95</v>
      </c>
      <c r="BB326" s="851">
        <v>7.0270000000000001</v>
      </c>
      <c r="BC326" s="851">
        <v>8.1050000000000004</v>
      </c>
    </row>
    <row r="327" spans="1:55" hidden="1" outlineLevel="1" x14ac:dyDescent="0.25">
      <c r="A327" s="760" t="str">
        <f>+Canalyst!A450</f>
        <v>Long-term debt</v>
      </c>
      <c r="C327" s="772">
        <v>0</v>
      </c>
      <c r="D327" s="772">
        <v>0</v>
      </c>
      <c r="E327" s="773">
        <v>0</v>
      </c>
      <c r="F327" s="772">
        <v>0</v>
      </c>
      <c r="G327" s="772">
        <v>0</v>
      </c>
      <c r="H327" s="774">
        <v>0</v>
      </c>
      <c r="I327" s="772">
        <v>0</v>
      </c>
      <c r="J327" s="774">
        <f>(+Canalyst!F450*-1)*-1</f>
        <v>0</v>
      </c>
      <c r="K327" s="772">
        <f>(+Canalyst!G450*-1)*-1</f>
        <v>0</v>
      </c>
      <c r="L327" s="774">
        <f>(+Canalyst!H450*-1)*-1</f>
        <v>0</v>
      </c>
      <c r="M327" s="772">
        <f>(+Canalyst!I450*-1)*-1</f>
        <v>0</v>
      </c>
      <c r="N327" s="774">
        <f>(+Canalyst!J450*-1)*-1</f>
        <v>0</v>
      </c>
      <c r="O327" s="772">
        <f>(+Canalyst!K450*-1)*-1</f>
        <v>0</v>
      </c>
      <c r="P327" s="774">
        <f>(+Canalyst!L450*-1)*-1</f>
        <v>0</v>
      </c>
      <c r="Q327" s="772">
        <f>(+Canalyst!M450*-1)*-1</f>
        <v>0</v>
      </c>
      <c r="R327" s="774">
        <f>(+Canalyst!N450*-1)*-1</f>
        <v>0</v>
      </c>
      <c r="S327" s="772">
        <f>(+Canalyst!O450*-1)*-1</f>
        <v>0</v>
      </c>
      <c r="T327" s="774">
        <f t="shared" si="1210"/>
        <v>0</v>
      </c>
      <c r="U327" s="772"/>
      <c r="V327" s="774">
        <f t="shared" si="1211"/>
        <v>0</v>
      </c>
      <c r="W327" s="772"/>
      <c r="AE327" s="772">
        <v>0</v>
      </c>
      <c r="AF327" s="772">
        <v>0</v>
      </c>
      <c r="AG327" s="772">
        <v>0</v>
      </c>
      <c r="AH327" s="772">
        <v>0</v>
      </c>
      <c r="AI327" s="772">
        <v>0</v>
      </c>
      <c r="AJ327" s="772">
        <v>0</v>
      </c>
      <c r="AK327" s="772">
        <v>0</v>
      </c>
      <c r="AL327" s="772">
        <v>0</v>
      </c>
      <c r="AM327" s="772">
        <v>0</v>
      </c>
      <c r="AN327" s="772">
        <v>0</v>
      </c>
      <c r="AO327" s="772">
        <v>0</v>
      </c>
      <c r="AP327" s="772">
        <v>0</v>
      </c>
      <c r="AQ327" s="772">
        <v>0</v>
      </c>
      <c r="AR327" s="772">
        <v>0</v>
      </c>
      <c r="AS327" s="772">
        <v>0</v>
      </c>
      <c r="AT327" s="772">
        <v>0</v>
      </c>
      <c r="AU327" s="772">
        <v>0</v>
      </c>
      <c r="AV327" s="772">
        <v>0</v>
      </c>
      <c r="AW327" s="772">
        <f>(+Canalyst!AI450*-1)*-1</f>
        <v>0</v>
      </c>
      <c r="AX327" s="772">
        <f>(+Canalyst!AJ450*-1)*-1</f>
        <v>0</v>
      </c>
      <c r="AY327" s="772">
        <f>(+Canalyst!AK450*-1)*-1</f>
        <v>0</v>
      </c>
      <c r="AZ327" s="772">
        <f>(+Canalyst!AL450*-1)*-1</f>
        <v>0</v>
      </c>
      <c r="BA327" s="772">
        <f>(+Canalyst!AM450*-1)*-1</f>
        <v>0</v>
      </c>
      <c r="BB327" s="772"/>
      <c r="BC327" s="772"/>
    </row>
    <row r="328" spans="1:55" hidden="1" outlineLevel="1" x14ac:dyDescent="0.25">
      <c r="A328" s="760" t="str">
        <f>+Canalyst!A451</f>
        <v>Other liabilities</v>
      </c>
      <c r="C328" s="772">
        <v>0</v>
      </c>
      <c r="D328" s="772">
        <v>0</v>
      </c>
      <c r="E328" s="773">
        <v>0</v>
      </c>
      <c r="F328" s="772">
        <v>0</v>
      </c>
      <c r="G328" s="772">
        <v>0</v>
      </c>
      <c r="H328" s="774">
        <v>0</v>
      </c>
      <c r="I328" s="772">
        <v>0</v>
      </c>
      <c r="J328" s="774">
        <f>(+Canalyst!F451*-1)*-1</f>
        <v>0</v>
      </c>
      <c r="K328" s="772">
        <f>(+Canalyst!G451*-1)*-1</f>
        <v>0</v>
      </c>
      <c r="L328" s="774">
        <f>(+Canalyst!H451*-1)*-1</f>
        <v>0</v>
      </c>
      <c r="M328" s="772">
        <f>(+Canalyst!I451*-1)*-1</f>
        <v>0</v>
      </c>
      <c r="N328" s="774">
        <f>(+Canalyst!J451*-1)*-1</f>
        <v>0</v>
      </c>
      <c r="O328" s="772">
        <f>(+Canalyst!K451*-1)*-1</f>
        <v>0</v>
      </c>
      <c r="P328" s="774">
        <f>(+Canalyst!L451*-1)*-1</f>
        <v>0</v>
      </c>
      <c r="Q328" s="772">
        <f>(+Canalyst!M451*-1)*-1</f>
        <v>0</v>
      </c>
      <c r="R328" s="774">
        <f>(+Canalyst!N451*-1)*-1</f>
        <v>0</v>
      </c>
      <c r="S328" s="772">
        <f>(+Canalyst!O451*-1)*-1</f>
        <v>0</v>
      </c>
      <c r="T328" s="774">
        <f t="shared" si="1210"/>
        <v>0</v>
      </c>
      <c r="U328" s="772"/>
      <c r="V328" s="774">
        <f t="shared" si="1211"/>
        <v>0</v>
      </c>
      <c r="W328" s="772"/>
      <c r="AE328" s="772">
        <v>0</v>
      </c>
      <c r="AF328" s="772">
        <v>0</v>
      </c>
      <c r="AG328" s="772">
        <v>0</v>
      </c>
      <c r="AH328" s="772">
        <v>0</v>
      </c>
      <c r="AI328" s="772">
        <v>0</v>
      </c>
      <c r="AJ328" s="772">
        <v>0</v>
      </c>
      <c r="AK328" s="772">
        <v>0</v>
      </c>
      <c r="AL328" s="772">
        <v>0</v>
      </c>
      <c r="AM328" s="772">
        <v>0</v>
      </c>
      <c r="AN328" s="772">
        <v>0</v>
      </c>
      <c r="AO328" s="772">
        <v>0</v>
      </c>
      <c r="AP328" s="772">
        <v>0</v>
      </c>
      <c r="AQ328" s="772">
        <v>0</v>
      </c>
      <c r="AR328" s="772">
        <v>0</v>
      </c>
      <c r="AS328" s="772">
        <v>0</v>
      </c>
      <c r="AT328" s="772">
        <v>0</v>
      </c>
      <c r="AU328" s="772">
        <v>0</v>
      </c>
      <c r="AV328" s="772">
        <v>0</v>
      </c>
      <c r="AW328" s="772">
        <f>(+Canalyst!AI451*-1)*-1</f>
        <v>0</v>
      </c>
      <c r="AX328" s="772">
        <f>(+Canalyst!AJ451*-1)*-1</f>
        <v>0</v>
      </c>
      <c r="AY328" s="772">
        <f>(+Canalyst!AK451*-1)*-1</f>
        <v>0</v>
      </c>
      <c r="AZ328" s="772">
        <f>(+Canalyst!AL451*-1)*-1</f>
        <v>0</v>
      </c>
      <c r="BA328" s="772">
        <f>(+Canalyst!AM451*-1)*-1</f>
        <v>0</v>
      </c>
      <c r="BB328" s="772"/>
      <c r="BC328" s="772"/>
    </row>
    <row r="329" spans="1:55" hidden="1" outlineLevel="1" x14ac:dyDescent="0.25">
      <c r="A329" s="760" t="str">
        <f>'CapIQ - as disclosed'!A71</f>
        <v>Provision for Liabilities and Charges</v>
      </c>
      <c r="C329" s="772">
        <f>('CapIQ - as disclosed'!Y71)*-1</f>
        <v>0</v>
      </c>
      <c r="D329" s="772">
        <f>('CapIQ - as disclosed'!Z71)*-1</f>
        <v>0</v>
      </c>
      <c r="E329" s="773">
        <f>('CapIQ - as disclosed'!AA71)*-1</f>
        <v>0</v>
      </c>
      <c r="F329" s="772">
        <f>(AU329)*-1</f>
        <v>0</v>
      </c>
      <c r="G329" s="772">
        <v>0</v>
      </c>
      <c r="H329" s="774">
        <f>(AV329)*-1</f>
        <v>0</v>
      </c>
      <c r="I329" s="772">
        <v>0</v>
      </c>
      <c r="J329" s="774">
        <v>0</v>
      </c>
      <c r="K329" s="772">
        <v>0</v>
      </c>
      <c r="L329" s="774">
        <v>0</v>
      </c>
      <c r="M329" s="772">
        <v>0</v>
      </c>
      <c r="N329" s="774">
        <v>0</v>
      </c>
      <c r="O329" s="772">
        <v>0</v>
      </c>
      <c r="P329" s="774">
        <v>0</v>
      </c>
      <c r="Q329" s="772">
        <v>0</v>
      </c>
      <c r="R329" s="774">
        <v>0</v>
      </c>
      <c r="S329" s="772">
        <v>0</v>
      </c>
      <c r="T329" s="774">
        <f t="shared" si="1210"/>
        <v>0</v>
      </c>
      <c r="U329" s="772"/>
      <c r="V329" s="774">
        <f t="shared" si="1211"/>
        <v>0</v>
      </c>
      <c r="W329" s="772"/>
      <c r="AE329" s="772">
        <f>('CapIQ - as disclosed'!G71/1000000*-1)*-1</f>
        <v>0</v>
      </c>
      <c r="AF329" s="772">
        <f>('CapIQ - as disclosed'!H71/1000000*-1)*-1</f>
        <v>0</v>
      </c>
      <c r="AG329" s="772">
        <f>('CapIQ - as disclosed'!I71/1000000*-1)*-1</f>
        <v>3.6166999999999998E-2</v>
      </c>
      <c r="AH329" s="772">
        <f>('CapIQ - as disclosed'!J71/1000000*-1)*-1</f>
        <v>1.5911999999999999E-2</v>
      </c>
      <c r="AI329" s="772">
        <f>('CapIQ - as disclosed'!K71/1000000*-1)*-1</f>
        <v>1.5165E-2</v>
      </c>
      <c r="AJ329" s="772">
        <f>('CapIQ - as disclosed'!L71/1000000*-1)*-1</f>
        <v>2.9441999999999999E-2</v>
      </c>
      <c r="AK329" s="772">
        <f>('CapIQ - as disclosed'!M71/1000000*-1)*-1</f>
        <v>0</v>
      </c>
      <c r="AL329" s="772">
        <f>('CapIQ - as disclosed'!N71/1000000*-1)*-1</f>
        <v>2.1310000000000001E-3</v>
      </c>
      <c r="AM329" s="772">
        <f>('CapIQ - as disclosed'!O71/1000000*-1)*-1</f>
        <v>1.9248999999999999E-2</v>
      </c>
      <c r="AN329" s="772">
        <f>('CapIQ - as disclosed'!P71/1000000*-1)*-1</f>
        <v>2.0806000000000002E-2</v>
      </c>
      <c r="AO329" s="772">
        <f>('CapIQ - as disclosed'!Q71/1000000*-1)*-1</f>
        <v>1.8121999999999999E-2</v>
      </c>
      <c r="AP329" s="772">
        <f>('CapIQ - as disclosed'!R71/1000000*-1)*-1</f>
        <v>7.463E-3</v>
      </c>
      <c r="AQ329" s="772">
        <f>('CapIQ - as disclosed'!S71/1000000*-1)*-1</f>
        <v>0</v>
      </c>
      <c r="AR329" s="772">
        <f>('CapIQ - as disclosed'!T71/1000000*-1)*-1</f>
        <v>0</v>
      </c>
      <c r="AS329" s="772">
        <f>('CapIQ - as disclosed'!U71/1000000*-1)*-1</f>
        <v>0</v>
      </c>
      <c r="AT329" s="772">
        <f>('CapIQ - as disclosed'!V71/1000000*-1)*-1</f>
        <v>0</v>
      </c>
      <c r="AU329" s="772">
        <f>('CapIQ - as disclosed'!W71/1000000*-1)*-1</f>
        <v>0</v>
      </c>
      <c r="AV329" s="772">
        <v>0</v>
      </c>
      <c r="AW329" s="772">
        <v>0</v>
      </c>
      <c r="AX329" s="772">
        <v>0</v>
      </c>
      <c r="AY329" s="772">
        <v>0</v>
      </c>
      <c r="AZ329" s="772">
        <v>0</v>
      </c>
      <c r="BA329" s="772">
        <v>0</v>
      </c>
      <c r="BB329" s="772"/>
      <c r="BC329" s="772"/>
    </row>
    <row r="330" spans="1:55" hidden="1" outlineLevel="1" x14ac:dyDescent="0.25">
      <c r="A330" s="760" t="str">
        <f>'CapIQ - as disclosed'!A72</f>
        <v>Provisions</v>
      </c>
      <c r="C330" s="772">
        <f>('CapIQ - as disclosed'!Y72)*-1</f>
        <v>0</v>
      </c>
      <c r="D330" s="772">
        <f>('CapIQ - as disclosed'!Z72)*-1</f>
        <v>0</v>
      </c>
      <c r="E330" s="773">
        <f>('CapIQ - as disclosed'!AA72)*-1</f>
        <v>0</v>
      </c>
      <c r="F330" s="772">
        <f>(AU330)*-1</f>
        <v>0</v>
      </c>
      <c r="G330" s="772">
        <v>0</v>
      </c>
      <c r="H330" s="774">
        <f>(AV330)*-1</f>
        <v>0</v>
      </c>
      <c r="I330" s="772">
        <v>0</v>
      </c>
      <c r="J330" s="774">
        <v>0</v>
      </c>
      <c r="K330" s="772">
        <v>0</v>
      </c>
      <c r="L330" s="774">
        <v>0</v>
      </c>
      <c r="M330" s="772">
        <v>0</v>
      </c>
      <c r="N330" s="774">
        <v>0</v>
      </c>
      <c r="O330" s="772">
        <v>0</v>
      </c>
      <c r="P330" s="774">
        <v>0</v>
      </c>
      <c r="Q330" s="772">
        <v>0</v>
      </c>
      <c r="R330" s="774">
        <v>0</v>
      </c>
      <c r="S330" s="772">
        <v>0</v>
      </c>
      <c r="T330" s="774">
        <f t="shared" si="1210"/>
        <v>0</v>
      </c>
      <c r="U330" s="772"/>
      <c r="V330" s="774">
        <f t="shared" si="1211"/>
        <v>0</v>
      </c>
      <c r="W330" s="772"/>
      <c r="AE330" s="772">
        <f>('CapIQ - as disclosed'!G72/1000000*-1)*-1</f>
        <v>0</v>
      </c>
      <c r="AF330" s="772">
        <f>('CapIQ - as disclosed'!H72/1000000*-1)*-1</f>
        <v>0</v>
      </c>
      <c r="AG330" s="772">
        <f>('CapIQ - as disclosed'!I72/1000000*-1)*-1</f>
        <v>0</v>
      </c>
      <c r="AH330" s="772">
        <f>('CapIQ - as disclosed'!J72/1000000*-1)*-1</f>
        <v>0</v>
      </c>
      <c r="AI330" s="772">
        <f>('CapIQ - as disclosed'!K72/1000000*-1)*-1</f>
        <v>0</v>
      </c>
      <c r="AJ330" s="772">
        <f>('CapIQ - as disclosed'!L72/1000000*-1)*-1</f>
        <v>0</v>
      </c>
      <c r="AK330" s="772">
        <f>('CapIQ - as disclosed'!M72/1000000*-1)*-1</f>
        <v>0</v>
      </c>
      <c r="AL330" s="772">
        <f>('CapIQ - as disclosed'!N72/1000000*-1)*-1</f>
        <v>0</v>
      </c>
      <c r="AM330" s="772">
        <f>('CapIQ - as disclosed'!O72/1000000*-1)*-1</f>
        <v>0</v>
      </c>
      <c r="AN330" s="772">
        <f>('CapIQ - as disclosed'!P72/1000000*-1)*-1</f>
        <v>0</v>
      </c>
      <c r="AO330" s="772">
        <f>('CapIQ - as disclosed'!Q72/1000000*-1)*-1</f>
        <v>0</v>
      </c>
      <c r="AP330" s="772">
        <f>('CapIQ - as disclosed'!R72/1000000*-1)*-1</f>
        <v>0</v>
      </c>
      <c r="AQ330" s="772">
        <f>('CapIQ - as disclosed'!S72/1000000*-1)*-1</f>
        <v>5.9499999999999997E-2</v>
      </c>
      <c r="AR330" s="772">
        <f>('CapIQ - as disclosed'!T72/1000000*-1)*-1</f>
        <v>0</v>
      </c>
      <c r="AS330" s="772">
        <f>('CapIQ - as disclosed'!U72/1000000*-1)*-1</f>
        <v>0</v>
      </c>
      <c r="AT330" s="772">
        <f>('CapIQ - as disclosed'!V72/1000000*-1)*-1</f>
        <v>0</v>
      </c>
      <c r="AU330" s="772">
        <f>('CapIQ - as disclosed'!W72/1000000*-1)*-1</f>
        <v>0</v>
      </c>
      <c r="AV330" s="772">
        <v>0</v>
      </c>
      <c r="AW330" s="772">
        <v>0</v>
      </c>
      <c r="AX330" s="772">
        <v>0</v>
      </c>
      <c r="AY330" s="772">
        <v>0</v>
      </c>
      <c r="AZ330" s="772">
        <v>0</v>
      </c>
      <c r="BA330" s="772">
        <v>0</v>
      </c>
      <c r="BB330" s="772"/>
      <c r="BC330" s="772"/>
    </row>
    <row r="331" spans="1:55" ht="13" hidden="1" outlineLevel="1" x14ac:dyDescent="0.25">
      <c r="A331" s="760" t="str">
        <f>'CapIQ - as disclosed'!A73</f>
        <v>Amounts Falling Due After More Than One Year</v>
      </c>
      <c r="C331" s="780">
        <f>('CapIQ - as disclosed'!Y73)*-1</f>
        <v>0</v>
      </c>
      <c r="D331" s="780">
        <f>('CapIQ - as disclosed'!Z73)*-1</f>
        <v>0</v>
      </c>
      <c r="E331" s="781">
        <f>('CapIQ - as disclosed'!AA73)*-1</f>
        <v>0</v>
      </c>
      <c r="F331" s="780">
        <f>(AU331)*-1</f>
        <v>0</v>
      </c>
      <c r="G331" s="780">
        <v>0</v>
      </c>
      <c r="H331" s="782">
        <f>(AV331)*-1</f>
        <v>0</v>
      </c>
      <c r="I331" s="780">
        <v>0</v>
      </c>
      <c r="J331" s="782">
        <v>0</v>
      </c>
      <c r="K331" s="780">
        <v>0</v>
      </c>
      <c r="L331" s="782">
        <v>0</v>
      </c>
      <c r="M331" s="780">
        <v>0</v>
      </c>
      <c r="N331" s="782">
        <v>0</v>
      </c>
      <c r="O331" s="780">
        <v>0</v>
      </c>
      <c r="P331" s="782">
        <v>0</v>
      </c>
      <c r="Q331" s="780">
        <v>0</v>
      </c>
      <c r="R331" s="782">
        <v>0</v>
      </c>
      <c r="S331" s="780">
        <v>0</v>
      </c>
      <c r="T331" s="782">
        <f t="shared" si="1210"/>
        <v>0</v>
      </c>
      <c r="U331" s="780"/>
      <c r="V331" s="782">
        <f t="shared" si="1211"/>
        <v>0</v>
      </c>
      <c r="W331" s="780"/>
      <c r="AE331" s="780">
        <f>('CapIQ - as disclosed'!G73/1000000*-1)*-1</f>
        <v>8.7620000000000007E-3</v>
      </c>
      <c r="AF331" s="780">
        <f>('CapIQ - as disclosed'!H73/1000000*-1)*-1</f>
        <v>1.257E-2</v>
      </c>
      <c r="AG331" s="780">
        <f>('CapIQ - as disclosed'!I73/1000000*-1)*-1</f>
        <v>3.1419999999999998E-3</v>
      </c>
      <c r="AH331" s="780">
        <f>('CapIQ - as disclosed'!J73/1000000*-1)*-1</f>
        <v>0</v>
      </c>
      <c r="AI331" s="780">
        <f>('CapIQ - as disclosed'!K73/1000000*-1)*-1</f>
        <v>0</v>
      </c>
      <c r="AJ331" s="780">
        <f>('CapIQ - as disclosed'!L73/1000000*-1)*-1</f>
        <v>0</v>
      </c>
      <c r="AK331" s="780">
        <f>('CapIQ - as disclosed'!M73/1000000*-1)*-1</f>
        <v>0</v>
      </c>
      <c r="AL331" s="780">
        <f>('CapIQ - as disclosed'!N73/1000000*-1)*-1</f>
        <v>0</v>
      </c>
      <c r="AM331" s="780">
        <f>('CapIQ - as disclosed'!O73/1000000*-1)*-1</f>
        <v>0</v>
      </c>
      <c r="AN331" s="780">
        <f>('CapIQ - as disclosed'!P73/1000000*-1)*-1</f>
        <v>0</v>
      </c>
      <c r="AO331" s="780">
        <f>('CapIQ - as disclosed'!Q73/1000000*-1)*-1</f>
        <v>0</v>
      </c>
      <c r="AP331" s="780">
        <f>('CapIQ - as disclosed'!R73/1000000*-1)*-1</f>
        <v>0</v>
      </c>
      <c r="AQ331" s="780">
        <f>('CapIQ - as disclosed'!S73/1000000*-1)*-1</f>
        <v>0</v>
      </c>
      <c r="AR331" s="780">
        <f>('CapIQ - as disclosed'!T73/1000000*-1)*-1</f>
        <v>0</v>
      </c>
      <c r="AS331" s="780">
        <f>('CapIQ - as disclosed'!U73/1000000*-1)*-1</f>
        <v>0</v>
      </c>
      <c r="AT331" s="780">
        <f>('CapIQ - as disclosed'!V73/1000000*-1)*-1</f>
        <v>0</v>
      </c>
      <c r="AU331" s="780">
        <f>('CapIQ - as disclosed'!W73/1000000*-1)*-1</f>
        <v>0</v>
      </c>
      <c r="AV331" s="780">
        <v>0</v>
      </c>
      <c r="AW331" s="780">
        <v>0</v>
      </c>
      <c r="AX331" s="780">
        <v>0</v>
      </c>
      <c r="AY331" s="780">
        <v>0</v>
      </c>
      <c r="AZ331" s="780">
        <v>0</v>
      </c>
      <c r="BA331" s="780">
        <v>0</v>
      </c>
      <c r="BB331" s="780"/>
      <c r="BC331" s="780"/>
    </row>
    <row r="332" spans="1:55" ht="13" collapsed="1" x14ac:dyDescent="0.25">
      <c r="A332" s="783" t="s">
        <v>218</v>
      </c>
      <c r="C332" s="780">
        <f t="shared" ref="C332:E332" si="1264">SUM(C324:C331)</f>
        <v>0</v>
      </c>
      <c r="D332" s="780">
        <f t="shared" si="1264"/>
        <v>0</v>
      </c>
      <c r="E332" s="781">
        <f t="shared" si="1264"/>
        <v>0</v>
      </c>
      <c r="F332" s="780">
        <f t="shared" ref="F332" si="1265">SUM(F324:F331)</f>
        <v>0</v>
      </c>
      <c r="G332" s="780">
        <f t="shared" ref="G332:H332" si="1266">SUM(G324:G331)</f>
        <v>0</v>
      </c>
      <c r="H332" s="782">
        <f t="shared" si="1266"/>
        <v>0</v>
      </c>
      <c r="I332" s="780">
        <f t="shared" ref="I332:R332" si="1267">SUM(I324:I331)</f>
        <v>0</v>
      </c>
      <c r="J332" s="782">
        <f t="shared" si="1267"/>
        <v>0</v>
      </c>
      <c r="K332" s="780">
        <f t="shared" si="1267"/>
        <v>0</v>
      </c>
      <c r="L332" s="782">
        <f t="shared" si="1267"/>
        <v>0</v>
      </c>
      <c r="M332" s="780">
        <f t="shared" si="1267"/>
        <v>5.2539999999999996</v>
      </c>
      <c r="N332" s="782">
        <f t="shared" si="1267"/>
        <v>10.537000000000001</v>
      </c>
      <c r="O332" s="780">
        <f t="shared" si="1267"/>
        <v>9.9440000000000008</v>
      </c>
      <c r="P332" s="782">
        <f t="shared" si="1267"/>
        <v>9.33</v>
      </c>
      <c r="Q332" s="780">
        <f t="shared" si="1267"/>
        <v>8.2330000000000005</v>
      </c>
      <c r="R332" s="782">
        <f t="shared" si="1267"/>
        <v>7.57</v>
      </c>
      <c r="S332" s="780">
        <f t="shared" ref="S332:U332" si="1268">SUM(S324:S331)</f>
        <v>7.133</v>
      </c>
      <c r="T332" s="782">
        <f t="shared" si="1210"/>
        <v>10.059000000000001</v>
      </c>
      <c r="U332" s="780">
        <f t="shared" si="1268"/>
        <v>12.618</v>
      </c>
      <c r="V332" s="782">
        <f t="shared" si="1211"/>
        <v>17.256</v>
      </c>
      <c r="W332" s="780">
        <f t="shared" ref="W332" si="1269">SUM(W324:W331)</f>
        <v>37.409999999999997</v>
      </c>
      <c r="AE332" s="780">
        <f t="shared" ref="AE332:AS332" si="1270">SUM(AE324:AE331)</f>
        <v>0.56549100000000008</v>
      </c>
      <c r="AF332" s="780">
        <f t="shared" si="1270"/>
        <v>0.78928100000000001</v>
      </c>
      <c r="AG332" s="780">
        <f t="shared" si="1270"/>
        <v>3.9308999999999997E-2</v>
      </c>
      <c r="AH332" s="780">
        <f t="shared" si="1270"/>
        <v>1.5911999999999999E-2</v>
      </c>
      <c r="AI332" s="780">
        <f t="shared" si="1270"/>
        <v>1.5165E-2</v>
      </c>
      <c r="AJ332" s="780">
        <f t="shared" si="1270"/>
        <v>2.9441999999999999E-2</v>
      </c>
      <c r="AK332" s="780">
        <f t="shared" si="1270"/>
        <v>0</v>
      </c>
      <c r="AL332" s="780">
        <f t="shared" si="1270"/>
        <v>2.1310000000000001E-3</v>
      </c>
      <c r="AM332" s="780">
        <f t="shared" si="1270"/>
        <v>1.9248999999999999E-2</v>
      </c>
      <c r="AN332" s="780">
        <f t="shared" si="1270"/>
        <v>2.0806000000000002E-2</v>
      </c>
      <c r="AO332" s="780">
        <f t="shared" si="1270"/>
        <v>1.8121999999999999E-2</v>
      </c>
      <c r="AP332" s="780">
        <f t="shared" si="1270"/>
        <v>7.463E-3</v>
      </c>
      <c r="AQ332" s="780">
        <f t="shared" si="1270"/>
        <v>5.9499999999999997E-2</v>
      </c>
      <c r="AR332" s="780">
        <f t="shared" si="1270"/>
        <v>0</v>
      </c>
      <c r="AS332" s="780">
        <f t="shared" si="1270"/>
        <v>0</v>
      </c>
      <c r="AT332" s="780">
        <f>SUM(AT324:AT331)</f>
        <v>0</v>
      </c>
      <c r="AU332" s="780">
        <f t="shared" ref="AU332:AZ332" si="1271">SUM(AU324:AU331)</f>
        <v>0</v>
      </c>
      <c r="AV332" s="780">
        <f t="shared" si="1271"/>
        <v>0</v>
      </c>
      <c r="AW332" s="780">
        <f t="shared" si="1271"/>
        <v>0</v>
      </c>
      <c r="AX332" s="780">
        <f t="shared" si="1271"/>
        <v>0</v>
      </c>
      <c r="AY332" s="780">
        <f t="shared" si="1271"/>
        <v>10.537000000000001</v>
      </c>
      <c r="AZ332" s="780">
        <f t="shared" si="1271"/>
        <v>9.33</v>
      </c>
      <c r="BA332" s="780">
        <f t="shared" ref="BA332:BB332" si="1272">SUM(BA324:BA331)</f>
        <v>7.57</v>
      </c>
      <c r="BB332" s="780">
        <f t="shared" si="1272"/>
        <v>10.059000000000001</v>
      </c>
      <c r="BC332" s="780">
        <f t="shared" ref="BC332" si="1273">SUM(BC324:BC331)</f>
        <v>17.256</v>
      </c>
    </row>
    <row r="333" spans="1:55" s="763" customFormat="1" x14ac:dyDescent="0.25">
      <c r="A333" s="1171" t="s">
        <v>219</v>
      </c>
      <c r="C333" s="787">
        <f t="shared" ref="C333:S333" si="1274">C332+C323</f>
        <v>82.128</v>
      </c>
      <c r="D333" s="787">
        <f t="shared" si="1274"/>
        <v>111.563</v>
      </c>
      <c r="E333" s="788">
        <f t="shared" si="1274"/>
        <v>111.23400000000001</v>
      </c>
      <c r="F333" s="787">
        <f t="shared" si="1274"/>
        <v>119.879</v>
      </c>
      <c r="G333" s="787">
        <f t="shared" si="1274"/>
        <v>141.66900000000001</v>
      </c>
      <c r="H333" s="789">
        <f t="shared" si="1274"/>
        <v>160.684</v>
      </c>
      <c r="I333" s="787">
        <f t="shared" si="1274"/>
        <v>181.6</v>
      </c>
      <c r="J333" s="789">
        <f t="shared" si="1274"/>
        <v>193.41900000000001</v>
      </c>
      <c r="K333" s="787">
        <f t="shared" si="1274"/>
        <v>254.03</v>
      </c>
      <c r="L333" s="789">
        <f t="shared" si="1274"/>
        <v>268.74799999999999</v>
      </c>
      <c r="M333" s="787">
        <f t="shared" si="1274"/>
        <v>270.13900000000007</v>
      </c>
      <c r="N333" s="789">
        <f t="shared" si="1274"/>
        <v>290.19899999999996</v>
      </c>
      <c r="O333" s="787">
        <f t="shared" si="1274"/>
        <v>254.28100000000001</v>
      </c>
      <c r="P333" s="789">
        <f t="shared" si="1274"/>
        <v>318.21500000000003</v>
      </c>
      <c r="Q333" s="787">
        <f t="shared" si="1274"/>
        <v>388.74299999999999</v>
      </c>
      <c r="R333" s="789">
        <f t="shared" si="1274"/>
        <v>460.95800000000003</v>
      </c>
      <c r="S333" s="787">
        <f t="shared" si="1274"/>
        <v>474.99599999999992</v>
      </c>
      <c r="T333" s="789">
        <f t="shared" si="1210"/>
        <v>396.27699999999999</v>
      </c>
      <c r="U333" s="787">
        <f t="shared" ref="U333:W333" si="1275">U332+U323</f>
        <v>400.55200000000002</v>
      </c>
      <c r="V333" s="789">
        <f t="shared" si="1211"/>
        <v>482.71199999999999</v>
      </c>
      <c r="W333" s="787">
        <f t="shared" si="1275"/>
        <v>550.97199999999998</v>
      </c>
      <c r="AE333" s="787">
        <f t="shared" ref="AE333:BA333" si="1276">AE332+AE323</f>
        <v>5.6480229999999993</v>
      </c>
      <c r="AF333" s="787">
        <f t="shared" si="1276"/>
        <v>6.8621989999999995</v>
      </c>
      <c r="AG333" s="787">
        <f t="shared" si="1276"/>
        <v>16.270769999999999</v>
      </c>
      <c r="AH333" s="787">
        <f t="shared" si="1276"/>
        <v>10.520405999999999</v>
      </c>
      <c r="AI333" s="787">
        <f t="shared" si="1276"/>
        <v>11.796308</v>
      </c>
      <c r="AJ333" s="787">
        <f t="shared" si="1276"/>
        <v>13.481157</v>
      </c>
      <c r="AK333" s="787">
        <f t="shared" si="1276"/>
        <v>12.100166</v>
      </c>
      <c r="AL333" s="787">
        <f t="shared" si="1276"/>
        <v>19.670787999999998</v>
      </c>
      <c r="AM333" s="787">
        <f t="shared" si="1276"/>
        <v>21.237890999999998</v>
      </c>
      <c r="AN333" s="787">
        <f t="shared" si="1276"/>
        <v>20.233176</v>
      </c>
      <c r="AO333" s="787">
        <f t="shared" si="1276"/>
        <v>31.878229000000001</v>
      </c>
      <c r="AP333" s="787">
        <f t="shared" si="1276"/>
        <v>34.736266000000001</v>
      </c>
      <c r="AQ333" s="787">
        <f t="shared" si="1276"/>
        <v>50.441920999999994</v>
      </c>
      <c r="AR333" s="787">
        <f t="shared" si="1276"/>
        <v>58.832000000000001</v>
      </c>
      <c r="AS333" s="787">
        <f t="shared" si="1276"/>
        <v>77.762</v>
      </c>
      <c r="AT333" s="787">
        <f t="shared" si="1276"/>
        <v>111.563</v>
      </c>
      <c r="AU333" s="787">
        <f t="shared" si="1276"/>
        <v>119.879</v>
      </c>
      <c r="AV333" s="787">
        <f t="shared" si="1276"/>
        <v>160.684</v>
      </c>
      <c r="AW333" s="787">
        <f t="shared" si="1276"/>
        <v>193.41900000000001</v>
      </c>
      <c r="AX333" s="787">
        <f t="shared" si="1276"/>
        <v>268.74799999999999</v>
      </c>
      <c r="AY333" s="787">
        <f t="shared" si="1276"/>
        <v>290.19899999999996</v>
      </c>
      <c r="AZ333" s="787">
        <f t="shared" si="1276"/>
        <v>318.21500000000003</v>
      </c>
      <c r="BA333" s="787">
        <f t="shared" si="1276"/>
        <v>460.95800000000003</v>
      </c>
      <c r="BB333" s="787">
        <f t="shared" ref="BB333:BC333" si="1277">BB332+BB323</f>
        <v>396.27699999999999</v>
      </c>
      <c r="BC333" s="787">
        <f t="shared" si="1277"/>
        <v>482.71199999999999</v>
      </c>
    </row>
    <row r="334" spans="1:55" s="763" customFormat="1" hidden="1" outlineLevel="1" x14ac:dyDescent="0.25">
      <c r="A334" s="786" t="s">
        <v>220</v>
      </c>
      <c r="C334" s="787">
        <f>+C314-C333</f>
        <v>77.585999999999999</v>
      </c>
      <c r="D334" s="787">
        <f t="shared" ref="D334:BC334" si="1278">+D314-D333</f>
        <v>95.815999999999988</v>
      </c>
      <c r="E334" s="788">
        <f t="shared" si="1278"/>
        <v>68.959000000000003</v>
      </c>
      <c r="F334" s="787">
        <f t="shared" si="1278"/>
        <v>87.36399999999999</v>
      </c>
      <c r="G334" s="787">
        <f t="shared" si="1278"/>
        <v>69.75200000000001</v>
      </c>
      <c r="H334" s="789">
        <f t="shared" si="1278"/>
        <v>88.418000000000006</v>
      </c>
      <c r="I334" s="787">
        <f t="shared" si="1278"/>
        <v>70.688999999999993</v>
      </c>
      <c r="J334" s="789">
        <f t="shared" si="1278"/>
        <v>100.81599999999995</v>
      </c>
      <c r="K334" s="787">
        <f t="shared" si="1278"/>
        <v>81.946999999999974</v>
      </c>
      <c r="L334" s="789">
        <f t="shared" si="1278"/>
        <v>115.392</v>
      </c>
      <c r="M334" s="787">
        <f t="shared" si="1278"/>
        <v>98.216999999999928</v>
      </c>
      <c r="N334" s="789">
        <f t="shared" si="1278"/>
        <v>140.74700000000001</v>
      </c>
      <c r="O334" s="787">
        <f t="shared" si="1278"/>
        <v>140.40500000000003</v>
      </c>
      <c r="P334" s="789">
        <f t="shared" si="1278"/>
        <v>179.14399999999995</v>
      </c>
      <c r="Q334" s="787">
        <f t="shared" si="1278"/>
        <v>163.12399999999997</v>
      </c>
      <c r="R334" s="789">
        <f t="shared" si="1278"/>
        <v>211.10000000000008</v>
      </c>
      <c r="S334" s="787">
        <f t="shared" si="1278"/>
        <v>203.69499999999999</v>
      </c>
      <c r="T334" s="789">
        <f t="shared" si="1210"/>
        <v>251.44500000000011</v>
      </c>
      <c r="U334" s="787">
        <f t="shared" si="1278"/>
        <v>245.60600000000011</v>
      </c>
      <c r="V334" s="789">
        <f t="shared" si="1211"/>
        <v>298.03700000000003</v>
      </c>
      <c r="W334" s="787">
        <f t="shared" si="1278"/>
        <v>280.90900000000011</v>
      </c>
      <c r="AE334" s="787">
        <f t="shared" si="1278"/>
        <v>0.76265400000000128</v>
      </c>
      <c r="AF334" s="787">
        <f t="shared" si="1278"/>
        <v>1.0251130000000002</v>
      </c>
      <c r="AG334" s="787">
        <f t="shared" si="1278"/>
        <v>2.574071</v>
      </c>
      <c r="AH334" s="787">
        <f t="shared" si="1278"/>
        <v>3.0039649999999991</v>
      </c>
      <c r="AI334" s="787">
        <f t="shared" si="1278"/>
        <v>4.6831630000000004</v>
      </c>
      <c r="AJ334" s="787">
        <f t="shared" si="1278"/>
        <v>3.1488399999999999</v>
      </c>
      <c r="AK334" s="787">
        <f t="shared" si="1278"/>
        <v>4.3010390000000012</v>
      </c>
      <c r="AL334" s="787">
        <f t="shared" si="1278"/>
        <v>6.693085</v>
      </c>
      <c r="AM334" s="787">
        <f t="shared" si="1278"/>
        <v>9.9081660000000014</v>
      </c>
      <c r="AN334" s="787">
        <f t="shared" si="1278"/>
        <v>14.935131000000005</v>
      </c>
      <c r="AO334" s="787">
        <f t="shared" si="1278"/>
        <v>13.166833</v>
      </c>
      <c r="AP334" s="787">
        <f t="shared" si="1278"/>
        <v>25.033564000000005</v>
      </c>
      <c r="AQ334" s="787">
        <f t="shared" si="1278"/>
        <v>41.839799999999997</v>
      </c>
      <c r="AR334" s="787">
        <f t="shared" si="1278"/>
        <v>48.383000000000003</v>
      </c>
      <c r="AS334" s="787">
        <f t="shared" si="1278"/>
        <v>72.298999999999978</v>
      </c>
      <c r="AT334" s="787">
        <f t="shared" si="1278"/>
        <v>95.815999999999988</v>
      </c>
      <c r="AU334" s="787">
        <f t="shared" si="1278"/>
        <v>87.36399999999999</v>
      </c>
      <c r="AV334" s="787">
        <f t="shared" si="1278"/>
        <v>88.418000000000006</v>
      </c>
      <c r="AW334" s="787">
        <f t="shared" si="1278"/>
        <v>100.81599999999995</v>
      </c>
      <c r="AX334" s="787">
        <f t="shared" si="1278"/>
        <v>115.392</v>
      </c>
      <c r="AY334" s="787">
        <f t="shared" si="1278"/>
        <v>140.74700000000001</v>
      </c>
      <c r="AZ334" s="787">
        <f t="shared" si="1278"/>
        <v>179.14399999999995</v>
      </c>
      <c r="BA334" s="787">
        <f t="shared" si="1278"/>
        <v>211.10000000000008</v>
      </c>
      <c r="BB334" s="787">
        <f t="shared" si="1278"/>
        <v>251.44500000000011</v>
      </c>
      <c r="BC334" s="787">
        <f t="shared" si="1278"/>
        <v>298.03700000000003</v>
      </c>
    </row>
    <row r="335" spans="1:55" s="763" customFormat="1" collapsed="1" x14ac:dyDescent="0.25">
      <c r="A335" s="786"/>
      <c r="C335" s="787"/>
      <c r="D335" s="787"/>
      <c r="E335" s="788"/>
      <c r="F335" s="787"/>
      <c r="G335" s="787"/>
      <c r="H335" s="789"/>
      <c r="I335" s="787"/>
      <c r="J335" s="789"/>
      <c r="K335" s="787"/>
      <c r="L335" s="789"/>
      <c r="M335" s="787"/>
      <c r="N335" s="789"/>
      <c r="O335" s="787"/>
      <c r="P335" s="789"/>
      <c r="Q335" s="787"/>
      <c r="R335" s="789"/>
      <c r="S335" s="787"/>
      <c r="T335" s="789"/>
      <c r="U335" s="787"/>
      <c r="V335" s="789"/>
      <c r="W335" s="787"/>
      <c r="AE335" s="787"/>
      <c r="AF335" s="787"/>
      <c r="AG335" s="787"/>
      <c r="AH335" s="787"/>
      <c r="AI335" s="787"/>
      <c r="AJ335" s="787"/>
      <c r="AK335" s="787"/>
      <c r="AL335" s="787"/>
      <c r="AM335" s="787"/>
      <c r="AN335" s="787"/>
      <c r="AO335" s="787"/>
      <c r="AP335" s="787"/>
      <c r="AQ335" s="787"/>
      <c r="AR335" s="787"/>
      <c r="AS335" s="787"/>
      <c r="AT335" s="787"/>
      <c r="AU335" s="787"/>
      <c r="AV335" s="787"/>
      <c r="AW335" s="787"/>
      <c r="AX335" s="787"/>
      <c r="AY335" s="787"/>
      <c r="AZ335" s="787"/>
      <c r="BA335" s="787"/>
      <c r="BB335" s="787"/>
      <c r="BC335" s="787"/>
    </row>
    <row r="336" spans="1:55" x14ac:dyDescent="0.25">
      <c r="A336" s="763" t="s">
        <v>94</v>
      </c>
      <c r="E336" s="790"/>
      <c r="H336" s="791"/>
      <c r="J336" s="791"/>
      <c r="L336" s="791"/>
      <c r="N336" s="791"/>
      <c r="P336" s="791"/>
      <c r="R336" s="791"/>
      <c r="T336" s="791"/>
      <c r="V336" s="791"/>
    </row>
    <row r="337" spans="1:55" x14ac:dyDescent="0.25">
      <c r="A337" s="760" t="s">
        <v>310</v>
      </c>
      <c r="C337" s="772">
        <f>'CapIQ - as disclosed'!Y76/1000</f>
        <v>9.8000000000000004E-2</v>
      </c>
      <c r="D337" s="772">
        <f>'CapIQ - as disclosed'!Z76/1000</f>
        <v>9.8000000000000004E-2</v>
      </c>
      <c r="E337" s="773">
        <f>'CapIQ - as disclosed'!AA76/1000</f>
        <v>9.9000000000000005E-2</v>
      </c>
      <c r="F337" s="772">
        <f>AU337</f>
        <v>9.9000000000000005E-2</v>
      </c>
      <c r="G337" s="772">
        <v>9.9000000000000005E-2</v>
      </c>
      <c r="H337" s="774">
        <f t="shared" ref="H337:H340" si="1279">AV337</f>
        <v>9.9000000000000005E-2</v>
      </c>
      <c r="I337" s="772">
        <v>9.9000000000000005E-2</v>
      </c>
      <c r="J337" s="774">
        <f>+Canalyst!F456</f>
        <v>9.9000000000000005E-2</v>
      </c>
      <c r="K337" s="772">
        <f>+Canalyst!G456</f>
        <v>9.9000000000000005E-2</v>
      </c>
      <c r="L337" s="774">
        <f>+Canalyst!H456</f>
        <v>9.9000000000000005E-2</v>
      </c>
      <c r="M337" s="772">
        <f>+Canalyst!I456</f>
        <v>9.9000000000000005E-2</v>
      </c>
      <c r="N337" s="774">
        <f>+Canalyst!J456</f>
        <v>0.1</v>
      </c>
      <c r="O337" s="772">
        <f>+Canalyst!K456</f>
        <v>0.1</v>
      </c>
      <c r="P337" s="774">
        <f>+Canalyst!L456</f>
        <v>0.1</v>
      </c>
      <c r="Q337" s="772">
        <f>+Canalyst!M456</f>
        <v>0.1</v>
      </c>
      <c r="R337" s="774">
        <f>+Canalyst!N456</f>
        <v>0.1</v>
      </c>
      <c r="S337" s="772">
        <f>+Canalyst!O456</f>
        <v>0.1</v>
      </c>
      <c r="T337" s="774">
        <f t="shared" si="1210"/>
        <v>0.1</v>
      </c>
      <c r="U337" s="772">
        <v>0.1</v>
      </c>
      <c r="V337" s="774">
        <f t="shared" si="1211"/>
        <v>0.1</v>
      </c>
      <c r="W337" s="772">
        <v>0.1</v>
      </c>
      <c r="AE337" s="772">
        <f>'CapIQ - as disclosed'!G76/1000000</f>
        <v>2.1874999999999999E-2</v>
      </c>
      <c r="AF337" s="772">
        <f>'CapIQ - as disclosed'!H76/1000000</f>
        <v>2.1874999999999999E-2</v>
      </c>
      <c r="AG337" s="772">
        <f>'CapIQ - as disclosed'!I76/1000000</f>
        <v>5.9205000000000001E-2</v>
      </c>
      <c r="AH337" s="772">
        <f>'CapIQ - as disclosed'!J76/1000000</f>
        <v>5.9205000000000001E-2</v>
      </c>
      <c r="AI337" s="772">
        <f>'CapIQ - as disclosed'!K76/1000000</f>
        <v>5.9205000000000001E-2</v>
      </c>
      <c r="AJ337" s="772">
        <f>'CapIQ - as disclosed'!L76/1000000</f>
        <v>6.1037000000000001E-2</v>
      </c>
      <c r="AK337" s="772">
        <f>'CapIQ - as disclosed'!M76/1000000</f>
        <v>6.105E-2</v>
      </c>
      <c r="AL337" s="772">
        <f>'CapIQ - as disclosed'!N76/1000000</f>
        <v>6.105E-2</v>
      </c>
      <c r="AM337" s="772">
        <f>'CapIQ - as disclosed'!O76/1000000</f>
        <v>6.1185999999999997E-2</v>
      </c>
      <c r="AN337" s="772">
        <f>'CapIQ - as disclosed'!P76/1000000</f>
        <v>6.1244E-2</v>
      </c>
      <c r="AO337" s="772">
        <f>'CapIQ - as disclosed'!Q76/1000000</f>
        <v>6.1310000000000003E-2</v>
      </c>
      <c r="AP337" s="772">
        <f>'CapIQ - as disclosed'!R76/1000000</f>
        <v>6.1310000000000003E-2</v>
      </c>
      <c r="AQ337" s="772">
        <f>'CapIQ - as disclosed'!S76/1000000</f>
        <v>6.2742999999999993E-2</v>
      </c>
      <c r="AR337" s="772">
        <v>6.5000000000000002E-2</v>
      </c>
      <c r="AS337" s="772">
        <v>9.5000000000000001E-2</v>
      </c>
      <c r="AT337" s="772">
        <v>9.8000000000000004E-2</v>
      </c>
      <c r="AU337" s="772">
        <v>9.9000000000000005E-2</v>
      </c>
      <c r="AV337" s="772">
        <v>9.9000000000000005E-2</v>
      </c>
      <c r="AW337" s="772">
        <f>+Canalyst!AI456</f>
        <v>9.9000000000000005E-2</v>
      </c>
      <c r="AX337" s="772">
        <f>+Canalyst!AJ456</f>
        <v>9.9000000000000005E-2</v>
      </c>
      <c r="AY337" s="772">
        <f>+Canalyst!AK456</f>
        <v>0.1</v>
      </c>
      <c r="AZ337" s="772">
        <f>+Canalyst!AL456</f>
        <v>0.1</v>
      </c>
      <c r="BA337" s="772">
        <f>+Canalyst!AM456</f>
        <v>0.1</v>
      </c>
      <c r="BB337" s="772">
        <v>0.1</v>
      </c>
      <c r="BC337" s="772">
        <v>0.1</v>
      </c>
    </row>
    <row r="338" spans="1:55" x14ac:dyDescent="0.25">
      <c r="A338" s="760" t="s">
        <v>311</v>
      </c>
      <c r="C338" s="772">
        <f>'CapIQ - as disclosed'!Y77/1000</f>
        <v>3.9420000000000002</v>
      </c>
      <c r="D338" s="772">
        <f>'CapIQ - as disclosed'!Z77/1000</f>
        <v>3.9420000000000002</v>
      </c>
      <c r="E338" s="773">
        <f>'CapIQ - as disclosed'!AA77/1000</f>
        <v>4.4550000000000001</v>
      </c>
      <c r="F338" s="772">
        <f t="shared" ref="F338:F340" si="1280">AU338</f>
        <v>4.4539999999999997</v>
      </c>
      <c r="G338" s="772">
        <v>4.6639999999999997</v>
      </c>
      <c r="H338" s="774">
        <f t="shared" si="1279"/>
        <v>4.6639999999999997</v>
      </c>
      <c r="I338" s="772">
        <v>4.9790000000000001</v>
      </c>
      <c r="J338" s="774">
        <f>+Canalyst!F457</f>
        <v>4.9790000000000001</v>
      </c>
      <c r="K338" s="772">
        <f>+Canalyst!G457</f>
        <v>4.9790000000000001</v>
      </c>
      <c r="L338" s="774">
        <f>+Canalyst!H457</f>
        <v>4.9790000000000001</v>
      </c>
      <c r="M338" s="772">
        <f>+Canalyst!I457</f>
        <v>4.9790000000000001</v>
      </c>
      <c r="N338" s="774">
        <f>+Canalyst!J457</f>
        <v>4.9790000000000001</v>
      </c>
      <c r="O338" s="772">
        <f>+Canalyst!K457</f>
        <v>4.9790000000000001</v>
      </c>
      <c r="P338" s="774">
        <f>+Canalyst!L457</f>
        <v>4.9790000000000001</v>
      </c>
      <c r="Q338" s="772">
        <f>+Canalyst!M457</f>
        <v>4.9790000000000001</v>
      </c>
      <c r="R338" s="774">
        <f>+Canalyst!N457</f>
        <v>4.9790000000000001</v>
      </c>
      <c r="S338" s="772">
        <f>+Canalyst!O457</f>
        <v>4.9790000000000001</v>
      </c>
      <c r="T338" s="774">
        <f t="shared" si="1210"/>
        <v>4.9790000000000001</v>
      </c>
      <c r="U338" s="772">
        <v>4.9790000000000001</v>
      </c>
      <c r="V338" s="774">
        <f t="shared" si="1211"/>
        <v>4.9790000000000001</v>
      </c>
      <c r="W338" s="772">
        <v>4.9790000000000001</v>
      </c>
      <c r="AE338" s="772">
        <f>'CapIQ - as disclosed'!G77/1000000</f>
        <v>0</v>
      </c>
      <c r="AF338" s="772">
        <f>'CapIQ - as disclosed'!H77/1000000</f>
        <v>0</v>
      </c>
      <c r="AG338" s="772">
        <f>'CapIQ - as disclosed'!I77/1000000</f>
        <v>0</v>
      </c>
      <c r="AH338" s="772">
        <f>'CapIQ - as disclosed'!J77/1000000</f>
        <v>0</v>
      </c>
      <c r="AI338" s="772">
        <f>'CapIQ - as disclosed'!K77/1000000</f>
        <v>0</v>
      </c>
      <c r="AJ338" s="772">
        <f>'CapIQ - as disclosed'!L77/1000000</f>
        <v>5.6799000000000002E-2</v>
      </c>
      <c r="AK338" s="772">
        <f>'CapIQ - as disclosed'!M77/1000000</f>
        <v>5.7393E-2</v>
      </c>
      <c r="AL338" s="772">
        <f>'CapIQ - as disclosed'!N77/1000000</f>
        <v>5.7393E-2</v>
      </c>
      <c r="AM338" s="772">
        <f>'CapIQ - as disclosed'!O77/1000000</f>
        <v>5.7393E-2</v>
      </c>
      <c r="AN338" s="772">
        <f>'CapIQ - as disclosed'!P77/1000000</f>
        <v>5.7393E-2</v>
      </c>
      <c r="AO338" s="772">
        <f>'CapIQ - as disclosed'!Q77/1000000</f>
        <v>5.7393E-2</v>
      </c>
      <c r="AP338" s="772">
        <f>'CapIQ - as disclosed'!R77/1000000</f>
        <v>5.7393E-2</v>
      </c>
      <c r="AQ338" s="772">
        <f>'CapIQ - as disclosed'!S77/1000000</f>
        <v>0.22967000000000001</v>
      </c>
      <c r="AR338" s="772">
        <v>1.52</v>
      </c>
      <c r="AS338" s="772">
        <v>2.8650000000000002</v>
      </c>
      <c r="AT338" s="772">
        <v>3.9420000000000002</v>
      </c>
      <c r="AU338" s="772">
        <v>4.4539999999999997</v>
      </c>
      <c r="AV338" s="772">
        <v>4.6639999999999997</v>
      </c>
      <c r="AW338" s="772">
        <f>+Canalyst!AI457</f>
        <v>4.9790000000000001</v>
      </c>
      <c r="AX338" s="772">
        <f>+Canalyst!AJ457</f>
        <v>4.9790000000000001</v>
      </c>
      <c r="AY338" s="772">
        <f>+Canalyst!AK457</f>
        <v>4.9790000000000001</v>
      </c>
      <c r="AZ338" s="772">
        <f>+Canalyst!AL457</f>
        <v>4.9790000000000001</v>
      </c>
      <c r="BA338" s="772">
        <f>+Canalyst!AM457</f>
        <v>4.9790000000000001</v>
      </c>
      <c r="BB338" s="772">
        <v>4.9790000000000001</v>
      </c>
      <c r="BC338" s="772">
        <v>4.9790000000000001</v>
      </c>
    </row>
    <row r="339" spans="1:55" x14ac:dyDescent="0.25">
      <c r="A339" s="760" t="s">
        <v>312</v>
      </c>
      <c r="C339" s="772">
        <f>('CapIQ - as disclosed'!Y78+'CapIQ - as disclosed'!Y82)/1000</f>
        <v>-4.0190000000000001</v>
      </c>
      <c r="D339" s="772">
        <f>('CapIQ - as disclosed'!Z78+'CapIQ - as disclosed'!Z82)/1000</f>
        <v>-3.9940000000000002</v>
      </c>
      <c r="E339" s="773">
        <f>('CapIQ - as disclosed'!AA78+'CapIQ - as disclosed'!AA82)/1000</f>
        <v>-3.53</v>
      </c>
      <c r="F339" s="772">
        <f t="shared" si="1280"/>
        <v>-3.5310000000000001</v>
      </c>
      <c r="G339" s="772">
        <v>-3.423</v>
      </c>
      <c r="H339" s="774">
        <f t="shared" si="1279"/>
        <v>-3.214</v>
      </c>
      <c r="I339" s="772">
        <v>-3.1040000000000001</v>
      </c>
      <c r="J339" s="774">
        <f>+Canalyst!F458</f>
        <v>0</v>
      </c>
      <c r="K339" s="772">
        <f>+Canalyst!G458</f>
        <v>0</v>
      </c>
      <c r="L339" s="774">
        <f>+Canalyst!H458</f>
        <v>0</v>
      </c>
      <c r="M339" s="772">
        <f>+Canalyst!I458</f>
        <v>0</v>
      </c>
      <c r="N339" s="774">
        <f>+Canalyst!J458</f>
        <v>0</v>
      </c>
      <c r="O339" s="772">
        <f>+Canalyst!K458</f>
        <v>0</v>
      </c>
      <c r="P339" s="774">
        <f>+Canalyst!L458</f>
        <v>0</v>
      </c>
      <c r="Q339" s="772">
        <f>+Canalyst!M458</f>
        <v>0</v>
      </c>
      <c r="R339" s="774">
        <f>+Canalyst!N458</f>
        <v>3.5619999999999998</v>
      </c>
      <c r="S339" s="772">
        <f>+Canalyst!O458</f>
        <v>3.4140000000000001</v>
      </c>
      <c r="T339" s="774">
        <f t="shared" si="1210"/>
        <v>2.5590000000000002</v>
      </c>
      <c r="U339" s="772">
        <f>3.36-0.122</f>
        <v>3.238</v>
      </c>
      <c r="V339" s="774">
        <f t="shared" si="1211"/>
        <v>2.4529999999999998</v>
      </c>
      <c r="W339" s="772">
        <f>2.857+1.342</f>
        <v>4.1989999999999998</v>
      </c>
      <c r="AE339" s="772">
        <f>('CapIQ - as disclosed'!G78/1000+SUM('CapIQ - as disclosed'!G80:G82)/1000)/1000</f>
        <v>3.5000000000000001E-3</v>
      </c>
      <c r="AF339" s="772">
        <f>('CapIQ - as disclosed'!H78/1000+SUM('CapIQ - as disclosed'!H80:H82)/1000)/1000</f>
        <v>3.5000000000000001E-3</v>
      </c>
      <c r="AG339" s="772">
        <f>('CapIQ - as disclosed'!I78/1000+SUM('CapIQ - as disclosed'!I80:I82)/1000)/1000</f>
        <v>1.16073</v>
      </c>
      <c r="AH339" s="772">
        <f>('CapIQ - as disclosed'!J78/1000+SUM('CapIQ - as disclosed'!J80:J82)/1000)/1000</f>
        <v>1.15723</v>
      </c>
      <c r="AI339" s="772">
        <f>('CapIQ - as disclosed'!K78/1000+SUM('CapIQ - as disclosed'!K80:K82)/1000)/1000</f>
        <v>0</v>
      </c>
      <c r="AJ339" s="772">
        <f>('CapIQ - as disclosed'!L78/1000+SUM('CapIQ - as disclosed'!L80:L82)/1000)/1000</f>
        <v>-2.4121060000000001</v>
      </c>
      <c r="AK339" s="772">
        <f>('CapIQ - as disclosed'!M78/1000+SUM('CapIQ - as disclosed'!M80:M82)/1000)/1000</f>
        <v>-2.4121060000000001</v>
      </c>
      <c r="AL339" s="772">
        <f>('CapIQ - as disclosed'!N78/1000+SUM('CapIQ - as disclosed'!N80:N82)/1000)/1000</f>
        <v>-2.4121060000000001</v>
      </c>
      <c r="AM339" s="772">
        <f>('CapIQ - as disclosed'!O78/1000+SUM('CapIQ - as disclosed'!O80:O82)/1000)/1000</f>
        <v>-3.1872750000000001</v>
      </c>
      <c r="AN339" s="772">
        <f>('CapIQ - as disclosed'!P78/1000+SUM('CapIQ - as disclosed'!P80:P82)/1000)/1000</f>
        <v>-3.186788</v>
      </c>
      <c r="AO339" s="772">
        <f>('CapIQ - as disclosed'!Q78/1000+SUM('CapIQ - as disclosed'!Q80:Q82)/1000)/1000</f>
        <v>-3.016235</v>
      </c>
      <c r="AP339" s="772">
        <f>('CapIQ - as disclosed'!R78/1000+SUM('CapIQ - as disclosed'!R80:R82)/1000)/1000</f>
        <v>-2.8398490000000001</v>
      </c>
      <c r="AQ339" s="772">
        <f>('CapIQ - as disclosed'!S78/1000+SUM('CapIQ - as disclosed'!S80:S82)/1000)/1000</f>
        <v>-2.6344259999999999</v>
      </c>
      <c r="AR339" s="772">
        <v>-1.4370000000000001</v>
      </c>
      <c r="AS339" s="772">
        <v>-1.4690000000000001</v>
      </c>
      <c r="AT339" s="772">
        <v>-3.9940000000000002</v>
      </c>
      <c r="AU339" s="772">
        <v>-3.5310000000000001</v>
      </c>
      <c r="AV339" s="772">
        <v>-3.214</v>
      </c>
      <c r="AW339" s="772">
        <f>+Canalyst!AI458</f>
        <v>0</v>
      </c>
      <c r="AX339" s="772">
        <f>+Canalyst!AJ458</f>
        <v>0</v>
      </c>
      <c r="AY339" s="772">
        <f>+Canalyst!AK458</f>
        <v>0</v>
      </c>
      <c r="AZ339" s="772">
        <f>+Canalyst!AL458</f>
        <v>0</v>
      </c>
      <c r="BA339" s="772">
        <f>+Canalyst!AM458</f>
        <v>3.5619999999999998</v>
      </c>
      <c r="BB339" s="772">
        <f>3.358-0.799</f>
        <v>2.5590000000000002</v>
      </c>
      <c r="BC339" s="772">
        <f>2.738-0.285</f>
        <v>2.4529999999999998</v>
      </c>
    </row>
    <row r="340" spans="1:55" ht="13" x14ac:dyDescent="0.25">
      <c r="A340" s="760" t="s">
        <v>313</v>
      </c>
      <c r="C340" s="780">
        <f>'CapIQ - as disclosed'!Y79/1000</f>
        <v>77.564999999999998</v>
      </c>
      <c r="D340" s="780">
        <f>'CapIQ - as disclosed'!Z79/1000</f>
        <v>95.77</v>
      </c>
      <c r="E340" s="781">
        <f>'CapIQ - as disclosed'!AA79/1000</f>
        <v>67.935000000000002</v>
      </c>
      <c r="F340" s="780">
        <f t="shared" si="1280"/>
        <v>86.341999999999999</v>
      </c>
      <c r="G340" s="780">
        <v>68.412000000000006</v>
      </c>
      <c r="H340" s="782">
        <f t="shared" si="1279"/>
        <v>86.869</v>
      </c>
      <c r="I340" s="780">
        <v>68.715000000000003</v>
      </c>
      <c r="J340" s="782">
        <f>+Canalyst!F459</f>
        <v>95.738</v>
      </c>
      <c r="K340" s="780">
        <f>+Canalyst!G459</f>
        <v>76.869</v>
      </c>
      <c r="L340" s="782">
        <f>+Canalyst!H459</f>
        <v>110.31399999999999</v>
      </c>
      <c r="M340" s="780">
        <f>+Canalyst!I459</f>
        <v>93.138999999999996</v>
      </c>
      <c r="N340" s="782">
        <f>+Canalyst!J459</f>
        <v>135.66800000000001</v>
      </c>
      <c r="O340" s="780">
        <f>+Canalyst!K459</f>
        <v>135.32599999999999</v>
      </c>
      <c r="P340" s="782">
        <f>+Canalyst!L459</f>
        <v>174.065</v>
      </c>
      <c r="Q340" s="780">
        <f>+Canalyst!M459</f>
        <v>158.04499999999999</v>
      </c>
      <c r="R340" s="782">
        <f>+Canalyst!N459</f>
        <v>202.459</v>
      </c>
      <c r="S340" s="780">
        <f>+Canalyst!O459</f>
        <v>195.202</v>
      </c>
      <c r="T340" s="782">
        <f t="shared" si="1210"/>
        <v>243.80699999999999</v>
      </c>
      <c r="U340" s="780">
        <v>237.28899999999999</v>
      </c>
      <c r="V340" s="782">
        <f t="shared" si="1211"/>
        <v>290.505</v>
      </c>
      <c r="W340" s="780">
        <v>271.63099999999997</v>
      </c>
      <c r="AE340" s="780">
        <f>'CapIQ - as disclosed'!G79/1000000</f>
        <v>0.73727900000000002</v>
      </c>
      <c r="AF340" s="780">
        <f>'CapIQ - as disclosed'!H79/1000000</f>
        <v>0.99973800000000002</v>
      </c>
      <c r="AG340" s="780">
        <f>'CapIQ - as disclosed'!I79/1000000</f>
        <v>1.354136</v>
      </c>
      <c r="AH340" s="780">
        <f>'CapIQ - as disclosed'!J79/1000000</f>
        <v>1.7875300000000001</v>
      </c>
      <c r="AI340" s="780">
        <f>'CapIQ - as disclosed'!K79/1000000</f>
        <v>4.623958</v>
      </c>
      <c r="AJ340" s="780">
        <f>'CapIQ - as disclosed'!L79/1000000</f>
        <v>5.4431099999999999</v>
      </c>
      <c r="AK340" s="780">
        <f>'CapIQ - as disclosed'!M79/1000000</f>
        <v>6.5947019999999998</v>
      </c>
      <c r="AL340" s="780">
        <f>'CapIQ - as disclosed'!N79/1000000</f>
        <v>8.9867480000000004</v>
      </c>
      <c r="AM340" s="780">
        <f>'CapIQ - as disclosed'!O79/1000000</f>
        <v>12.976862000000001</v>
      </c>
      <c r="AN340" s="780">
        <f>'CapIQ - as disclosed'!P79/1000000</f>
        <v>18.003281999999999</v>
      </c>
      <c r="AO340" s="780">
        <f>'CapIQ - as disclosed'!Q79/1000000</f>
        <v>16.064364999999999</v>
      </c>
      <c r="AP340" s="780">
        <f>'CapIQ - as disclosed'!R79/1000000</f>
        <v>27.754709999999999</v>
      </c>
      <c r="AQ340" s="780">
        <f>'CapIQ - as disclosed'!S79/1000000</f>
        <v>44.181812999999998</v>
      </c>
      <c r="AR340" s="780">
        <v>48.234999999999999</v>
      </c>
      <c r="AS340" s="780">
        <v>70.808000000000007</v>
      </c>
      <c r="AT340" s="780">
        <v>95.77</v>
      </c>
      <c r="AU340" s="780">
        <v>86.341999999999999</v>
      </c>
      <c r="AV340" s="780">
        <v>86.869</v>
      </c>
      <c r="AW340" s="780">
        <f>+Canalyst!AI459</f>
        <v>95.738</v>
      </c>
      <c r="AX340" s="780">
        <f>+Canalyst!AJ459</f>
        <v>110.31399999999999</v>
      </c>
      <c r="AY340" s="780">
        <f>+Canalyst!AK459</f>
        <v>135.66800000000001</v>
      </c>
      <c r="AZ340" s="780">
        <f>+Canalyst!AL459</f>
        <v>174.065</v>
      </c>
      <c r="BA340" s="780">
        <f>+Canalyst!AM459</f>
        <v>202.459</v>
      </c>
      <c r="BB340" s="780">
        <v>243.80699999999999</v>
      </c>
      <c r="BC340" s="780">
        <v>290.505</v>
      </c>
    </row>
    <row r="341" spans="1:55" s="763" customFormat="1" x14ac:dyDescent="0.25">
      <c r="A341" s="786" t="s">
        <v>221</v>
      </c>
      <c r="C341" s="787">
        <f>SUM(C337:C340)</f>
        <v>77.585999999999999</v>
      </c>
      <c r="D341" s="787">
        <f t="shared" ref="D341:F341" si="1281">SUM(D337:D340)</f>
        <v>95.816000000000003</v>
      </c>
      <c r="E341" s="788">
        <f t="shared" si="1281"/>
        <v>68.959000000000003</v>
      </c>
      <c r="F341" s="787">
        <f t="shared" si="1281"/>
        <v>87.364000000000004</v>
      </c>
      <c r="G341" s="787">
        <f t="shared" ref="G341:H341" si="1282">SUM(G337:G340)</f>
        <v>69.75200000000001</v>
      </c>
      <c r="H341" s="789">
        <f t="shared" si="1282"/>
        <v>88.418000000000006</v>
      </c>
      <c r="I341" s="787">
        <f t="shared" ref="I341:R341" si="1283">SUM(I337:I340)</f>
        <v>70.689000000000007</v>
      </c>
      <c r="J341" s="789">
        <f t="shared" si="1283"/>
        <v>100.816</v>
      </c>
      <c r="K341" s="787">
        <f t="shared" si="1283"/>
        <v>81.947000000000003</v>
      </c>
      <c r="L341" s="789">
        <f t="shared" si="1283"/>
        <v>115.392</v>
      </c>
      <c r="M341" s="787">
        <f t="shared" si="1283"/>
        <v>98.216999999999999</v>
      </c>
      <c r="N341" s="789">
        <f t="shared" si="1283"/>
        <v>140.74700000000001</v>
      </c>
      <c r="O341" s="787">
        <f t="shared" si="1283"/>
        <v>140.405</v>
      </c>
      <c r="P341" s="789">
        <f t="shared" si="1283"/>
        <v>179.14400000000001</v>
      </c>
      <c r="Q341" s="787">
        <f t="shared" si="1283"/>
        <v>163.124</v>
      </c>
      <c r="R341" s="789">
        <f t="shared" si="1283"/>
        <v>211.1</v>
      </c>
      <c r="S341" s="787">
        <f t="shared" ref="S341:U341" si="1284">SUM(S337:S340)</f>
        <v>203.69499999999999</v>
      </c>
      <c r="T341" s="789">
        <f t="shared" si="1210"/>
        <v>251.44499999999999</v>
      </c>
      <c r="U341" s="1405">
        <f t="shared" si="1284"/>
        <v>245.60599999999999</v>
      </c>
      <c r="V341" s="789">
        <f t="shared" si="1211"/>
        <v>298.03699999999998</v>
      </c>
      <c r="W341" s="1405">
        <f t="shared" ref="W341" si="1285">SUM(W337:W340)</f>
        <v>280.90899999999999</v>
      </c>
      <c r="AE341" s="787">
        <f t="shared" ref="AE341:AT341" si="1286">SUM(AE337:AE340)</f>
        <v>0.76265400000000005</v>
      </c>
      <c r="AF341" s="787">
        <f t="shared" si="1286"/>
        <v>1.0251129999999999</v>
      </c>
      <c r="AG341" s="787">
        <f t="shared" si="1286"/>
        <v>2.574071</v>
      </c>
      <c r="AH341" s="787">
        <f t="shared" si="1286"/>
        <v>3.003965</v>
      </c>
      <c r="AI341" s="787">
        <f t="shared" si="1286"/>
        <v>4.6831630000000004</v>
      </c>
      <c r="AJ341" s="787">
        <f t="shared" si="1286"/>
        <v>3.1488399999999999</v>
      </c>
      <c r="AK341" s="787">
        <f t="shared" si="1286"/>
        <v>4.3010389999999994</v>
      </c>
      <c r="AL341" s="787">
        <f t="shared" si="1286"/>
        <v>6.693085</v>
      </c>
      <c r="AM341" s="787">
        <f t="shared" si="1286"/>
        <v>9.9081660000000014</v>
      </c>
      <c r="AN341" s="787">
        <f t="shared" si="1286"/>
        <v>14.935130999999998</v>
      </c>
      <c r="AO341" s="787">
        <f t="shared" si="1286"/>
        <v>13.166832999999999</v>
      </c>
      <c r="AP341" s="787">
        <f t="shared" si="1286"/>
        <v>25.033563999999998</v>
      </c>
      <c r="AQ341" s="787">
        <f t="shared" si="1286"/>
        <v>41.839799999999997</v>
      </c>
      <c r="AR341" s="787">
        <f t="shared" si="1286"/>
        <v>48.383000000000003</v>
      </c>
      <c r="AS341" s="787">
        <f t="shared" si="1286"/>
        <v>72.299000000000007</v>
      </c>
      <c r="AT341" s="787">
        <f t="shared" si="1286"/>
        <v>95.816000000000003</v>
      </c>
      <c r="AU341" s="787">
        <f t="shared" ref="AU341:AZ341" si="1287">SUM(AU337:AU340)</f>
        <v>87.364000000000004</v>
      </c>
      <c r="AV341" s="787">
        <f t="shared" si="1287"/>
        <v>88.418000000000006</v>
      </c>
      <c r="AW341" s="787">
        <f t="shared" si="1287"/>
        <v>100.816</v>
      </c>
      <c r="AX341" s="787">
        <f t="shared" si="1287"/>
        <v>115.392</v>
      </c>
      <c r="AY341" s="787">
        <f t="shared" si="1287"/>
        <v>140.74700000000001</v>
      </c>
      <c r="AZ341" s="787">
        <f t="shared" si="1287"/>
        <v>179.14400000000001</v>
      </c>
      <c r="BA341" s="787">
        <f t="shared" ref="BA341:BB341" si="1288">SUM(BA337:BA340)</f>
        <v>211.1</v>
      </c>
      <c r="BB341" s="787">
        <f t="shared" si="1288"/>
        <v>251.44499999999999</v>
      </c>
      <c r="BC341" s="787">
        <f t="shared" ref="BC341" si="1289">SUM(BC337:BC340)</f>
        <v>298.03699999999998</v>
      </c>
    </row>
    <row r="342" spans="1:55" s="798" customFormat="1" ht="12" x14ac:dyDescent="0.3">
      <c r="C342" s="846" t="b">
        <f t="shared" ref="C342:L342" si="1290">C341=C334</f>
        <v>1</v>
      </c>
      <c r="D342" s="846" t="b">
        <f t="shared" si="1290"/>
        <v>1</v>
      </c>
      <c r="E342" s="847" t="b">
        <f t="shared" si="1290"/>
        <v>1</v>
      </c>
      <c r="F342" s="846" t="b">
        <f t="shared" si="1290"/>
        <v>1</v>
      </c>
      <c r="G342" s="846" t="b">
        <f t="shared" si="1290"/>
        <v>1</v>
      </c>
      <c r="H342" s="848" t="b">
        <f t="shared" si="1290"/>
        <v>1</v>
      </c>
      <c r="I342" s="846" t="b">
        <f t="shared" si="1290"/>
        <v>1</v>
      </c>
      <c r="J342" s="848" t="b">
        <f t="shared" si="1290"/>
        <v>1</v>
      </c>
      <c r="K342" s="846" t="b">
        <f t="shared" si="1290"/>
        <v>1</v>
      </c>
      <c r="L342" s="848" t="b">
        <f t="shared" si="1290"/>
        <v>1</v>
      </c>
      <c r="M342" s="846" t="b">
        <f>INT(M341)=INT(M334)</f>
        <v>1</v>
      </c>
      <c r="N342" s="848" t="b">
        <f t="shared" ref="N342:T342" si="1291">N341=N334</f>
        <v>1</v>
      </c>
      <c r="O342" s="846" t="b">
        <f t="shared" si="1291"/>
        <v>1</v>
      </c>
      <c r="P342" s="848" t="b">
        <f t="shared" si="1291"/>
        <v>1</v>
      </c>
      <c r="Q342" s="846" t="b">
        <f t="shared" si="1291"/>
        <v>1</v>
      </c>
      <c r="R342" s="848" t="b">
        <f t="shared" si="1291"/>
        <v>1</v>
      </c>
      <c r="S342" s="846" t="b">
        <f t="shared" si="1291"/>
        <v>1</v>
      </c>
      <c r="T342" s="848" t="b">
        <f t="shared" si="1291"/>
        <v>1</v>
      </c>
      <c r="U342" s="846" t="b">
        <f t="shared" ref="U342:V342" si="1292">U341=U334</f>
        <v>1</v>
      </c>
      <c r="V342" s="848" t="b">
        <f t="shared" si="1292"/>
        <v>1</v>
      </c>
      <c r="W342" s="846" t="b">
        <f t="shared" ref="W342" si="1293">W341=W334</f>
        <v>1</v>
      </c>
      <c r="X342" s="846"/>
      <c r="Y342" s="846"/>
      <c r="Z342" s="846"/>
      <c r="AA342" s="846"/>
      <c r="AB342" s="846"/>
      <c r="AC342" s="846"/>
      <c r="AD342" s="846"/>
      <c r="AE342" s="846" t="b">
        <f t="shared" ref="AE342:BA342" si="1294">AE341=AE334</f>
        <v>0</v>
      </c>
      <c r="AF342" s="846" t="b">
        <f t="shared" si="1294"/>
        <v>1</v>
      </c>
      <c r="AG342" s="846" t="b">
        <f t="shared" si="1294"/>
        <v>1</v>
      </c>
      <c r="AH342" s="846" t="b">
        <f t="shared" si="1294"/>
        <v>1</v>
      </c>
      <c r="AI342" s="846" t="b">
        <f t="shared" si="1294"/>
        <v>1</v>
      </c>
      <c r="AJ342" s="846" t="b">
        <f t="shared" si="1294"/>
        <v>1</v>
      </c>
      <c r="AK342" s="846" t="b">
        <f t="shared" si="1294"/>
        <v>1</v>
      </c>
      <c r="AL342" s="846" t="b">
        <f t="shared" si="1294"/>
        <v>1</v>
      </c>
      <c r="AM342" s="846" t="b">
        <f t="shared" si="1294"/>
        <v>1</v>
      </c>
      <c r="AN342" s="846" t="b">
        <f t="shared" si="1294"/>
        <v>1</v>
      </c>
      <c r="AO342" s="846" t="b">
        <f t="shared" si="1294"/>
        <v>1</v>
      </c>
      <c r="AP342" s="846" t="b">
        <f t="shared" si="1294"/>
        <v>1</v>
      </c>
      <c r="AQ342" s="846" t="b">
        <f t="shared" si="1294"/>
        <v>1</v>
      </c>
      <c r="AR342" s="846" t="b">
        <f t="shared" si="1294"/>
        <v>1</v>
      </c>
      <c r="AS342" s="846" t="b">
        <f t="shared" si="1294"/>
        <v>1</v>
      </c>
      <c r="AT342" s="846" t="b">
        <f t="shared" si="1294"/>
        <v>1</v>
      </c>
      <c r="AU342" s="846" t="b">
        <f t="shared" si="1294"/>
        <v>1</v>
      </c>
      <c r="AV342" s="846" t="b">
        <f t="shared" si="1294"/>
        <v>1</v>
      </c>
      <c r="AW342" s="846" t="b">
        <f t="shared" si="1294"/>
        <v>1</v>
      </c>
      <c r="AX342" s="846" t="b">
        <f t="shared" si="1294"/>
        <v>1</v>
      </c>
      <c r="AY342" s="846" t="b">
        <f t="shared" si="1294"/>
        <v>1</v>
      </c>
      <c r="AZ342" s="846" t="b">
        <f t="shared" si="1294"/>
        <v>1</v>
      </c>
      <c r="BA342" s="846" t="b">
        <f t="shared" si="1294"/>
        <v>1</v>
      </c>
      <c r="BB342" s="846" t="b">
        <f t="shared" ref="BB342:BC342" si="1295">BB341=BB334</f>
        <v>1</v>
      </c>
      <c r="BC342" s="846" t="b">
        <f t="shared" si="1295"/>
        <v>1</v>
      </c>
    </row>
    <row r="343" spans="1:55" x14ac:dyDescent="0.25">
      <c r="A343" s="1315" t="s">
        <v>314</v>
      </c>
      <c r="E343" s="790"/>
      <c r="H343" s="791"/>
      <c r="J343" s="791"/>
      <c r="L343" s="791"/>
      <c r="N343" s="791"/>
      <c r="P343" s="791"/>
      <c r="R343" s="791"/>
      <c r="T343" s="791"/>
      <c r="V343" s="791"/>
    </row>
    <row r="344" spans="1:55" x14ac:dyDescent="0.25">
      <c r="E344" s="790"/>
      <c r="H344" s="791"/>
      <c r="J344" s="791"/>
      <c r="L344" s="791"/>
      <c r="N344" s="791"/>
      <c r="P344" s="791"/>
      <c r="R344" s="791"/>
      <c r="T344" s="791"/>
      <c r="V344" s="791"/>
    </row>
    <row r="345" spans="1:55" x14ac:dyDescent="0.25">
      <c r="A345" s="1316" t="s">
        <v>315</v>
      </c>
      <c r="E345" s="790"/>
      <c r="H345" s="791"/>
      <c r="J345" s="791"/>
      <c r="L345" s="791"/>
      <c r="N345" s="791"/>
      <c r="P345" s="791"/>
      <c r="R345" s="791"/>
      <c r="T345" s="791"/>
      <c r="V345" s="791"/>
    </row>
    <row r="346" spans="1:55" x14ac:dyDescent="0.25">
      <c r="A346" s="760" t="s">
        <v>316</v>
      </c>
      <c r="C346" s="772">
        <f>+C310</f>
        <v>112.038</v>
      </c>
      <c r="D346" s="772">
        <f t="shared" ref="D346:BA346" si="1296">+D310</f>
        <v>121.952</v>
      </c>
      <c r="E346" s="773">
        <f t="shared" si="1296"/>
        <v>113.473</v>
      </c>
      <c r="F346" s="772">
        <f t="shared" si="1296"/>
        <v>132.78700000000001</v>
      </c>
      <c r="G346" s="772">
        <f t="shared" si="1296"/>
        <v>151.673</v>
      </c>
      <c r="H346" s="774">
        <f t="shared" si="1296"/>
        <v>173.506</v>
      </c>
      <c r="I346" s="772">
        <f t="shared" si="1296"/>
        <v>189.62299999999999</v>
      </c>
      <c r="J346" s="774">
        <f t="shared" si="1296"/>
        <v>205.95699999999999</v>
      </c>
      <c r="K346" s="772">
        <f t="shared" si="1296"/>
        <v>240.80500000000001</v>
      </c>
      <c r="L346" s="774">
        <f t="shared" si="1296"/>
        <v>285.30700000000002</v>
      </c>
      <c r="M346" s="772">
        <f t="shared" si="1296"/>
        <v>284.166</v>
      </c>
      <c r="N346" s="774">
        <f t="shared" si="1296"/>
        <v>314.12299999999999</v>
      </c>
      <c r="O346" s="772">
        <f t="shared" si="1296"/>
        <v>284.14299999999997</v>
      </c>
      <c r="P346" s="774">
        <f t="shared" si="1296"/>
        <v>329.666</v>
      </c>
      <c r="Q346" s="772">
        <f t="shared" si="1296"/>
        <v>405.18900000000002</v>
      </c>
      <c r="R346" s="774">
        <f t="shared" si="1296"/>
        <v>541.42399999999998</v>
      </c>
      <c r="S346" s="772">
        <f t="shared" si="1296"/>
        <v>545.50099999999998</v>
      </c>
      <c r="T346" s="774">
        <f t="shared" ref="T346:U346" si="1297">+T310</f>
        <v>490.041</v>
      </c>
      <c r="U346" s="772">
        <f t="shared" si="1297"/>
        <v>496.822</v>
      </c>
      <c r="V346" s="774">
        <f t="shared" ref="V346:W346" si="1298">+V310</f>
        <v>585.30200000000002</v>
      </c>
      <c r="W346" s="772">
        <f t="shared" si="1298"/>
        <v>609.50800000000004</v>
      </c>
      <c r="Y346" s="760">
        <f t="shared" si="1296"/>
        <v>0</v>
      </c>
      <c r="Z346" s="760">
        <f t="shared" si="1296"/>
        <v>0</v>
      </c>
      <c r="AD346" s="760">
        <f t="shared" si="1296"/>
        <v>0</v>
      </c>
      <c r="AE346" s="772">
        <f t="shared" si="1296"/>
        <v>5.7787660000000001</v>
      </c>
      <c r="AF346" s="772">
        <f t="shared" si="1296"/>
        <v>7.028905</v>
      </c>
      <c r="AG346" s="772">
        <f t="shared" si="1296"/>
        <v>16.722294999999999</v>
      </c>
      <c r="AH346" s="772">
        <f t="shared" si="1296"/>
        <v>10.161258999999999</v>
      </c>
      <c r="AI346" s="772">
        <f t="shared" si="1296"/>
        <v>13.687734000000001</v>
      </c>
      <c r="AJ346" s="772">
        <f t="shared" si="1296"/>
        <v>13.646055</v>
      </c>
      <c r="AK346" s="772">
        <f t="shared" si="1296"/>
        <v>15.766052</v>
      </c>
      <c r="AL346" s="772">
        <f t="shared" si="1296"/>
        <v>19.372043000000001</v>
      </c>
      <c r="AM346" s="772">
        <f t="shared" si="1296"/>
        <v>19.731705000000002</v>
      </c>
      <c r="AN346" s="772">
        <f t="shared" si="1296"/>
        <v>20.752227999999999</v>
      </c>
      <c r="AO346" s="772">
        <f t="shared" si="1296"/>
        <v>30.100736000000001</v>
      </c>
      <c r="AP346" s="772">
        <f t="shared" si="1296"/>
        <v>49.007102000000003</v>
      </c>
      <c r="AQ346" s="772">
        <f t="shared" si="1296"/>
        <v>71.902552</v>
      </c>
      <c r="AR346" s="772">
        <f t="shared" si="1296"/>
        <v>86.662000000000006</v>
      </c>
      <c r="AS346" s="772">
        <f t="shared" si="1296"/>
        <v>100.19499999999999</v>
      </c>
      <c r="AT346" s="772">
        <f t="shared" si="1296"/>
        <v>121.952</v>
      </c>
      <c r="AU346" s="772">
        <f t="shared" si="1296"/>
        <v>132.78700000000001</v>
      </c>
      <c r="AV346" s="772">
        <f t="shared" si="1296"/>
        <v>173.506</v>
      </c>
      <c r="AW346" s="772">
        <f t="shared" si="1296"/>
        <v>205.95699999999999</v>
      </c>
      <c r="AX346" s="772">
        <f t="shared" si="1296"/>
        <v>285.30700000000002</v>
      </c>
      <c r="AY346" s="772">
        <f t="shared" si="1296"/>
        <v>314.12299999999999</v>
      </c>
      <c r="AZ346" s="772">
        <f t="shared" si="1296"/>
        <v>329.666</v>
      </c>
      <c r="BA346" s="772">
        <f t="shared" si="1296"/>
        <v>541.42399999999998</v>
      </c>
      <c r="BB346" s="772">
        <f t="shared" ref="BB346:BC346" si="1299">+BB310</f>
        <v>490.041</v>
      </c>
      <c r="BC346" s="772">
        <f t="shared" si="1299"/>
        <v>585.30200000000002</v>
      </c>
    </row>
    <row r="347" spans="1:55" ht="13" x14ac:dyDescent="0.25">
      <c r="A347" s="760" t="s">
        <v>317</v>
      </c>
      <c r="C347" s="780">
        <f>+C309</f>
        <v>2.238</v>
      </c>
      <c r="D347" s="780">
        <f t="shared" ref="D347:BA347" si="1300">+D309</f>
        <v>2.6520000000000001</v>
      </c>
      <c r="E347" s="781">
        <f t="shared" si="1300"/>
        <v>3.9220000000000002</v>
      </c>
      <c r="F347" s="780">
        <f t="shared" si="1300"/>
        <v>4.6109999999999998</v>
      </c>
      <c r="G347" s="780">
        <f t="shared" si="1300"/>
        <v>5.6219999999999999</v>
      </c>
      <c r="H347" s="782">
        <f t="shared" si="1300"/>
        <v>6.9749999999999996</v>
      </c>
      <c r="I347" s="780">
        <f t="shared" si="1300"/>
        <v>12.704000000000001</v>
      </c>
      <c r="J347" s="782">
        <f t="shared" si="1300"/>
        <v>8.6310000000000002</v>
      </c>
      <c r="K347" s="780">
        <f t="shared" si="1300"/>
        <v>35.000999999999998</v>
      </c>
      <c r="L347" s="782">
        <f t="shared" si="1300"/>
        <v>11.084</v>
      </c>
      <c r="M347" s="780">
        <f t="shared" si="1300"/>
        <v>16.381</v>
      </c>
      <c r="N347" s="782">
        <f t="shared" si="1300"/>
        <v>11.744</v>
      </c>
      <c r="O347" s="780">
        <f t="shared" si="1300"/>
        <v>13.583</v>
      </c>
      <c r="P347" s="782">
        <f t="shared" si="1300"/>
        <v>38.411000000000001</v>
      </c>
      <c r="Q347" s="780">
        <f t="shared" si="1300"/>
        <v>44.366999999999997</v>
      </c>
      <c r="R347" s="782">
        <f t="shared" si="1300"/>
        <v>5.1040000000000001</v>
      </c>
      <c r="S347" s="780">
        <f t="shared" si="1300"/>
        <v>7.157</v>
      </c>
      <c r="T347" s="782">
        <f t="shared" ref="T347:U347" si="1301">+T309</f>
        <v>3.5910000000000002</v>
      </c>
      <c r="U347" s="780">
        <f t="shared" si="1301"/>
        <v>3.992</v>
      </c>
      <c r="V347" s="782">
        <f t="shared" ref="V347:W347" si="1302">+V309</f>
        <v>2.9159999999999999</v>
      </c>
      <c r="W347" s="780">
        <f t="shared" si="1302"/>
        <v>21.335000000000001</v>
      </c>
      <c r="Y347" s="760">
        <f t="shared" si="1300"/>
        <v>0</v>
      </c>
      <c r="Z347" s="760">
        <f t="shared" si="1300"/>
        <v>0</v>
      </c>
      <c r="AD347" s="760">
        <f t="shared" si="1300"/>
        <v>0</v>
      </c>
      <c r="AE347" s="780">
        <f t="shared" si="1300"/>
        <v>0.17154</v>
      </c>
      <c r="AF347" s="780">
        <f t="shared" si="1300"/>
        <v>0.33513799999999999</v>
      </c>
      <c r="AG347" s="780">
        <f t="shared" si="1300"/>
        <v>1.279763</v>
      </c>
      <c r="AH347" s="780">
        <f t="shared" si="1300"/>
        <v>0.28871599999999997</v>
      </c>
      <c r="AI347" s="780">
        <f t="shared" si="1300"/>
        <v>0.24516399999999999</v>
      </c>
      <c r="AJ347" s="780">
        <f t="shared" si="1300"/>
        <v>0.25069599999999997</v>
      </c>
      <c r="AK347" s="780">
        <f t="shared" si="1300"/>
        <v>0.17116600000000001</v>
      </c>
      <c r="AL347" s="780">
        <f t="shared" si="1300"/>
        <v>0.403391</v>
      </c>
      <c r="AM347" s="780">
        <f t="shared" si="1300"/>
        <v>0.40257500000000002</v>
      </c>
      <c r="AN347" s="780">
        <f t="shared" si="1300"/>
        <v>0.26390200000000003</v>
      </c>
      <c r="AO347" s="780">
        <f t="shared" si="1300"/>
        <v>0.83121500000000004</v>
      </c>
      <c r="AP347" s="780">
        <f t="shared" si="1300"/>
        <v>1.0403690000000001</v>
      </c>
      <c r="AQ347" s="780">
        <f t="shared" si="1300"/>
        <v>2.0073970000000001</v>
      </c>
      <c r="AR347" s="780">
        <f t="shared" si="1300"/>
        <v>4.2789999999999999</v>
      </c>
      <c r="AS347" s="780">
        <f t="shared" si="1300"/>
        <v>4.4809999999999999</v>
      </c>
      <c r="AT347" s="780">
        <f t="shared" si="1300"/>
        <v>2.6520000000000001</v>
      </c>
      <c r="AU347" s="780">
        <f t="shared" si="1300"/>
        <v>4.6109999999999998</v>
      </c>
      <c r="AV347" s="780">
        <f t="shared" si="1300"/>
        <v>6.9749999999999996</v>
      </c>
      <c r="AW347" s="780">
        <f t="shared" si="1300"/>
        <v>8.6310000000000002</v>
      </c>
      <c r="AX347" s="780">
        <f t="shared" si="1300"/>
        <v>11.084</v>
      </c>
      <c r="AY347" s="780">
        <f t="shared" si="1300"/>
        <v>11.744</v>
      </c>
      <c r="AZ347" s="780">
        <f t="shared" si="1300"/>
        <v>38.411000000000001</v>
      </c>
      <c r="BA347" s="780">
        <f t="shared" si="1300"/>
        <v>5.1040000000000001</v>
      </c>
      <c r="BB347" s="780">
        <f t="shared" ref="BB347:BC347" si="1303">+BB309</f>
        <v>3.5910000000000002</v>
      </c>
      <c r="BC347" s="780">
        <f t="shared" si="1303"/>
        <v>2.9159999999999999</v>
      </c>
    </row>
    <row r="348" spans="1:55" s="763" customFormat="1" x14ac:dyDescent="0.25">
      <c r="A348" s="786" t="s">
        <v>318</v>
      </c>
      <c r="C348" s="787">
        <f>+SUM(C346:C347)</f>
        <v>114.276</v>
      </c>
      <c r="D348" s="789">
        <f t="shared" ref="D348:BA348" si="1304">+SUM(D346:D347)</f>
        <v>124.604</v>
      </c>
      <c r="E348" s="787">
        <f t="shared" si="1304"/>
        <v>117.395</v>
      </c>
      <c r="F348" s="787">
        <f t="shared" si="1304"/>
        <v>137.398</v>
      </c>
      <c r="G348" s="787">
        <f t="shared" si="1304"/>
        <v>157.29500000000002</v>
      </c>
      <c r="H348" s="789">
        <f t="shared" si="1304"/>
        <v>180.48099999999999</v>
      </c>
      <c r="I348" s="787">
        <f t="shared" si="1304"/>
        <v>202.327</v>
      </c>
      <c r="J348" s="789">
        <f t="shared" si="1304"/>
        <v>214.58799999999999</v>
      </c>
      <c r="K348" s="787">
        <f t="shared" si="1304"/>
        <v>275.80599999999998</v>
      </c>
      <c r="L348" s="789">
        <f t="shared" si="1304"/>
        <v>296.39100000000002</v>
      </c>
      <c r="M348" s="787">
        <f t="shared" si="1304"/>
        <v>300.54700000000003</v>
      </c>
      <c r="N348" s="789">
        <f t="shared" si="1304"/>
        <v>325.86699999999996</v>
      </c>
      <c r="O348" s="787">
        <f t="shared" si="1304"/>
        <v>297.726</v>
      </c>
      <c r="P348" s="789">
        <f t="shared" si="1304"/>
        <v>368.077</v>
      </c>
      <c r="Q348" s="787">
        <f t="shared" si="1304"/>
        <v>449.55600000000004</v>
      </c>
      <c r="R348" s="789">
        <f t="shared" si="1304"/>
        <v>546.52800000000002</v>
      </c>
      <c r="S348" s="787">
        <f t="shared" si="1304"/>
        <v>552.65800000000002</v>
      </c>
      <c r="T348" s="789">
        <f t="shared" ref="T348" si="1305">+SUM(T346:T347)</f>
        <v>493.63200000000001</v>
      </c>
      <c r="U348" s="787">
        <f t="shared" ref="U348:V348" si="1306">+SUM(U346:U347)</f>
        <v>500.81400000000002</v>
      </c>
      <c r="V348" s="789">
        <f t="shared" si="1306"/>
        <v>588.21800000000007</v>
      </c>
      <c r="W348" s="787">
        <f t="shared" ref="W348" si="1307">+SUM(W346:W347)</f>
        <v>630.84300000000007</v>
      </c>
      <c r="Y348" s="763">
        <f t="shared" si="1304"/>
        <v>0</v>
      </c>
      <c r="Z348" s="763">
        <f t="shared" si="1304"/>
        <v>0</v>
      </c>
      <c r="AD348" s="763">
        <f t="shared" si="1304"/>
        <v>0</v>
      </c>
      <c r="AE348" s="787">
        <f t="shared" si="1304"/>
        <v>5.9503060000000003</v>
      </c>
      <c r="AF348" s="787">
        <f t="shared" si="1304"/>
        <v>7.3640429999999997</v>
      </c>
      <c r="AG348" s="787">
        <f t="shared" si="1304"/>
        <v>18.002057999999998</v>
      </c>
      <c r="AH348" s="787">
        <f t="shared" si="1304"/>
        <v>10.449974999999998</v>
      </c>
      <c r="AI348" s="787">
        <f t="shared" si="1304"/>
        <v>13.932898000000002</v>
      </c>
      <c r="AJ348" s="787">
        <f t="shared" si="1304"/>
        <v>13.896751</v>
      </c>
      <c r="AK348" s="787">
        <f t="shared" si="1304"/>
        <v>15.937218</v>
      </c>
      <c r="AL348" s="787">
        <f t="shared" si="1304"/>
        <v>19.775434000000001</v>
      </c>
      <c r="AM348" s="787">
        <f t="shared" si="1304"/>
        <v>20.13428</v>
      </c>
      <c r="AN348" s="787">
        <f t="shared" si="1304"/>
        <v>21.01613</v>
      </c>
      <c r="AO348" s="787">
        <f t="shared" si="1304"/>
        <v>30.931951000000002</v>
      </c>
      <c r="AP348" s="787">
        <f t="shared" si="1304"/>
        <v>50.047471000000002</v>
      </c>
      <c r="AQ348" s="787">
        <f t="shared" si="1304"/>
        <v>73.909948999999997</v>
      </c>
      <c r="AR348" s="787">
        <f t="shared" si="1304"/>
        <v>90.941000000000003</v>
      </c>
      <c r="AS348" s="787">
        <f t="shared" si="1304"/>
        <v>104.67599999999999</v>
      </c>
      <c r="AT348" s="787">
        <f t="shared" si="1304"/>
        <v>124.604</v>
      </c>
      <c r="AU348" s="787">
        <f t="shared" si="1304"/>
        <v>137.398</v>
      </c>
      <c r="AV348" s="787">
        <f t="shared" si="1304"/>
        <v>180.48099999999999</v>
      </c>
      <c r="AW348" s="787">
        <f t="shared" si="1304"/>
        <v>214.58799999999999</v>
      </c>
      <c r="AX348" s="787">
        <f t="shared" si="1304"/>
        <v>296.39100000000002</v>
      </c>
      <c r="AY348" s="787">
        <f t="shared" si="1304"/>
        <v>325.86699999999996</v>
      </c>
      <c r="AZ348" s="787">
        <f t="shared" si="1304"/>
        <v>368.077</v>
      </c>
      <c r="BA348" s="787">
        <f t="shared" si="1304"/>
        <v>546.52800000000002</v>
      </c>
      <c r="BB348" s="787">
        <f t="shared" ref="BB348:BC348" si="1308">+SUM(BB346:BB347)</f>
        <v>493.63200000000001</v>
      </c>
      <c r="BC348" s="787">
        <f t="shared" si="1308"/>
        <v>588.21800000000007</v>
      </c>
    </row>
    <row r="349" spans="1:55" x14ac:dyDescent="0.25">
      <c r="D349" s="791"/>
      <c r="H349" s="791"/>
      <c r="J349" s="791"/>
      <c r="L349" s="791"/>
      <c r="N349" s="791"/>
      <c r="P349" s="791"/>
      <c r="R349" s="791"/>
      <c r="T349" s="791"/>
      <c r="V349" s="791"/>
    </row>
    <row r="350" spans="1:55" x14ac:dyDescent="0.25">
      <c r="A350" s="1316" t="s">
        <v>319</v>
      </c>
      <c r="D350" s="791"/>
      <c r="H350" s="791"/>
      <c r="J350" s="791"/>
      <c r="L350" s="791"/>
      <c r="N350" s="791"/>
      <c r="P350" s="791"/>
      <c r="R350" s="791"/>
      <c r="T350" s="791"/>
      <c r="V350" s="791"/>
    </row>
    <row r="351" spans="1:55" ht="13" x14ac:dyDescent="0.25">
      <c r="A351" s="760" t="s">
        <v>320</v>
      </c>
      <c r="C351" s="780">
        <f>+C317+C318</f>
        <v>79.543000000000006</v>
      </c>
      <c r="D351" s="782">
        <f t="shared" ref="D351:BA351" si="1309">+D317+D318</f>
        <v>108.053</v>
      </c>
      <c r="E351" s="780">
        <f t="shared" si="1309"/>
        <v>108.77800000000001</v>
      </c>
      <c r="F351" s="780">
        <f t="shared" si="1309"/>
        <v>115.527</v>
      </c>
      <c r="G351" s="780">
        <f t="shared" si="1309"/>
        <v>137.583</v>
      </c>
      <c r="H351" s="782">
        <f t="shared" si="1309"/>
        <v>155.17400000000001</v>
      </c>
      <c r="I351" s="780">
        <f t="shared" si="1309"/>
        <v>176.51300000000001</v>
      </c>
      <c r="J351" s="782">
        <f t="shared" si="1309"/>
        <v>185.26400000000001</v>
      </c>
      <c r="K351" s="780">
        <f t="shared" si="1309"/>
        <v>247.506</v>
      </c>
      <c r="L351" s="782">
        <f t="shared" si="1309"/>
        <v>259.63299999999998</v>
      </c>
      <c r="M351" s="780">
        <f t="shared" si="1309"/>
        <v>262.54700000000003</v>
      </c>
      <c r="N351" s="782">
        <f t="shared" si="1309"/>
        <v>277.79499999999996</v>
      </c>
      <c r="O351" s="780">
        <f t="shared" si="1309"/>
        <v>241.85700000000003</v>
      </c>
      <c r="P351" s="782">
        <f t="shared" si="1309"/>
        <v>306.28700000000003</v>
      </c>
      <c r="Q351" s="780">
        <f t="shared" si="1309"/>
        <v>377.82599999999996</v>
      </c>
      <c r="R351" s="782">
        <f t="shared" si="1309"/>
        <v>450.67200000000003</v>
      </c>
      <c r="S351" s="780">
        <f t="shared" si="1309"/>
        <v>465.14099999999996</v>
      </c>
      <c r="T351" s="782">
        <f t="shared" ref="T351:U351" si="1310">+T317+T318</f>
        <v>383.47800000000001</v>
      </c>
      <c r="U351" s="780">
        <f t="shared" si="1310"/>
        <v>385.54900000000004</v>
      </c>
      <c r="V351" s="782">
        <f t="shared" ref="V351:W351" si="1311">+V317+V318</f>
        <v>462.06200000000001</v>
      </c>
      <c r="W351" s="780">
        <f t="shared" si="1311"/>
        <v>510.14</v>
      </c>
      <c r="Y351" s="760">
        <f t="shared" si="1309"/>
        <v>0</v>
      </c>
      <c r="Z351" s="760">
        <f t="shared" si="1309"/>
        <v>0</v>
      </c>
      <c r="AD351" s="760">
        <f t="shared" si="1309"/>
        <v>0</v>
      </c>
      <c r="AE351" s="780">
        <f t="shared" si="1309"/>
        <v>0</v>
      </c>
      <c r="AF351" s="780">
        <f t="shared" si="1309"/>
        <v>0</v>
      </c>
      <c r="AG351" s="780">
        <f t="shared" si="1309"/>
        <v>0</v>
      </c>
      <c r="AH351" s="780">
        <f t="shared" si="1309"/>
        <v>0</v>
      </c>
      <c r="AI351" s="780">
        <f t="shared" si="1309"/>
        <v>0</v>
      </c>
      <c r="AJ351" s="780">
        <f t="shared" si="1309"/>
        <v>0</v>
      </c>
      <c r="AK351" s="780">
        <f t="shared" si="1309"/>
        <v>0</v>
      </c>
      <c r="AL351" s="780">
        <f t="shared" si="1309"/>
        <v>0</v>
      </c>
      <c r="AM351" s="780">
        <f t="shared" si="1309"/>
        <v>0</v>
      </c>
      <c r="AN351" s="780">
        <f t="shared" si="1309"/>
        <v>0</v>
      </c>
      <c r="AO351" s="780">
        <f t="shared" si="1309"/>
        <v>0</v>
      </c>
      <c r="AP351" s="780">
        <f t="shared" si="1309"/>
        <v>0</v>
      </c>
      <c r="AQ351" s="780">
        <f t="shared" si="1309"/>
        <v>43.456125999999998</v>
      </c>
      <c r="AR351" s="780">
        <f t="shared" si="1309"/>
        <v>53.137999999999998</v>
      </c>
      <c r="AS351" s="780">
        <f t="shared" si="1309"/>
        <v>74.503</v>
      </c>
      <c r="AT351" s="780">
        <f t="shared" si="1309"/>
        <v>108.053</v>
      </c>
      <c r="AU351" s="780">
        <f t="shared" si="1309"/>
        <v>115.527</v>
      </c>
      <c r="AV351" s="780">
        <f t="shared" si="1309"/>
        <v>155.17400000000001</v>
      </c>
      <c r="AW351" s="780">
        <f t="shared" si="1309"/>
        <v>185.26400000000001</v>
      </c>
      <c r="AX351" s="780">
        <f t="shared" si="1309"/>
        <v>259.63299999999998</v>
      </c>
      <c r="AY351" s="780">
        <f t="shared" si="1309"/>
        <v>277.79499999999996</v>
      </c>
      <c r="AZ351" s="780">
        <f t="shared" si="1309"/>
        <v>306.28700000000003</v>
      </c>
      <c r="BA351" s="780">
        <f t="shared" si="1309"/>
        <v>450.67200000000003</v>
      </c>
      <c r="BB351" s="780">
        <f t="shared" ref="BB351:BC351" si="1312">+BB317+BB318</f>
        <v>383.47800000000001</v>
      </c>
      <c r="BC351" s="780">
        <f t="shared" si="1312"/>
        <v>462.06200000000001</v>
      </c>
    </row>
    <row r="352" spans="1:55" s="763" customFormat="1" x14ac:dyDescent="0.25">
      <c r="A352" s="786" t="s">
        <v>321</v>
      </c>
      <c r="C352" s="787">
        <f>+C351</f>
        <v>79.543000000000006</v>
      </c>
      <c r="D352" s="789">
        <f t="shared" ref="D352:BA352" si="1313">+D351</f>
        <v>108.053</v>
      </c>
      <c r="E352" s="787">
        <f t="shared" si="1313"/>
        <v>108.77800000000001</v>
      </c>
      <c r="F352" s="787">
        <f t="shared" si="1313"/>
        <v>115.527</v>
      </c>
      <c r="G352" s="787">
        <f t="shared" si="1313"/>
        <v>137.583</v>
      </c>
      <c r="H352" s="789">
        <f t="shared" si="1313"/>
        <v>155.17400000000001</v>
      </c>
      <c r="I352" s="787">
        <f t="shared" si="1313"/>
        <v>176.51300000000001</v>
      </c>
      <c r="J352" s="789">
        <f t="shared" si="1313"/>
        <v>185.26400000000001</v>
      </c>
      <c r="K352" s="787">
        <f t="shared" si="1313"/>
        <v>247.506</v>
      </c>
      <c r="L352" s="789">
        <f t="shared" si="1313"/>
        <v>259.63299999999998</v>
      </c>
      <c r="M352" s="787">
        <f t="shared" si="1313"/>
        <v>262.54700000000003</v>
      </c>
      <c r="N352" s="789">
        <f t="shared" si="1313"/>
        <v>277.79499999999996</v>
      </c>
      <c r="O352" s="787">
        <f t="shared" si="1313"/>
        <v>241.85700000000003</v>
      </c>
      <c r="P352" s="789">
        <f t="shared" si="1313"/>
        <v>306.28700000000003</v>
      </c>
      <c r="Q352" s="787">
        <f t="shared" si="1313"/>
        <v>377.82599999999996</v>
      </c>
      <c r="R352" s="789">
        <f t="shared" si="1313"/>
        <v>450.67200000000003</v>
      </c>
      <c r="S352" s="787">
        <f t="shared" si="1313"/>
        <v>465.14099999999996</v>
      </c>
      <c r="T352" s="789">
        <f t="shared" ref="T352:U352" si="1314">+T351</f>
        <v>383.47800000000001</v>
      </c>
      <c r="U352" s="787">
        <f t="shared" si="1314"/>
        <v>385.54900000000004</v>
      </c>
      <c r="V352" s="789">
        <f t="shared" ref="V352:W352" si="1315">+V351</f>
        <v>462.06200000000001</v>
      </c>
      <c r="W352" s="787">
        <f t="shared" si="1315"/>
        <v>510.14</v>
      </c>
      <c r="Y352" s="763">
        <f t="shared" si="1313"/>
        <v>0</v>
      </c>
      <c r="Z352" s="763">
        <f t="shared" si="1313"/>
        <v>0</v>
      </c>
      <c r="AD352" s="763">
        <f t="shared" si="1313"/>
        <v>0</v>
      </c>
      <c r="AE352" s="787">
        <f t="shared" si="1313"/>
        <v>0</v>
      </c>
      <c r="AF352" s="787">
        <f t="shared" si="1313"/>
        <v>0</v>
      </c>
      <c r="AG352" s="787">
        <f t="shared" si="1313"/>
        <v>0</v>
      </c>
      <c r="AH352" s="787">
        <f t="shared" si="1313"/>
        <v>0</v>
      </c>
      <c r="AI352" s="787">
        <f t="shared" si="1313"/>
        <v>0</v>
      </c>
      <c r="AJ352" s="787">
        <f t="shared" si="1313"/>
        <v>0</v>
      </c>
      <c r="AK352" s="787">
        <f t="shared" si="1313"/>
        <v>0</v>
      </c>
      <c r="AL352" s="787">
        <f t="shared" si="1313"/>
        <v>0</v>
      </c>
      <c r="AM352" s="787">
        <f t="shared" si="1313"/>
        <v>0</v>
      </c>
      <c r="AN352" s="787">
        <f t="shared" si="1313"/>
        <v>0</v>
      </c>
      <c r="AO352" s="787">
        <f t="shared" si="1313"/>
        <v>0</v>
      </c>
      <c r="AP352" s="787">
        <f t="shared" si="1313"/>
        <v>0</v>
      </c>
      <c r="AQ352" s="787">
        <f t="shared" si="1313"/>
        <v>43.456125999999998</v>
      </c>
      <c r="AR352" s="787">
        <f t="shared" si="1313"/>
        <v>53.137999999999998</v>
      </c>
      <c r="AS352" s="787">
        <f t="shared" si="1313"/>
        <v>74.503</v>
      </c>
      <c r="AT352" s="787">
        <f t="shared" si="1313"/>
        <v>108.053</v>
      </c>
      <c r="AU352" s="787">
        <f t="shared" si="1313"/>
        <v>115.527</v>
      </c>
      <c r="AV352" s="787">
        <f t="shared" si="1313"/>
        <v>155.17400000000001</v>
      </c>
      <c r="AW352" s="787">
        <f t="shared" si="1313"/>
        <v>185.26400000000001</v>
      </c>
      <c r="AX352" s="787">
        <f t="shared" si="1313"/>
        <v>259.63299999999998</v>
      </c>
      <c r="AY352" s="787">
        <f t="shared" si="1313"/>
        <v>277.79499999999996</v>
      </c>
      <c r="AZ352" s="787">
        <f t="shared" si="1313"/>
        <v>306.28700000000003</v>
      </c>
      <c r="BA352" s="787">
        <f t="shared" si="1313"/>
        <v>450.67200000000003</v>
      </c>
      <c r="BB352" s="787">
        <f t="shared" ref="BB352:BC352" si="1316">+BB351</f>
        <v>383.47800000000001</v>
      </c>
      <c r="BC352" s="787">
        <f t="shared" si="1316"/>
        <v>462.06200000000001</v>
      </c>
    </row>
    <row r="353" spans="1:55" x14ac:dyDescent="0.25">
      <c r="D353" s="791"/>
      <c r="H353" s="791"/>
      <c r="J353" s="791"/>
      <c r="L353" s="791"/>
      <c r="N353" s="791"/>
      <c r="P353" s="791"/>
      <c r="R353" s="791"/>
      <c r="T353" s="791"/>
      <c r="V353" s="791"/>
    </row>
    <row r="354" spans="1:55" s="763" customFormat="1" x14ac:dyDescent="0.25">
      <c r="A354" s="1318" t="s">
        <v>322</v>
      </c>
      <c r="C354" s="1322">
        <f>+C348-C352</f>
        <v>34.73299999999999</v>
      </c>
      <c r="D354" s="1327">
        <f t="shared" ref="D354:BA354" si="1317">+D348-D352</f>
        <v>16.551000000000002</v>
      </c>
      <c r="E354" s="1322">
        <f t="shared" si="1317"/>
        <v>8.6169999999999902</v>
      </c>
      <c r="F354" s="1322">
        <f t="shared" si="1317"/>
        <v>21.870999999999995</v>
      </c>
      <c r="G354" s="1322">
        <f t="shared" si="1317"/>
        <v>19.712000000000018</v>
      </c>
      <c r="H354" s="1327">
        <f t="shared" si="1317"/>
        <v>25.306999999999988</v>
      </c>
      <c r="I354" s="1322">
        <f t="shared" si="1317"/>
        <v>25.813999999999993</v>
      </c>
      <c r="J354" s="1327">
        <f t="shared" si="1317"/>
        <v>29.323999999999984</v>
      </c>
      <c r="K354" s="1322">
        <f t="shared" si="1317"/>
        <v>28.299999999999983</v>
      </c>
      <c r="L354" s="1327">
        <f t="shared" si="1317"/>
        <v>36.758000000000038</v>
      </c>
      <c r="M354" s="1322">
        <f t="shared" si="1317"/>
        <v>38</v>
      </c>
      <c r="N354" s="1327">
        <f t="shared" si="1317"/>
        <v>48.072000000000003</v>
      </c>
      <c r="O354" s="1322">
        <f t="shared" si="1317"/>
        <v>55.868999999999971</v>
      </c>
      <c r="P354" s="1327">
        <f t="shared" si="1317"/>
        <v>61.789999999999964</v>
      </c>
      <c r="Q354" s="1322">
        <f t="shared" si="1317"/>
        <v>71.730000000000075</v>
      </c>
      <c r="R354" s="1327">
        <f t="shared" si="1317"/>
        <v>95.855999999999995</v>
      </c>
      <c r="S354" s="1322">
        <f t="shared" si="1317"/>
        <v>87.517000000000053</v>
      </c>
      <c r="T354" s="1327">
        <f t="shared" ref="T354:U354" si="1318">+T348-T352</f>
        <v>110.154</v>
      </c>
      <c r="U354" s="1322">
        <f t="shared" si="1318"/>
        <v>115.26499999999999</v>
      </c>
      <c r="V354" s="1327">
        <f t="shared" ref="V354:W354" si="1319">+V348-V352</f>
        <v>126.15600000000006</v>
      </c>
      <c r="W354" s="1322">
        <f t="shared" si="1319"/>
        <v>120.70300000000009</v>
      </c>
      <c r="X354" s="1322"/>
      <c r="Y354" s="1322">
        <f t="shared" si="1317"/>
        <v>0</v>
      </c>
      <c r="Z354" s="1322">
        <f t="shared" si="1317"/>
        <v>0</v>
      </c>
      <c r="AA354" s="1322"/>
      <c r="AB354" s="1322"/>
      <c r="AC354" s="1322"/>
      <c r="AD354" s="1322">
        <f t="shared" si="1317"/>
        <v>0</v>
      </c>
      <c r="AE354" s="1322">
        <f t="shared" si="1317"/>
        <v>5.9503060000000003</v>
      </c>
      <c r="AF354" s="1322">
        <f t="shared" si="1317"/>
        <v>7.3640429999999997</v>
      </c>
      <c r="AG354" s="1322">
        <f t="shared" si="1317"/>
        <v>18.002057999999998</v>
      </c>
      <c r="AH354" s="1322">
        <f t="shared" si="1317"/>
        <v>10.449974999999998</v>
      </c>
      <c r="AI354" s="1322">
        <f t="shared" si="1317"/>
        <v>13.932898000000002</v>
      </c>
      <c r="AJ354" s="1322">
        <f t="shared" si="1317"/>
        <v>13.896751</v>
      </c>
      <c r="AK354" s="1322">
        <f t="shared" si="1317"/>
        <v>15.937218</v>
      </c>
      <c r="AL354" s="1322">
        <f t="shared" si="1317"/>
        <v>19.775434000000001</v>
      </c>
      <c r="AM354" s="1322">
        <f t="shared" si="1317"/>
        <v>20.13428</v>
      </c>
      <c r="AN354" s="1322">
        <f t="shared" si="1317"/>
        <v>21.01613</v>
      </c>
      <c r="AO354" s="1322">
        <f t="shared" si="1317"/>
        <v>30.931951000000002</v>
      </c>
      <c r="AP354" s="1322">
        <f t="shared" si="1317"/>
        <v>50.047471000000002</v>
      </c>
      <c r="AQ354" s="1322">
        <f t="shared" si="1317"/>
        <v>30.453823</v>
      </c>
      <c r="AR354" s="1322">
        <f t="shared" si="1317"/>
        <v>37.803000000000004</v>
      </c>
      <c r="AS354" s="1322">
        <f t="shared" si="1317"/>
        <v>30.172999999999988</v>
      </c>
      <c r="AT354" s="1322">
        <f t="shared" si="1317"/>
        <v>16.551000000000002</v>
      </c>
      <c r="AU354" s="1322">
        <f t="shared" si="1317"/>
        <v>21.870999999999995</v>
      </c>
      <c r="AV354" s="1322">
        <f t="shared" si="1317"/>
        <v>25.306999999999988</v>
      </c>
      <c r="AW354" s="1322">
        <f t="shared" si="1317"/>
        <v>29.323999999999984</v>
      </c>
      <c r="AX354" s="1322">
        <f t="shared" si="1317"/>
        <v>36.758000000000038</v>
      </c>
      <c r="AY354" s="1322">
        <f t="shared" si="1317"/>
        <v>48.072000000000003</v>
      </c>
      <c r="AZ354" s="1322">
        <f t="shared" si="1317"/>
        <v>61.789999999999964</v>
      </c>
      <c r="BA354" s="1322">
        <f t="shared" si="1317"/>
        <v>95.855999999999995</v>
      </c>
      <c r="BB354" s="1322">
        <f t="shared" ref="BB354:BC354" si="1320">+BB348-BB352</f>
        <v>110.154</v>
      </c>
      <c r="BC354" s="1322">
        <f t="shared" si="1320"/>
        <v>126.15600000000006</v>
      </c>
    </row>
    <row r="355" spans="1:55" ht="12" x14ac:dyDescent="0.3">
      <c r="A355" s="1319" t="s">
        <v>45</v>
      </c>
      <c r="C355" s="1165">
        <f>+C354/C238</f>
        <v>0.74472008404982959</v>
      </c>
      <c r="D355" s="1166">
        <f t="shared" ref="D355:BA355" si="1321">+D354/D238</f>
        <v>0.29483753740914914</v>
      </c>
      <c r="E355" s="1165">
        <f t="shared" si="1321"/>
        <v>0.16054028877503471</v>
      </c>
      <c r="F355" s="1165">
        <f t="shared" si="1321"/>
        <v>0.32622833447689514</v>
      </c>
      <c r="G355" s="1165">
        <f t="shared" si="1321"/>
        <v>0.32156606851549785</v>
      </c>
      <c r="H355" s="1166">
        <f t="shared" si="1321"/>
        <v>0.33741317013986089</v>
      </c>
      <c r="I355" s="1165">
        <f t="shared" si="1321"/>
        <v>0.34494554686978018</v>
      </c>
      <c r="J355" s="1166">
        <f t="shared" si="1321"/>
        <v>0.29228131727932355</v>
      </c>
      <c r="K355" s="1165">
        <f t="shared" si="1321"/>
        <v>0.2989268210241674</v>
      </c>
      <c r="L355" s="1166">
        <f t="shared" si="1321"/>
        <v>0.31559787414893009</v>
      </c>
      <c r="M355" s="1165">
        <f t="shared" si="1321"/>
        <v>0.34028225517587213</v>
      </c>
      <c r="N355" s="1166">
        <f t="shared" si="1321"/>
        <v>0.38757427458821475</v>
      </c>
      <c r="O355" s="1165">
        <f t="shared" si="1321"/>
        <v>0.41549410994764358</v>
      </c>
      <c r="P355" s="1166">
        <f t="shared" si="1321"/>
        <v>0.43546591117312933</v>
      </c>
      <c r="Q355" s="1165">
        <f t="shared" si="1321"/>
        <v>0.47752827689050764</v>
      </c>
      <c r="R355" s="1166">
        <f t="shared" si="1321"/>
        <v>0.54156238170837168</v>
      </c>
      <c r="S355" s="1165">
        <f t="shared" si="1321"/>
        <v>0.49429552565883894</v>
      </c>
      <c r="T355" s="1166">
        <f t="shared" ref="T355:U355" si="1322">+T354/T238</f>
        <v>0.55979387730210994</v>
      </c>
      <c r="U355" s="1165">
        <f t="shared" si="1322"/>
        <v>0.58654854107086507</v>
      </c>
      <c r="V355" s="1166">
        <f t="shared" ref="V355:W355" si="1323">+V354/V238</f>
        <v>0.57022496033701142</v>
      </c>
      <c r="W355" s="1165">
        <f t="shared" si="1323"/>
        <v>0.54813923389568853</v>
      </c>
      <c r="X355" s="1165"/>
      <c r="Y355" s="1165" t="e">
        <f t="shared" si="1321"/>
        <v>#DIV/0!</v>
      </c>
      <c r="Z355" s="1165" t="e">
        <f t="shared" si="1321"/>
        <v>#DIV/0!</v>
      </c>
      <c r="AA355" s="1165"/>
      <c r="AB355" s="1165"/>
      <c r="AC355" s="1165"/>
      <c r="AD355" s="1165" t="e">
        <f t="shared" si="1321"/>
        <v>#DIV/0!</v>
      </c>
      <c r="AE355" s="1165">
        <f t="shared" si="1321"/>
        <v>1.8726488057678394</v>
      </c>
      <c r="AF355" s="1165">
        <f t="shared" si="1321"/>
        <v>1.623094131856893</v>
      </c>
      <c r="AG355" s="1165">
        <f t="shared" si="1321"/>
        <v>2.516899115341193</v>
      </c>
      <c r="AH355" s="1165">
        <f t="shared" si="1321"/>
        <v>1.4220413949755955</v>
      </c>
      <c r="AI355" s="1165">
        <f t="shared" si="1321"/>
        <v>1.6003109907241466</v>
      </c>
      <c r="AJ355" s="1165">
        <f t="shared" si="1321"/>
        <v>1.6229871276373713</v>
      </c>
      <c r="AK355" s="1165">
        <f t="shared" si="1321"/>
        <v>1.4676929172007633</v>
      </c>
      <c r="AL355" s="1165">
        <f t="shared" si="1321"/>
        <v>1.3014396469375373</v>
      </c>
      <c r="AM355" s="1165">
        <f t="shared" si="1321"/>
        <v>1.0190224150940763</v>
      </c>
      <c r="AN355" s="1165">
        <f t="shared" si="1321"/>
        <v>0.95172209415786324</v>
      </c>
      <c r="AO355" s="1165">
        <f t="shared" si="1321"/>
        <v>1.084617973465319</v>
      </c>
      <c r="AP355" s="1165">
        <f t="shared" si="1321"/>
        <v>1.1556652360247444</v>
      </c>
      <c r="AQ355" s="1165">
        <f t="shared" si="1321"/>
        <v>0.5410701532249792</v>
      </c>
      <c r="AR355" s="1165">
        <f t="shared" si="1321"/>
        <v>0.53612911460623192</v>
      </c>
      <c r="AS355" s="1165">
        <f t="shared" si="1321"/>
        <v>0.34085697179200397</v>
      </c>
      <c r="AT355" s="1165">
        <f t="shared" si="1321"/>
        <v>0.16104110921916823</v>
      </c>
      <c r="AU355" s="1165">
        <f t="shared" si="1321"/>
        <v>0.18117580788124288</v>
      </c>
      <c r="AV355" s="1165">
        <f t="shared" si="1321"/>
        <v>0.18566722669346961</v>
      </c>
      <c r="AW355" s="1165">
        <f t="shared" si="1321"/>
        <v>0.16740978402973219</v>
      </c>
      <c r="AX355" s="1165">
        <f t="shared" si="1321"/>
        <v>0.17409054527026724</v>
      </c>
      <c r="AY355" s="1165">
        <f t="shared" si="1321"/>
        <v>0.2039498525699498</v>
      </c>
      <c r="AZ355" s="1165">
        <f t="shared" si="1321"/>
        <v>0.22358679683598801</v>
      </c>
      <c r="BA355" s="1165">
        <f t="shared" si="1321"/>
        <v>0.29294948198404702</v>
      </c>
      <c r="BB355" s="1165">
        <f t="shared" ref="BB355:BC355" si="1324">+BB354/BB238</f>
        <v>0.29466334965091084</v>
      </c>
      <c r="BC355" s="1165">
        <f t="shared" si="1324"/>
        <v>0.30198705933889181</v>
      </c>
    </row>
    <row r="356" spans="1:55" ht="12" x14ac:dyDescent="0.3">
      <c r="A356" s="1319" t="s">
        <v>323</v>
      </c>
      <c r="C356" s="1324"/>
      <c r="D356" s="1328">
        <f t="shared" ref="D356" si="1325">C354-D354</f>
        <v>18.181999999999988</v>
      </c>
      <c r="E356" s="1324">
        <f t="shared" ref="E356" si="1326">D354-E354</f>
        <v>7.9340000000000117</v>
      </c>
      <c r="F356" s="1324">
        <f t="shared" ref="F356" si="1327">E354-F354</f>
        <v>-13.254000000000005</v>
      </c>
      <c r="G356" s="1324">
        <f t="shared" ref="G356" si="1328">F354-G354</f>
        <v>2.1589999999999776</v>
      </c>
      <c r="H356" s="1328">
        <f t="shared" ref="H356" si="1329">G354-H354</f>
        <v>-5.5949999999999704</v>
      </c>
      <c r="I356" s="1324">
        <f t="shared" ref="I356" si="1330">H354-I354</f>
        <v>-0.507000000000005</v>
      </c>
      <c r="J356" s="1328">
        <f t="shared" ref="J356" si="1331">I354-J354</f>
        <v>-3.5099999999999909</v>
      </c>
      <c r="K356" s="1324">
        <f t="shared" ref="K356" si="1332">J354-K354</f>
        <v>1.0240000000000009</v>
      </c>
      <c r="L356" s="1328">
        <f t="shared" ref="L356" si="1333">K354-L354</f>
        <v>-8.4580000000000553</v>
      </c>
      <c r="M356" s="1324">
        <f t="shared" ref="M356" si="1334">L354-M354</f>
        <v>-1.2419999999999618</v>
      </c>
      <c r="N356" s="1328">
        <f t="shared" ref="N356" si="1335">M354-N354</f>
        <v>-10.072000000000003</v>
      </c>
      <c r="O356" s="1324">
        <f t="shared" ref="O356" si="1336">N354-O354</f>
        <v>-7.7969999999999686</v>
      </c>
      <c r="P356" s="1328">
        <f t="shared" ref="P356" si="1337">O354-P354</f>
        <v>-5.9209999999999923</v>
      </c>
      <c r="Q356" s="1324">
        <f t="shared" ref="Q356" si="1338">P354-Q354</f>
        <v>-9.9400000000001114</v>
      </c>
      <c r="R356" s="1328">
        <f t="shared" ref="R356" si="1339">Q354-R354</f>
        <v>-24.12599999999992</v>
      </c>
      <c r="S356" s="1325">
        <f t="shared" ref="S356:W356" si="1340">R354-S354</f>
        <v>8.3389999999999418</v>
      </c>
      <c r="T356" s="1328">
        <f t="shared" ref="T356" si="1341">S354-T354</f>
        <v>-22.636999999999944</v>
      </c>
      <c r="U356" s="1325">
        <f t="shared" si="1340"/>
        <v>-5.11099999999999</v>
      </c>
      <c r="V356" s="1328">
        <f t="shared" ref="V356" si="1342">U354-V354</f>
        <v>-10.891000000000076</v>
      </c>
      <c r="W356" s="1325">
        <f t="shared" si="1340"/>
        <v>5.4529999999999745</v>
      </c>
      <c r="X356" s="1325"/>
      <c r="Y356" s="1325">
        <f t="shared" ref="Y356" si="1343">X354-Y354</f>
        <v>0</v>
      </c>
      <c r="Z356" s="1325">
        <f t="shared" ref="Z356" si="1344">Y354-Z354</f>
        <v>0</v>
      </c>
      <c r="AA356" s="1325"/>
      <c r="AB356" s="1325"/>
      <c r="AC356" s="1325"/>
      <c r="AD356" s="1325">
        <f t="shared" ref="AD356" si="1345">Z354-AD354</f>
        <v>0</v>
      </c>
      <c r="AE356" s="1325">
        <f t="shared" ref="AE356" si="1346">AD354-AE354</f>
        <v>-5.9503060000000003</v>
      </c>
      <c r="AF356" s="1325">
        <f t="shared" ref="AF356" si="1347">AE354-AF354</f>
        <v>-1.4137369999999994</v>
      </c>
      <c r="AG356" s="1325">
        <f t="shared" ref="AG356" si="1348">AF354-AG354</f>
        <v>-10.638014999999999</v>
      </c>
      <c r="AH356" s="1325">
        <f t="shared" ref="AH356" si="1349">AG354-AH354</f>
        <v>7.5520829999999997</v>
      </c>
      <c r="AI356" s="1325">
        <f t="shared" ref="AI356" si="1350">AH354-AI354</f>
        <v>-3.4829230000000031</v>
      </c>
      <c r="AJ356" s="1325">
        <f t="shared" ref="AJ356" si="1351">AI354-AJ354</f>
        <v>3.6147000000001483E-2</v>
      </c>
      <c r="AK356" s="1325">
        <f t="shared" ref="AK356" si="1352">AJ354-AK354</f>
        <v>-2.0404669999999996</v>
      </c>
      <c r="AL356" s="1325">
        <f t="shared" ref="AL356" si="1353">AK354-AL354</f>
        <v>-3.838216000000001</v>
      </c>
      <c r="AM356" s="1325">
        <f t="shared" ref="AM356" si="1354">AL354-AM354</f>
        <v>-0.35884599999999978</v>
      </c>
      <c r="AN356" s="1325">
        <f t="shared" ref="AN356" si="1355">AM354-AN354</f>
        <v>-0.88185000000000002</v>
      </c>
      <c r="AO356" s="1325">
        <f t="shared" ref="AO356" si="1356">AN354-AO354</f>
        <v>-9.9158210000000011</v>
      </c>
      <c r="AP356" s="1325">
        <f t="shared" ref="AP356" si="1357">AO354-AP354</f>
        <v>-19.11552</v>
      </c>
      <c r="AQ356" s="1325">
        <f t="shared" ref="AQ356" si="1358">AP354-AQ354</f>
        <v>19.593648000000002</v>
      </c>
      <c r="AR356" s="1325">
        <f t="shared" ref="AR356" si="1359">AQ354-AR354</f>
        <v>-7.3491770000000045</v>
      </c>
      <c r="AS356" s="1325">
        <f t="shared" ref="AS356" si="1360">AR354-AS354</f>
        <v>7.6300000000000168</v>
      </c>
      <c r="AT356" s="1325">
        <f t="shared" ref="AT356" si="1361">AS354-AT354</f>
        <v>13.621999999999986</v>
      </c>
      <c r="AU356" s="1325">
        <f t="shared" ref="AU356" si="1362">AT354-AU354</f>
        <v>-5.3199999999999932</v>
      </c>
      <c r="AV356" s="1325">
        <f t="shared" ref="AV356" si="1363">AU354-AV354</f>
        <v>-3.4359999999999928</v>
      </c>
      <c r="AW356" s="1325">
        <f t="shared" ref="AW356" si="1364">AV354-AW354</f>
        <v>-4.0169999999999959</v>
      </c>
      <c r="AX356" s="1325">
        <f t="shared" ref="AX356" si="1365">AW354-AX354</f>
        <v>-7.4340000000000543</v>
      </c>
      <c r="AY356" s="1325">
        <f t="shared" ref="AY356" si="1366">AX354-AY354</f>
        <v>-11.313999999999965</v>
      </c>
      <c r="AZ356" s="1325">
        <f t="shared" ref="AZ356" si="1367">AY354-AZ354</f>
        <v>-13.717999999999961</v>
      </c>
      <c r="BA356" s="1325">
        <f t="shared" ref="BA356" si="1368">AZ354-BA354</f>
        <v>-34.066000000000031</v>
      </c>
      <c r="BB356" s="1325">
        <f t="shared" ref="BB356" si="1369">BA354-BB354</f>
        <v>-14.298000000000002</v>
      </c>
      <c r="BC356" s="1325">
        <f t="shared" ref="BC356" si="1370">BB354-BC354</f>
        <v>-16.002000000000066</v>
      </c>
    </row>
    <row r="357" spans="1:55" x14ac:dyDescent="0.25">
      <c r="D357" s="791"/>
      <c r="H357" s="791"/>
      <c r="J357" s="791"/>
      <c r="L357" s="791"/>
      <c r="N357" s="791"/>
      <c r="P357" s="791"/>
      <c r="R357" s="791"/>
      <c r="T357" s="791"/>
      <c r="V357" s="791"/>
    </row>
    <row r="358" spans="1:55" x14ac:dyDescent="0.25">
      <c r="A358" s="1320" t="s">
        <v>324</v>
      </c>
      <c r="D358" s="791"/>
      <c r="H358" s="791"/>
      <c r="J358" s="791"/>
      <c r="L358" s="791"/>
      <c r="M358" s="793"/>
      <c r="N358" s="791"/>
      <c r="P358" s="791"/>
      <c r="R358" s="791"/>
      <c r="T358" s="791"/>
      <c r="V358" s="791"/>
    </row>
    <row r="359" spans="1:55" ht="12" x14ac:dyDescent="0.3">
      <c r="A359" s="1319" t="str">
        <f>+A230</f>
        <v>Gross Invoiced Income</v>
      </c>
      <c r="B359" s="798"/>
      <c r="C359" s="1326"/>
      <c r="D359" s="1329"/>
      <c r="E359" s="1326"/>
      <c r="F359" s="1326"/>
      <c r="G359" s="1326"/>
      <c r="H359" s="1329"/>
      <c r="I359" s="1326">
        <f t="shared" ref="I359:S359" si="1371">+I230</f>
        <v>472.84300000000002</v>
      </c>
      <c r="J359" s="1329">
        <f t="shared" si="1371"/>
        <v>608.83500000000004</v>
      </c>
      <c r="K359" s="1326">
        <f t="shared" si="1371"/>
        <v>607.75600000000009</v>
      </c>
      <c r="L359" s="1329">
        <f t="shared" si="1371"/>
        <v>806.30799999999999</v>
      </c>
      <c r="M359" s="1326">
        <f t="shared" si="1371"/>
        <v>727.72200000000009</v>
      </c>
      <c r="N359" s="1329">
        <f t="shared" si="1371"/>
        <v>918.46900000000005</v>
      </c>
      <c r="O359" s="1326">
        <f t="shared" si="1371"/>
        <v>870.81599999999992</v>
      </c>
      <c r="P359" s="1329">
        <f t="shared" si="1371"/>
        <v>1067.624</v>
      </c>
      <c r="Q359" s="1326">
        <f t="shared" si="1371"/>
        <v>1158.3409999999999</v>
      </c>
      <c r="R359" s="1329">
        <f t="shared" si="1371"/>
        <v>1349.1960000000001</v>
      </c>
      <c r="S359" s="1326">
        <f t="shared" si="1371"/>
        <v>1214.7279999999998</v>
      </c>
      <c r="T359" s="1329">
        <f t="shared" ref="T359:U359" si="1372">+T230</f>
        <v>1348.2720000000002</v>
      </c>
      <c r="U359" s="1326">
        <f t="shared" si="1372"/>
        <v>1263.5</v>
      </c>
      <c r="V359" s="1329">
        <f t="shared" ref="V359:W359" si="1373">+V230</f>
        <v>1588.6999999999998</v>
      </c>
      <c r="W359" s="1326">
        <f t="shared" si="1373"/>
        <v>1507.1000000000001</v>
      </c>
      <c r="X359" s="798"/>
      <c r="Y359" s="798">
        <f t="shared" ref="Y359:AP359" si="1374">+Y238</f>
        <v>0</v>
      </c>
      <c r="Z359" s="798">
        <f t="shared" si="1374"/>
        <v>0</v>
      </c>
      <c r="AA359" s="798"/>
      <c r="AB359" s="798"/>
      <c r="AC359" s="798"/>
      <c r="AD359" s="798">
        <f t="shared" si="1374"/>
        <v>0</v>
      </c>
      <c r="AE359" s="798">
        <f t="shared" si="1374"/>
        <v>3.1774810000000002</v>
      </c>
      <c r="AF359" s="798">
        <f t="shared" si="1374"/>
        <v>4.5370400000000011</v>
      </c>
      <c r="AG359" s="798">
        <f t="shared" si="1374"/>
        <v>7.152474999999999</v>
      </c>
      <c r="AH359" s="798">
        <f t="shared" si="1374"/>
        <v>7.3485730000000018</v>
      </c>
      <c r="AI359" s="798">
        <f t="shared" si="1374"/>
        <v>8.7063690000000022</v>
      </c>
      <c r="AJ359" s="798">
        <f t="shared" si="1374"/>
        <v>8.562453000000005</v>
      </c>
      <c r="AK359" s="798">
        <f t="shared" si="1374"/>
        <v>10.858686999999996</v>
      </c>
      <c r="AL359" s="798">
        <f t="shared" si="1374"/>
        <v>15.195045000000007</v>
      </c>
      <c r="AM359" s="798">
        <f t="shared" si="1374"/>
        <v>19.758426999999998</v>
      </c>
      <c r="AN359" s="798">
        <f t="shared" si="1374"/>
        <v>22.08221300000001</v>
      </c>
      <c r="AO359" s="798">
        <f t="shared" si="1374"/>
        <v>28.518751999999992</v>
      </c>
      <c r="AP359" s="798">
        <f t="shared" si="1374"/>
        <v>43.306200999999987</v>
      </c>
      <c r="AQ359" s="1326"/>
      <c r="AR359" s="1326"/>
      <c r="AS359" s="1326"/>
      <c r="AT359" s="1326"/>
      <c r="AU359" s="1326"/>
      <c r="AV359" s="1326"/>
      <c r="AW359" s="1326">
        <f t="shared" ref="AW359:BA359" si="1375">+AW230</f>
        <v>1081.6780000000001</v>
      </c>
      <c r="AX359" s="1326">
        <f t="shared" si="1375"/>
        <v>1414.0640000000001</v>
      </c>
      <c r="AY359" s="1326">
        <f t="shared" si="1375"/>
        <v>1646.191</v>
      </c>
      <c r="AZ359" s="1326">
        <f t="shared" si="1375"/>
        <v>1938.44</v>
      </c>
      <c r="BA359" s="1326">
        <f t="shared" si="1375"/>
        <v>2507.5369999999998</v>
      </c>
      <c r="BB359" s="1326">
        <f t="shared" ref="BB359:BC359" si="1376">+BB230</f>
        <v>2563</v>
      </c>
      <c r="BC359" s="1326">
        <f t="shared" si="1376"/>
        <v>2852.2</v>
      </c>
    </row>
    <row r="360" spans="1:55" ht="12" x14ac:dyDescent="0.3">
      <c r="A360" s="1319" t="s">
        <v>325</v>
      </c>
      <c r="B360" s="798"/>
      <c r="C360" s="1326"/>
      <c r="D360" s="1329"/>
      <c r="E360" s="1326"/>
      <c r="F360" s="1326"/>
      <c r="G360" s="1326"/>
      <c r="H360" s="1329"/>
      <c r="I360" s="1326">
        <f t="shared" ref="I360:R360" si="1377">+I230-I238</f>
        <v>398.00800000000004</v>
      </c>
      <c r="J360" s="1329">
        <f t="shared" si="1377"/>
        <v>508.50700000000001</v>
      </c>
      <c r="K360" s="1326">
        <f t="shared" si="1377"/>
        <v>513.08400000000006</v>
      </c>
      <c r="L360" s="1329">
        <f t="shared" si="1377"/>
        <v>689.83699999999999</v>
      </c>
      <c r="M360" s="1326">
        <f t="shared" si="1377"/>
        <v>616.05000000000007</v>
      </c>
      <c r="N360" s="1329">
        <f t="shared" si="1377"/>
        <v>794.43600000000015</v>
      </c>
      <c r="O360" s="1326">
        <f t="shared" si="1377"/>
        <v>736.35199999999986</v>
      </c>
      <c r="P360" s="1329">
        <f t="shared" si="1377"/>
        <v>925.73000000000013</v>
      </c>
      <c r="Q360" s="1326">
        <f t="shared" si="1377"/>
        <v>1008.1299999999999</v>
      </c>
      <c r="R360" s="1329">
        <f t="shared" si="1377"/>
        <v>1172.1970000000003</v>
      </c>
      <c r="S360" s="1326">
        <f>+S230-S238</f>
        <v>1037.674</v>
      </c>
      <c r="T360" s="1329">
        <f t="shared" ref="T360" si="1378">+T230-T238</f>
        <v>1151.4960000000001</v>
      </c>
      <c r="U360" s="1326">
        <f>+U230-U238</f>
        <v>1066.9859999999999</v>
      </c>
      <c r="V360" s="1329">
        <f t="shared" ref="V360" si="1379">+V230-V238</f>
        <v>1367.4609999999998</v>
      </c>
      <c r="W360" s="1326">
        <f>+W230-W238</f>
        <v>1286.8950000000002</v>
      </c>
      <c r="X360" s="798"/>
      <c r="Y360" s="798"/>
      <c r="Z360" s="798"/>
      <c r="AA360" s="798"/>
      <c r="AB360" s="798"/>
      <c r="AC360" s="798"/>
      <c r="AD360" s="798"/>
      <c r="AE360" s="798"/>
      <c r="AF360" s="798"/>
      <c r="AG360" s="798"/>
      <c r="AH360" s="798"/>
      <c r="AI360" s="798"/>
      <c r="AJ360" s="798"/>
      <c r="AK360" s="798"/>
      <c r="AL360" s="798"/>
      <c r="AM360" s="798"/>
      <c r="AN360" s="798"/>
      <c r="AO360" s="798"/>
      <c r="AP360" s="798"/>
      <c r="AQ360" s="1326"/>
      <c r="AR360" s="1326"/>
      <c r="AS360" s="1326"/>
      <c r="AT360" s="1326"/>
      <c r="AU360" s="1326"/>
      <c r="AV360" s="1326"/>
      <c r="AW360" s="1326">
        <f t="shared" ref="AW360:BA360" si="1380">+AW230-AW238</f>
        <v>906.5150000000001</v>
      </c>
      <c r="AX360" s="1326">
        <f t="shared" si="1380"/>
        <v>1202.921</v>
      </c>
      <c r="AY360" s="1326">
        <f t="shared" si="1380"/>
        <v>1410.4860000000001</v>
      </c>
      <c r="AZ360" s="1326">
        <f t="shared" si="1380"/>
        <v>1662.0820000000001</v>
      </c>
      <c r="BA360" s="1326">
        <f t="shared" si="1380"/>
        <v>2180.3269999999998</v>
      </c>
      <c r="BB360" s="1326">
        <f t="shared" ref="BB360:BC360" si="1381">+BB230-BB238</f>
        <v>2189.17</v>
      </c>
      <c r="BC360" s="1326">
        <f t="shared" si="1381"/>
        <v>2434.4469999999997</v>
      </c>
    </row>
    <row r="361" spans="1:55" ht="12" x14ac:dyDescent="0.3">
      <c r="A361" s="1319"/>
      <c r="B361" s="798"/>
      <c r="C361" s="1326"/>
      <c r="D361" s="1329"/>
      <c r="E361" s="1326"/>
      <c r="F361" s="1326"/>
      <c r="G361" s="1326"/>
      <c r="H361" s="1329"/>
      <c r="I361" s="1326"/>
      <c r="J361" s="1329"/>
      <c r="K361" s="1326"/>
      <c r="L361" s="1329"/>
      <c r="M361" s="1326"/>
      <c r="N361" s="1329"/>
      <c r="O361" s="1326"/>
      <c r="P361" s="1329"/>
      <c r="Q361" s="1326"/>
      <c r="R361" s="1329"/>
      <c r="S361" s="1326"/>
      <c r="T361" s="1329"/>
      <c r="U361" s="1326"/>
      <c r="V361" s="1329"/>
      <c r="W361" s="1326"/>
      <c r="X361" s="798"/>
      <c r="Y361" s="798"/>
      <c r="Z361" s="798"/>
      <c r="AA361" s="798"/>
      <c r="AB361" s="798"/>
      <c r="AC361" s="798"/>
      <c r="AD361" s="798"/>
      <c r="AE361" s="798"/>
      <c r="AF361" s="798"/>
      <c r="AG361" s="798"/>
      <c r="AH361" s="798"/>
      <c r="AI361" s="798"/>
      <c r="AJ361" s="798"/>
      <c r="AK361" s="798"/>
      <c r="AL361" s="798"/>
      <c r="AM361" s="798"/>
      <c r="AN361" s="798"/>
      <c r="AO361" s="798"/>
      <c r="AP361" s="798"/>
      <c r="AQ361" s="1326"/>
      <c r="AR361" s="1326"/>
      <c r="AS361" s="1326"/>
      <c r="AT361" s="1326"/>
      <c r="AU361" s="1326"/>
      <c r="AV361" s="1326"/>
      <c r="AW361" s="1326"/>
      <c r="AX361" s="1326"/>
      <c r="AY361" s="1326"/>
      <c r="AZ361" s="1326"/>
      <c r="BA361" s="1326"/>
      <c r="BB361" s="1326"/>
      <c r="BC361" s="1326"/>
    </row>
    <row r="362" spans="1:55" ht="12" x14ac:dyDescent="0.3">
      <c r="A362" s="1319" t="s">
        <v>326</v>
      </c>
      <c r="B362" s="798"/>
      <c r="C362" s="1326"/>
      <c r="D362" s="1329"/>
      <c r="E362" s="1326"/>
      <c r="F362" s="1326"/>
      <c r="G362" s="1326"/>
      <c r="H362" s="1329"/>
      <c r="I362" s="1326"/>
      <c r="J362" s="1329">
        <f t="shared" ref="J362:W362" si="1382">AVERAGE(J346,I346)/I359*366/2</f>
        <v>76.548812185017013</v>
      </c>
      <c r="K362" s="1326">
        <f t="shared" si="1382"/>
        <v>67.142531227672521</v>
      </c>
      <c r="L362" s="1329">
        <f t="shared" si="1382"/>
        <v>79.208182231026925</v>
      </c>
      <c r="M362" s="1326">
        <f t="shared" si="1382"/>
        <v>64.623914806748772</v>
      </c>
      <c r="N362" s="1329">
        <f t="shared" si="1382"/>
        <v>75.225764096729236</v>
      </c>
      <c r="O362" s="1326">
        <f>AVERAGE(O346,N346)/N359*366/2</f>
        <v>59.600638671528372</v>
      </c>
      <c r="P362" s="1329">
        <f t="shared" si="1382"/>
        <v>64.495282011354874</v>
      </c>
      <c r="Q362" s="1326">
        <f t="shared" si="1382"/>
        <v>62.98025568926888</v>
      </c>
      <c r="R362" s="1329">
        <f t="shared" si="1382"/>
        <v>74.775121920056364</v>
      </c>
      <c r="S362" s="1326">
        <f t="shared" si="1382"/>
        <v>73.713261453487846</v>
      </c>
      <c r="T362" s="1329">
        <f t="shared" ref="T362" si="1383">AVERAGE(T346,S346)/S359*366/2</f>
        <v>78.002724066622335</v>
      </c>
      <c r="U362" s="1326">
        <f t="shared" si="1382"/>
        <v>66.973106687671319</v>
      </c>
      <c r="V362" s="1329">
        <f t="shared" ref="V362" si="1384">AVERAGE(V346,U346)/U359*366/2</f>
        <v>78.365133359715074</v>
      </c>
      <c r="W362" s="1326">
        <f t="shared" si="1382"/>
        <v>68.814197142317624</v>
      </c>
      <c r="X362" s="798"/>
      <c r="Y362" s="798"/>
      <c r="Z362" s="798"/>
      <c r="AA362" s="798"/>
      <c r="AB362" s="798"/>
      <c r="AC362" s="798"/>
      <c r="AD362" s="798"/>
      <c r="AE362" s="798"/>
      <c r="AF362" s="798"/>
      <c r="AG362" s="798"/>
      <c r="AH362" s="798"/>
      <c r="AI362" s="798"/>
      <c r="AJ362" s="798"/>
      <c r="AK362" s="798"/>
      <c r="AL362" s="798"/>
      <c r="AM362" s="798"/>
      <c r="AN362" s="798"/>
      <c r="AO362" s="798"/>
      <c r="AP362" s="798"/>
      <c r="AQ362" s="1326"/>
      <c r="AR362" s="1326"/>
      <c r="AS362" s="1326"/>
      <c r="AT362" s="1326"/>
      <c r="AU362" s="1326"/>
      <c r="AV362" s="1326"/>
      <c r="AW362" s="1326"/>
      <c r="AX362" s="1326">
        <f>AVERAGE(AX346,AW346)/AW359*366</f>
        <v>83.112822854860681</v>
      </c>
      <c r="AY362" s="1326">
        <f>AVERAGE(AY346,AX346)/AX359*366</f>
        <v>77.574770307425979</v>
      </c>
      <c r="AZ362" s="1326">
        <f>AVERAGE(AZ346,AY346)/AY359*366</f>
        <v>71.567264673418819</v>
      </c>
      <c r="BA362" s="1326">
        <f>AVERAGE(BA346,AZ346)/AZ359*366</f>
        <v>82.235957780483261</v>
      </c>
      <c r="BB362" s="1326">
        <f t="shared" ref="BB362" si="1385">AVERAGE(BB346,BA346)/BA359*366</f>
        <v>75.27629502575634</v>
      </c>
      <c r="BC362" s="1326">
        <f t="shared" ref="BC362" si="1386">AVERAGE(BC346,BB346)/BB359*366</f>
        <v>76.780245415528682</v>
      </c>
    </row>
    <row r="363" spans="1:55" ht="12" x14ac:dyDescent="0.3">
      <c r="A363" s="1319" t="s">
        <v>327</v>
      </c>
      <c r="B363" s="798"/>
      <c r="C363" s="1326"/>
      <c r="D363" s="1329"/>
      <c r="E363" s="1326"/>
      <c r="F363" s="1326"/>
      <c r="G363" s="1326"/>
      <c r="H363" s="1329"/>
      <c r="I363" s="1326"/>
      <c r="J363" s="1329">
        <f t="shared" ref="J363:W363" si="1387">AVERAGE(J347,I347)/J360*366/2</f>
        <v>3.8389884505031397</v>
      </c>
      <c r="K363" s="1326">
        <f t="shared" si="1387"/>
        <v>7.7810417007741419</v>
      </c>
      <c r="L363" s="1329">
        <f t="shared" si="1387"/>
        <v>6.1127157574905366</v>
      </c>
      <c r="M363" s="1326">
        <f t="shared" si="1387"/>
        <v>4.0792914536157774</v>
      </c>
      <c r="N363" s="1329">
        <f t="shared" si="1387"/>
        <v>3.2393263900427467</v>
      </c>
      <c r="O363" s="1326">
        <f t="shared" si="1387"/>
        <v>3.1471639922211119</v>
      </c>
      <c r="P363" s="1329">
        <f t="shared" si="1387"/>
        <v>5.139134520864614</v>
      </c>
      <c r="Q363" s="1326">
        <f t="shared" si="1387"/>
        <v>7.5131054526697945</v>
      </c>
      <c r="R363" s="1329">
        <f t="shared" si="1387"/>
        <v>3.861634605787251</v>
      </c>
      <c r="S363" s="1326">
        <f t="shared" si="1387"/>
        <v>1.0811502456455495</v>
      </c>
      <c r="T363" s="1329">
        <f t="shared" ref="T363" si="1388">AVERAGE(T347,S347)/T360*366/2</f>
        <v>0.85405594114091576</v>
      </c>
      <c r="U363" s="1326">
        <f t="shared" si="1387"/>
        <v>0.65028453981589274</v>
      </c>
      <c r="V363" s="1329">
        <f t="shared" ref="V363" si="1389">AVERAGE(V347,U347)/V360*366/2</f>
        <v>0.4622303670817669</v>
      </c>
      <c r="W363" s="1326">
        <f t="shared" si="1387"/>
        <v>1.7242793701117805</v>
      </c>
      <c r="X363" s="798"/>
      <c r="Y363" s="798"/>
      <c r="Z363" s="798"/>
      <c r="AA363" s="798"/>
      <c r="AB363" s="798"/>
      <c r="AC363" s="798"/>
      <c r="AD363" s="798"/>
      <c r="AE363" s="798"/>
      <c r="AF363" s="798"/>
      <c r="AG363" s="798"/>
      <c r="AH363" s="798"/>
      <c r="AI363" s="798"/>
      <c r="AJ363" s="798"/>
      <c r="AK363" s="798"/>
      <c r="AL363" s="798"/>
      <c r="AM363" s="798"/>
      <c r="AN363" s="798"/>
      <c r="AO363" s="798"/>
      <c r="AP363" s="798"/>
      <c r="AQ363" s="1326"/>
      <c r="AR363" s="1326"/>
      <c r="AS363" s="1326"/>
      <c r="AT363" s="1326"/>
      <c r="AU363" s="1326"/>
      <c r="AV363" s="1326"/>
      <c r="AW363" s="1326"/>
      <c r="AX363" s="1326">
        <f>AVERAGE(AX347,AW347)/AX360*366</f>
        <v>2.9992368576157538</v>
      </c>
      <c r="AY363" s="1326">
        <f>AVERAGE(AY347,AX347)/AY360*366</f>
        <v>2.9617621160366001</v>
      </c>
      <c r="AZ363" s="1326">
        <f>AVERAGE(AZ347,AY347)/AZ360*366</f>
        <v>5.5222094938757538</v>
      </c>
      <c r="BA363" s="1326">
        <f>AVERAGE(BA347,AZ347)/BA360*366</f>
        <v>3.6523168313743768</v>
      </c>
      <c r="BB363" s="1326">
        <f t="shared" ref="BB363" si="1390">AVERAGE(BB347,BA347)/BB360*366</f>
        <v>0.72684396369400284</v>
      </c>
      <c r="BC363" s="1326">
        <f t="shared" ref="BC363" si="1391">AVERAGE(BC347,BB347)/BC360*366</f>
        <v>0.4891381903159116</v>
      </c>
    </row>
    <row r="364" spans="1:55" ht="12" x14ac:dyDescent="0.3">
      <c r="A364" s="1319" t="s">
        <v>328</v>
      </c>
      <c r="B364" s="798"/>
      <c r="C364" s="1326"/>
      <c r="D364" s="1329"/>
      <c r="E364" s="1326"/>
      <c r="F364" s="1326"/>
      <c r="G364" s="1326"/>
      <c r="H364" s="1329"/>
      <c r="I364" s="1326"/>
      <c r="J364" s="1329">
        <f t="shared" ref="J364:W364" si="1392">AVERAGE(J351,I351)/(J360/(366/2))</f>
        <v>65.097620091758813</v>
      </c>
      <c r="K364" s="1326">
        <f t="shared" si="1392"/>
        <v>77.177333536029167</v>
      </c>
      <c r="L364" s="1329">
        <f t="shared" si="1392"/>
        <v>67.266931898404991</v>
      </c>
      <c r="M364" s="1326">
        <f t="shared" si="1392"/>
        <v>77.557779401022643</v>
      </c>
      <c r="N364" s="1329">
        <f t="shared" si="1392"/>
        <v>62.234456897723653</v>
      </c>
      <c r="O364" s="1326">
        <f t="shared" si="1392"/>
        <v>64.572592999000491</v>
      </c>
      <c r="P364" s="1329">
        <f t="shared" si="1392"/>
        <v>54.179054367904243</v>
      </c>
      <c r="Q364" s="1326">
        <f t="shared" si="1392"/>
        <v>62.091535317865763</v>
      </c>
      <c r="R364" s="1329">
        <f t="shared" si="1392"/>
        <v>64.671353876524151</v>
      </c>
      <c r="S364" s="1326">
        <f t="shared" si="1392"/>
        <v>80.7545428525722</v>
      </c>
      <c r="T364" s="1329">
        <f t="shared" ref="T364" si="1393">AVERAGE(T351,S351)/(T360/(366/2))</f>
        <v>67.432833896079529</v>
      </c>
      <c r="U364" s="1326">
        <f t="shared" si="1392"/>
        <v>65.948354055254725</v>
      </c>
      <c r="V364" s="1329">
        <f t="shared" ref="V364" si="1394">AVERAGE(V351,U351)/(V360/(366/2))</f>
        <v>56.715625893535552</v>
      </c>
      <c r="W364" s="1326">
        <f t="shared" si="1392"/>
        <v>69.124895970533714</v>
      </c>
      <c r="X364" s="798"/>
      <c r="Y364" s="798"/>
      <c r="Z364" s="798"/>
      <c r="AA364" s="798"/>
      <c r="AB364" s="798"/>
      <c r="AC364" s="798"/>
      <c r="AD364" s="798"/>
      <c r="AE364" s="798"/>
      <c r="AF364" s="798"/>
      <c r="AG364" s="798"/>
      <c r="AH364" s="798"/>
      <c r="AI364" s="798"/>
      <c r="AJ364" s="798"/>
      <c r="AK364" s="798"/>
      <c r="AL364" s="798"/>
      <c r="AM364" s="798"/>
      <c r="AN364" s="798"/>
      <c r="AO364" s="798"/>
      <c r="AP364" s="798"/>
      <c r="AQ364" s="1326"/>
      <c r="AR364" s="1326"/>
      <c r="AS364" s="1326"/>
      <c r="AT364" s="1326"/>
      <c r="AU364" s="1326"/>
      <c r="AV364" s="1326"/>
      <c r="AW364" s="1326"/>
      <c r="AX364" s="1326">
        <f>AVERAGE(AX351,AW351)/(AX360/(366))</f>
        <v>67.682043126689109</v>
      </c>
      <c r="AY364" s="1326">
        <f>AVERAGE(AY351,AX351)/(AY360/(366))</f>
        <v>69.727259965713927</v>
      </c>
      <c r="AZ364" s="1326">
        <f>AVERAGE(AZ351,AY351)/(AZ360/(366))</f>
        <v>64.309105086271302</v>
      </c>
      <c r="BA364" s="1326">
        <f>AVERAGE(BA351,AZ351)/(BA360/(366))</f>
        <v>63.533358528330851</v>
      </c>
      <c r="BB364" s="1326">
        <f t="shared" ref="BB364" si="1395">AVERAGE(BB351,BA351)/(BB360/(366))</f>
        <v>69.729372319189466</v>
      </c>
      <c r="BC364" s="1326">
        <f t="shared" ref="BC364" si="1396">AVERAGE(BC351,BB351)/(BC360/(366))</f>
        <v>63.560151443017659</v>
      </c>
    </row>
    <row r="365" spans="1:55" ht="12" x14ac:dyDescent="0.3">
      <c r="A365" s="1319" t="s">
        <v>329</v>
      </c>
      <c r="B365" s="798"/>
      <c r="C365" s="1326"/>
      <c r="D365" s="1329"/>
      <c r="E365" s="1326"/>
      <c r="F365" s="1326"/>
      <c r="G365" s="1326"/>
      <c r="H365" s="1329"/>
      <c r="I365" s="1326"/>
      <c r="J365" s="1329">
        <f t="shared" ref="J365:R365" si="1397">J362+J363-J364</f>
        <v>15.290180543761338</v>
      </c>
      <c r="K365" s="1326">
        <f t="shared" si="1397"/>
        <v>-2.2537606075825067</v>
      </c>
      <c r="L365" s="1329">
        <f t="shared" si="1397"/>
        <v>18.053966090112468</v>
      </c>
      <c r="M365" s="1326">
        <f t="shared" si="1397"/>
        <v>-8.8545731406580899</v>
      </c>
      <c r="N365" s="1329">
        <f t="shared" si="1397"/>
        <v>16.230633589048331</v>
      </c>
      <c r="O365" s="1326">
        <f t="shared" si="1397"/>
        <v>-1.8247903352510093</v>
      </c>
      <c r="P365" s="1329">
        <f t="shared" si="1397"/>
        <v>15.455362164315247</v>
      </c>
      <c r="Q365" s="1326">
        <f t="shared" si="1397"/>
        <v>8.4018258240729153</v>
      </c>
      <c r="R365" s="1329">
        <f t="shared" si="1397"/>
        <v>13.965402649319458</v>
      </c>
      <c r="S365" s="1326">
        <f t="shared" ref="S365:T365" si="1398">S362+S363-S364</f>
        <v>-5.9601311534388088</v>
      </c>
      <c r="T365" s="1329">
        <f t="shared" si="1398"/>
        <v>11.423946111683719</v>
      </c>
      <c r="U365" s="1326">
        <f t="shared" ref="U365:V365" si="1399">U362+U363-U364</f>
        <v>1.6750371722324928</v>
      </c>
      <c r="V365" s="1329">
        <f t="shared" si="1399"/>
        <v>22.111737833261294</v>
      </c>
      <c r="W365" s="1326">
        <f t="shared" ref="W365" si="1400">W362+W363-W364</f>
        <v>1.4135805418956977</v>
      </c>
      <c r="X365" s="798"/>
      <c r="Y365" s="798"/>
      <c r="Z365" s="798"/>
      <c r="AA365" s="798"/>
      <c r="AB365" s="798"/>
      <c r="AC365" s="798"/>
      <c r="AD365" s="798"/>
      <c r="AE365" s="798"/>
      <c r="AF365" s="798"/>
      <c r="AG365" s="798"/>
      <c r="AH365" s="798"/>
      <c r="AI365" s="798"/>
      <c r="AJ365" s="798"/>
      <c r="AK365" s="798"/>
      <c r="AL365" s="798"/>
      <c r="AM365" s="798"/>
      <c r="AN365" s="798"/>
      <c r="AO365" s="798"/>
      <c r="AP365" s="798"/>
      <c r="AQ365" s="1326"/>
      <c r="AR365" s="1326"/>
      <c r="AS365" s="1326"/>
      <c r="AT365" s="1326"/>
      <c r="AU365" s="1326"/>
      <c r="AV365" s="1326"/>
      <c r="AW365" s="1326"/>
      <c r="AX365" s="1326">
        <f t="shared" ref="AX365:AZ365" si="1401">AX362+AX363-AX364</f>
        <v>18.430016585787328</v>
      </c>
      <c r="AY365" s="1326">
        <f t="shared" si="1401"/>
        <v>10.809272457748648</v>
      </c>
      <c r="AZ365" s="1326">
        <f t="shared" si="1401"/>
        <v>12.780369081023267</v>
      </c>
      <c r="BA365" s="1326">
        <f t="shared" ref="BA365:BB365" si="1402">BA362+BA363-BA364</f>
        <v>22.354916083526788</v>
      </c>
      <c r="BB365" s="1326">
        <f t="shared" si="1402"/>
        <v>6.2737666702608834</v>
      </c>
      <c r="BC365" s="1326">
        <f t="shared" ref="BC365" si="1403">BC362+BC363-BC364</f>
        <v>13.709232162826936</v>
      </c>
    </row>
    <row r="366" spans="1:55" ht="12" x14ac:dyDescent="0.3">
      <c r="B366" s="798"/>
      <c r="C366" s="1326"/>
      <c r="D366" s="1329"/>
      <c r="E366" s="1326"/>
      <c r="F366" s="1326"/>
      <c r="G366" s="1326"/>
      <c r="H366" s="1329"/>
      <c r="I366" s="1326"/>
      <c r="J366" s="1329"/>
      <c r="K366" s="1326"/>
      <c r="L366" s="1329"/>
      <c r="M366" s="1326"/>
      <c r="N366" s="1329"/>
      <c r="O366" s="1326"/>
      <c r="P366" s="1329"/>
      <c r="Q366" s="1326"/>
      <c r="R366" s="1329"/>
      <c r="S366" s="1326"/>
      <c r="T366" s="1329"/>
      <c r="U366" s="1326"/>
      <c r="V366" s="1329"/>
      <c r="W366" s="1326"/>
      <c r="X366" s="798"/>
      <c r="Y366" s="798"/>
      <c r="Z366" s="798"/>
      <c r="AA366" s="798"/>
      <c r="AB366" s="798"/>
      <c r="AC366" s="798"/>
      <c r="AD366" s="798"/>
      <c r="AE366" s="798"/>
      <c r="AF366" s="798"/>
      <c r="AG366" s="798"/>
      <c r="AH366" s="798"/>
      <c r="AI366" s="798"/>
      <c r="AJ366" s="798"/>
      <c r="AK366" s="798"/>
      <c r="AL366" s="798"/>
      <c r="AM366" s="798"/>
      <c r="AN366" s="798"/>
      <c r="AO366" s="798"/>
      <c r="AP366" s="798"/>
      <c r="AQ366" s="1326"/>
      <c r="AR366" s="1326"/>
      <c r="AS366" s="1326"/>
      <c r="AT366" s="1326"/>
      <c r="AU366" s="1326"/>
      <c r="AV366" s="1326"/>
      <c r="AW366" s="1326"/>
      <c r="AX366" s="1326"/>
      <c r="AY366" s="1326"/>
      <c r="AZ366" s="1326"/>
      <c r="BA366" s="1326"/>
      <c r="BB366" s="1326"/>
      <c r="BC366" s="1326"/>
    </row>
    <row r="367" spans="1:55" x14ac:dyDescent="0.25">
      <c r="A367" s="1316" t="s">
        <v>330</v>
      </c>
      <c r="D367" s="791"/>
      <c r="H367" s="791"/>
      <c r="J367" s="791"/>
      <c r="L367" s="791"/>
      <c r="N367" s="791"/>
      <c r="P367" s="791"/>
      <c r="R367" s="791"/>
      <c r="T367" s="791"/>
      <c r="V367" s="791"/>
    </row>
    <row r="368" spans="1:55" x14ac:dyDescent="0.25">
      <c r="A368" s="785" t="s">
        <v>331</v>
      </c>
      <c r="C368" s="793">
        <f t="shared" ref="C368:S368" si="1404">+C303</f>
        <v>6.9669999999999996</v>
      </c>
      <c r="D368" s="795">
        <f t="shared" si="1404"/>
        <v>6.9969999999999999</v>
      </c>
      <c r="E368" s="793">
        <f t="shared" si="1404"/>
        <v>6.7629999999999999</v>
      </c>
      <c r="F368" s="793">
        <f t="shared" si="1404"/>
        <v>6.391</v>
      </c>
      <c r="G368" s="793">
        <f t="shared" si="1404"/>
        <v>6.1429999999999998</v>
      </c>
      <c r="H368" s="795">
        <f t="shared" si="1404"/>
        <v>5.5789999999999997</v>
      </c>
      <c r="I368" s="793">
        <f t="shared" si="1404"/>
        <v>5.3819999999999997</v>
      </c>
      <c r="J368" s="795">
        <f t="shared" si="1404"/>
        <v>5.056</v>
      </c>
      <c r="K368" s="793">
        <f t="shared" si="1404"/>
        <v>5.4880000000000004</v>
      </c>
      <c r="L368" s="795">
        <f t="shared" si="1404"/>
        <v>5.7610000000000001</v>
      </c>
      <c r="M368" s="793">
        <f t="shared" si="1404"/>
        <v>6.585</v>
      </c>
      <c r="N368" s="795">
        <f t="shared" si="1404"/>
        <v>11.897</v>
      </c>
      <c r="O368" s="793">
        <f t="shared" si="1404"/>
        <v>12.782999999999999</v>
      </c>
      <c r="P368" s="795">
        <f t="shared" si="1404"/>
        <v>11.753</v>
      </c>
      <c r="Q368" s="793">
        <f t="shared" si="1404"/>
        <v>11.811999999999999</v>
      </c>
      <c r="R368" s="795">
        <f t="shared" si="1404"/>
        <v>11.27</v>
      </c>
      <c r="S368" s="793">
        <f t="shared" si="1404"/>
        <v>11.166</v>
      </c>
      <c r="T368" s="795">
        <f t="shared" ref="T368:U368" si="1405">+T303</f>
        <v>11.348000000000001</v>
      </c>
      <c r="U368" s="793">
        <f t="shared" si="1405"/>
        <v>10.755000000000001</v>
      </c>
      <c r="V368" s="795">
        <f t="shared" ref="V368:W368" si="1406">+V303</f>
        <v>9.8320000000000007</v>
      </c>
      <c r="W368" s="793">
        <f t="shared" si="1406"/>
        <v>13.342000000000001</v>
      </c>
      <c r="X368" s="793"/>
      <c r="Y368" s="793">
        <f t="shared" ref="Y368:BA368" si="1407">+Y303</f>
        <v>0</v>
      </c>
      <c r="Z368" s="793">
        <f t="shared" si="1407"/>
        <v>0</v>
      </c>
      <c r="AA368" s="793"/>
      <c r="AB368" s="793"/>
      <c r="AC368" s="793"/>
      <c r="AD368" s="793">
        <f t="shared" si="1407"/>
        <v>0</v>
      </c>
      <c r="AE368" s="793">
        <f t="shared" si="1407"/>
        <v>0</v>
      </c>
      <c r="AF368" s="793">
        <f t="shared" si="1407"/>
        <v>0</v>
      </c>
      <c r="AG368" s="793">
        <f t="shared" si="1407"/>
        <v>0</v>
      </c>
      <c r="AH368" s="793">
        <f t="shared" si="1407"/>
        <v>0</v>
      </c>
      <c r="AI368" s="793">
        <f t="shared" si="1407"/>
        <v>0</v>
      </c>
      <c r="AJ368" s="793">
        <f t="shared" si="1407"/>
        <v>0</v>
      </c>
      <c r="AK368" s="793">
        <f t="shared" si="1407"/>
        <v>0</v>
      </c>
      <c r="AL368" s="793">
        <f t="shared" si="1407"/>
        <v>0</v>
      </c>
      <c r="AM368" s="793">
        <f t="shared" si="1407"/>
        <v>0</v>
      </c>
      <c r="AN368" s="793">
        <f t="shared" si="1407"/>
        <v>0</v>
      </c>
      <c r="AO368" s="793">
        <f t="shared" si="1407"/>
        <v>0</v>
      </c>
      <c r="AP368" s="793">
        <f t="shared" si="1407"/>
        <v>0</v>
      </c>
      <c r="AQ368" s="793">
        <f t="shared" si="1407"/>
        <v>4.6967359999999996</v>
      </c>
      <c r="AR368" s="793">
        <f t="shared" si="1407"/>
        <v>6.351</v>
      </c>
      <c r="AS368" s="793">
        <f t="shared" si="1407"/>
        <v>6.6070000000000002</v>
      </c>
      <c r="AT368" s="793">
        <f t="shared" si="1407"/>
        <v>6.9969999999999999</v>
      </c>
      <c r="AU368" s="793">
        <f t="shared" si="1407"/>
        <v>6.391</v>
      </c>
      <c r="AV368" s="793">
        <f t="shared" si="1407"/>
        <v>5.5789999999999997</v>
      </c>
      <c r="AW368" s="793">
        <f t="shared" si="1407"/>
        <v>5.056</v>
      </c>
      <c r="AX368" s="793">
        <f t="shared" si="1407"/>
        <v>5.7610000000000001</v>
      </c>
      <c r="AY368" s="793">
        <f t="shared" si="1407"/>
        <v>11.897</v>
      </c>
      <c r="AZ368" s="793">
        <f t="shared" si="1407"/>
        <v>11.753</v>
      </c>
      <c r="BA368" s="793">
        <f t="shared" si="1407"/>
        <v>11.27</v>
      </c>
      <c r="BB368" s="793">
        <f t="shared" ref="BB368:BC368" si="1408">+BB303</f>
        <v>11.348000000000001</v>
      </c>
      <c r="BC368" s="793">
        <f t="shared" si="1408"/>
        <v>9.8320000000000007</v>
      </c>
    </row>
    <row r="369" spans="1:55" s="1181" customFormat="1" ht="13" x14ac:dyDescent="0.4">
      <c r="A369" s="785" t="s">
        <v>332</v>
      </c>
      <c r="C369" s="1323">
        <f t="shared" ref="C369:S369" si="1409">+C305+C306</f>
        <v>0.46800000000000003</v>
      </c>
      <c r="D369" s="1330">
        <f t="shared" si="1409"/>
        <v>0.45800000000000002</v>
      </c>
      <c r="E369" s="1323">
        <f t="shared" si="1409"/>
        <v>0.63200000000000001</v>
      </c>
      <c r="F369" s="1323">
        <f t="shared" si="1409"/>
        <v>0.66700000000000004</v>
      </c>
      <c r="G369" s="1323">
        <f t="shared" si="1409"/>
        <v>0.94399999999999995</v>
      </c>
      <c r="H369" s="1330">
        <f t="shared" si="1409"/>
        <v>0.504</v>
      </c>
      <c r="I369" s="1323">
        <f t="shared" si="1409"/>
        <v>0.38600000000000001</v>
      </c>
      <c r="J369" s="1330">
        <f t="shared" si="1409"/>
        <v>0.32400000000000001</v>
      </c>
      <c r="K369" s="1323">
        <f t="shared" si="1409"/>
        <v>0.34599999999999997</v>
      </c>
      <c r="L369" s="1330">
        <f t="shared" si="1409"/>
        <v>0.24</v>
      </c>
      <c r="M369" s="1323">
        <f t="shared" si="1409"/>
        <v>0.70099999999999996</v>
      </c>
      <c r="N369" s="1330">
        <f t="shared" si="1409"/>
        <v>1.3009999999999999</v>
      </c>
      <c r="O369" s="1323">
        <f t="shared" si="1409"/>
        <v>2.6960000000000002</v>
      </c>
      <c r="P369" s="1330">
        <f t="shared" si="1409"/>
        <v>5.202</v>
      </c>
      <c r="Q369" s="1323">
        <f t="shared" si="1409"/>
        <v>6.6959999999999997</v>
      </c>
      <c r="R369" s="1330">
        <f t="shared" si="1409"/>
        <v>7.9779999999999998</v>
      </c>
      <c r="S369" s="1323">
        <f t="shared" si="1409"/>
        <v>7.5750000000000002</v>
      </c>
      <c r="T369" s="1330">
        <f t="shared" ref="T369:U369" si="1410">+T305+T306</f>
        <v>7.1550000000000002</v>
      </c>
      <c r="U369" s="1323">
        <f t="shared" si="1410"/>
        <v>8.548</v>
      </c>
      <c r="V369" s="1330">
        <f t="shared" ref="V369:W369" si="1411">+V305+V306</f>
        <v>11.608000000000001</v>
      </c>
      <c r="W369" s="1323">
        <f t="shared" si="1411"/>
        <v>13.422000000000001</v>
      </c>
      <c r="X369" s="1323"/>
      <c r="Y369" s="1323">
        <f t="shared" ref="Y369:BA369" si="1412">+Y305+Y306</f>
        <v>0</v>
      </c>
      <c r="Z369" s="1323">
        <f t="shared" si="1412"/>
        <v>0</v>
      </c>
      <c r="AA369" s="1323"/>
      <c r="AB369" s="1323"/>
      <c r="AC369" s="1323"/>
      <c r="AD369" s="1323">
        <f t="shared" si="1412"/>
        <v>0</v>
      </c>
      <c r="AE369" s="1323">
        <f t="shared" si="1412"/>
        <v>0</v>
      </c>
      <c r="AF369" s="1323">
        <f t="shared" si="1412"/>
        <v>0</v>
      </c>
      <c r="AG369" s="1323">
        <f t="shared" si="1412"/>
        <v>0</v>
      </c>
      <c r="AH369" s="1323">
        <f t="shared" si="1412"/>
        <v>0</v>
      </c>
      <c r="AI369" s="1323">
        <f t="shared" si="1412"/>
        <v>0</v>
      </c>
      <c r="AJ369" s="1323">
        <f t="shared" si="1412"/>
        <v>0</v>
      </c>
      <c r="AK369" s="1323">
        <f t="shared" si="1412"/>
        <v>0</v>
      </c>
      <c r="AL369" s="1323">
        <f t="shared" si="1412"/>
        <v>0</v>
      </c>
      <c r="AM369" s="1323">
        <f t="shared" si="1412"/>
        <v>0</v>
      </c>
      <c r="AN369" s="1323">
        <f t="shared" si="1412"/>
        <v>0</v>
      </c>
      <c r="AO369" s="1323">
        <f t="shared" si="1412"/>
        <v>0</v>
      </c>
      <c r="AP369" s="1323">
        <f t="shared" si="1412"/>
        <v>0</v>
      </c>
      <c r="AQ369" s="1323">
        <f t="shared" si="1412"/>
        <v>0.129215</v>
      </c>
      <c r="AR369" s="1323">
        <f t="shared" si="1412"/>
        <v>0.40600000000000003</v>
      </c>
      <c r="AS369" s="1323">
        <f t="shared" si="1412"/>
        <v>0.52300000000000002</v>
      </c>
      <c r="AT369" s="1323">
        <f t="shared" si="1412"/>
        <v>0.45800000000000002</v>
      </c>
      <c r="AU369" s="1323">
        <f t="shared" si="1412"/>
        <v>0.66700000000000004</v>
      </c>
      <c r="AV369" s="1323">
        <f t="shared" si="1412"/>
        <v>0.504</v>
      </c>
      <c r="AW369" s="1323">
        <f t="shared" si="1412"/>
        <v>0.32400000000000001</v>
      </c>
      <c r="AX369" s="1323">
        <f t="shared" si="1412"/>
        <v>0.24</v>
      </c>
      <c r="AY369" s="1323">
        <f t="shared" si="1412"/>
        <v>1.3009999999999999</v>
      </c>
      <c r="AZ369" s="1323">
        <f t="shared" si="1412"/>
        <v>5.202</v>
      </c>
      <c r="BA369" s="1323">
        <f t="shared" si="1412"/>
        <v>7.9779999999999998</v>
      </c>
      <c r="BB369" s="1323">
        <f t="shared" ref="BB369:BC369" si="1413">+BB305+BB306</f>
        <v>7.1550000000000002</v>
      </c>
      <c r="BC369" s="1323">
        <f t="shared" si="1413"/>
        <v>11.608000000000001</v>
      </c>
    </row>
    <row r="370" spans="1:55" s="763" customFormat="1" x14ac:dyDescent="0.25">
      <c r="A370" s="1317" t="s">
        <v>333</v>
      </c>
      <c r="C370" s="1322">
        <f>+SUM(C368:C369)</f>
        <v>7.4349999999999996</v>
      </c>
      <c r="D370" s="1327">
        <f t="shared" ref="D370:AQ370" si="1414">+SUM(D368:D369)</f>
        <v>7.4550000000000001</v>
      </c>
      <c r="E370" s="1322">
        <f t="shared" si="1414"/>
        <v>7.3949999999999996</v>
      </c>
      <c r="F370" s="1322">
        <f t="shared" si="1414"/>
        <v>7.0579999999999998</v>
      </c>
      <c r="G370" s="1322">
        <f t="shared" si="1414"/>
        <v>7.0869999999999997</v>
      </c>
      <c r="H370" s="1327">
        <f t="shared" si="1414"/>
        <v>6.0830000000000002</v>
      </c>
      <c r="I370" s="1322">
        <f t="shared" si="1414"/>
        <v>5.7679999999999998</v>
      </c>
      <c r="J370" s="1327">
        <f t="shared" si="1414"/>
        <v>5.38</v>
      </c>
      <c r="K370" s="1322">
        <f t="shared" si="1414"/>
        <v>5.8340000000000005</v>
      </c>
      <c r="L370" s="1327">
        <f t="shared" si="1414"/>
        <v>6.0010000000000003</v>
      </c>
      <c r="M370" s="1322">
        <f t="shared" si="1414"/>
        <v>7.2859999999999996</v>
      </c>
      <c r="N370" s="1327">
        <f t="shared" si="1414"/>
        <v>13.198</v>
      </c>
      <c r="O370" s="1322">
        <f t="shared" si="1414"/>
        <v>15.478999999999999</v>
      </c>
      <c r="P370" s="1327">
        <f t="shared" si="1414"/>
        <v>16.954999999999998</v>
      </c>
      <c r="Q370" s="1322">
        <f t="shared" si="1414"/>
        <v>18.507999999999999</v>
      </c>
      <c r="R370" s="1327">
        <f t="shared" si="1414"/>
        <v>19.247999999999998</v>
      </c>
      <c r="S370" s="1322">
        <f t="shared" si="1414"/>
        <v>18.741</v>
      </c>
      <c r="T370" s="1327">
        <f t="shared" ref="T370" si="1415">+SUM(T368:T369)</f>
        <v>18.503</v>
      </c>
      <c r="U370" s="1322">
        <f t="shared" ref="U370:V370" si="1416">+SUM(U368:U369)</f>
        <v>19.303000000000001</v>
      </c>
      <c r="V370" s="1327">
        <f t="shared" si="1416"/>
        <v>21.44</v>
      </c>
      <c r="W370" s="1322">
        <f t="shared" ref="W370" si="1417">+SUM(W368:W369)</f>
        <v>26.764000000000003</v>
      </c>
      <c r="X370" s="1322"/>
      <c r="Y370" s="1322">
        <f t="shared" si="1414"/>
        <v>0</v>
      </c>
      <c r="Z370" s="1322">
        <f t="shared" si="1414"/>
        <v>0</v>
      </c>
      <c r="AA370" s="1322"/>
      <c r="AB370" s="1322"/>
      <c r="AC370" s="1322"/>
      <c r="AD370" s="1322">
        <f t="shared" si="1414"/>
        <v>0</v>
      </c>
      <c r="AE370" s="1322">
        <f t="shared" si="1414"/>
        <v>0</v>
      </c>
      <c r="AF370" s="1322">
        <f t="shared" si="1414"/>
        <v>0</v>
      </c>
      <c r="AG370" s="1322">
        <f t="shared" si="1414"/>
        <v>0</v>
      </c>
      <c r="AH370" s="1322">
        <f t="shared" si="1414"/>
        <v>0</v>
      </c>
      <c r="AI370" s="1322">
        <f t="shared" si="1414"/>
        <v>0</v>
      </c>
      <c r="AJ370" s="1322">
        <f t="shared" si="1414"/>
        <v>0</v>
      </c>
      <c r="AK370" s="1322">
        <f t="shared" si="1414"/>
        <v>0</v>
      </c>
      <c r="AL370" s="1322">
        <f t="shared" si="1414"/>
        <v>0</v>
      </c>
      <c r="AM370" s="1322">
        <f t="shared" si="1414"/>
        <v>0</v>
      </c>
      <c r="AN370" s="1322">
        <f t="shared" si="1414"/>
        <v>0</v>
      </c>
      <c r="AO370" s="1322">
        <f t="shared" si="1414"/>
        <v>0</v>
      </c>
      <c r="AP370" s="1322">
        <f t="shared" si="1414"/>
        <v>0</v>
      </c>
      <c r="AQ370" s="1322">
        <f t="shared" si="1414"/>
        <v>4.8259509999999999</v>
      </c>
      <c r="AR370" s="1322">
        <f t="shared" ref="AR370" si="1418">+SUM(AR368:AR369)</f>
        <v>6.7569999999999997</v>
      </c>
      <c r="AS370" s="1322">
        <f t="shared" ref="AS370" si="1419">+SUM(AS368:AS369)</f>
        <v>7.13</v>
      </c>
      <c r="AT370" s="1322">
        <f t="shared" ref="AT370" si="1420">+SUM(AT368:AT369)</f>
        <v>7.4550000000000001</v>
      </c>
      <c r="AU370" s="1322">
        <f t="shared" ref="AU370" si="1421">+SUM(AU368:AU369)</f>
        <v>7.0579999999999998</v>
      </c>
      <c r="AV370" s="1322">
        <f t="shared" ref="AV370" si="1422">+SUM(AV368:AV369)</f>
        <v>6.0830000000000002</v>
      </c>
      <c r="AW370" s="1322">
        <f t="shared" ref="AW370" si="1423">+SUM(AW368:AW369)</f>
        <v>5.38</v>
      </c>
      <c r="AX370" s="1322">
        <f t="shared" ref="AX370" si="1424">+SUM(AX368:AX369)</f>
        <v>6.0010000000000003</v>
      </c>
      <c r="AY370" s="1322">
        <f t="shared" ref="AY370" si="1425">+SUM(AY368:AY369)</f>
        <v>13.198</v>
      </c>
      <c r="AZ370" s="1322">
        <f t="shared" ref="AZ370" si="1426">+SUM(AZ368:AZ369)</f>
        <v>16.954999999999998</v>
      </c>
      <c r="BA370" s="1322">
        <f t="shared" ref="BA370:BB370" si="1427">+SUM(BA368:BA369)</f>
        <v>19.247999999999998</v>
      </c>
      <c r="BB370" s="1322">
        <f t="shared" si="1427"/>
        <v>18.503</v>
      </c>
      <c r="BC370" s="1322">
        <f t="shared" ref="BC370" si="1428">+SUM(BC368:BC369)</f>
        <v>21.44</v>
      </c>
    </row>
    <row r="371" spans="1:55" x14ac:dyDescent="0.25">
      <c r="D371" s="791"/>
      <c r="H371" s="791"/>
      <c r="J371" s="791"/>
      <c r="L371" s="791"/>
      <c r="N371" s="791"/>
      <c r="P371" s="791"/>
      <c r="R371" s="791"/>
      <c r="T371" s="791"/>
      <c r="V371" s="791"/>
    </row>
    <row r="372" spans="1:55" s="763" customFormat="1" x14ac:dyDescent="0.25">
      <c r="A372" s="1321" t="s">
        <v>334</v>
      </c>
      <c r="C372" s="1322">
        <f t="shared" ref="C372:S372" si="1429">+C370+C354</f>
        <v>42.167999999999992</v>
      </c>
      <c r="D372" s="1327">
        <f t="shared" si="1429"/>
        <v>24.006</v>
      </c>
      <c r="E372" s="1322">
        <f t="shared" si="1429"/>
        <v>16.01199999999999</v>
      </c>
      <c r="F372" s="1322">
        <f t="shared" si="1429"/>
        <v>28.928999999999995</v>
      </c>
      <c r="G372" s="1322">
        <f t="shared" si="1429"/>
        <v>26.799000000000017</v>
      </c>
      <c r="H372" s="1327">
        <f t="shared" si="1429"/>
        <v>31.389999999999986</v>
      </c>
      <c r="I372" s="1322">
        <f t="shared" si="1429"/>
        <v>31.581999999999994</v>
      </c>
      <c r="J372" s="1327">
        <f t="shared" si="1429"/>
        <v>34.703999999999986</v>
      </c>
      <c r="K372" s="1322">
        <f t="shared" si="1429"/>
        <v>34.133999999999986</v>
      </c>
      <c r="L372" s="1327">
        <f t="shared" si="1429"/>
        <v>42.759000000000036</v>
      </c>
      <c r="M372" s="1322">
        <f t="shared" si="1429"/>
        <v>45.286000000000001</v>
      </c>
      <c r="N372" s="1327">
        <f t="shared" si="1429"/>
        <v>61.27</v>
      </c>
      <c r="O372" s="1322">
        <f t="shared" si="1429"/>
        <v>71.347999999999971</v>
      </c>
      <c r="P372" s="1327">
        <f t="shared" si="1429"/>
        <v>78.744999999999962</v>
      </c>
      <c r="Q372" s="1322">
        <f t="shared" si="1429"/>
        <v>90.238000000000071</v>
      </c>
      <c r="R372" s="1327">
        <f t="shared" si="1429"/>
        <v>115.10399999999998</v>
      </c>
      <c r="S372" s="1322">
        <f t="shared" si="1429"/>
        <v>106.25800000000005</v>
      </c>
      <c r="T372" s="1327">
        <f t="shared" ref="T372:U372" si="1430">+T370+T354</f>
        <v>128.65699999999998</v>
      </c>
      <c r="U372" s="1322">
        <f t="shared" si="1430"/>
        <v>134.56799999999998</v>
      </c>
      <c r="V372" s="1327">
        <f t="shared" ref="V372:W372" si="1431">+V370+V354</f>
        <v>147.59600000000006</v>
      </c>
      <c r="W372" s="1322">
        <f t="shared" si="1431"/>
        <v>147.4670000000001</v>
      </c>
      <c r="X372" s="1322"/>
      <c r="Y372" s="1322">
        <f t="shared" ref="Y372:BA372" si="1432">+Y370+Y354</f>
        <v>0</v>
      </c>
      <c r="Z372" s="1322">
        <f t="shared" si="1432"/>
        <v>0</v>
      </c>
      <c r="AA372" s="1322"/>
      <c r="AB372" s="1322"/>
      <c r="AC372" s="1322"/>
      <c r="AD372" s="1322">
        <f t="shared" si="1432"/>
        <v>0</v>
      </c>
      <c r="AE372" s="1322">
        <f t="shared" si="1432"/>
        <v>5.9503060000000003</v>
      </c>
      <c r="AF372" s="1322">
        <f t="shared" si="1432"/>
        <v>7.3640429999999997</v>
      </c>
      <c r="AG372" s="1322">
        <f t="shared" si="1432"/>
        <v>18.002057999999998</v>
      </c>
      <c r="AH372" s="1322">
        <f t="shared" si="1432"/>
        <v>10.449974999999998</v>
      </c>
      <c r="AI372" s="1322">
        <f t="shared" si="1432"/>
        <v>13.932898000000002</v>
      </c>
      <c r="AJ372" s="1322">
        <f t="shared" si="1432"/>
        <v>13.896751</v>
      </c>
      <c r="AK372" s="1322">
        <f t="shared" si="1432"/>
        <v>15.937218</v>
      </c>
      <c r="AL372" s="1322">
        <f t="shared" si="1432"/>
        <v>19.775434000000001</v>
      </c>
      <c r="AM372" s="1322">
        <f t="shared" si="1432"/>
        <v>20.13428</v>
      </c>
      <c r="AN372" s="1322">
        <f t="shared" si="1432"/>
        <v>21.01613</v>
      </c>
      <c r="AO372" s="1322">
        <f t="shared" si="1432"/>
        <v>30.931951000000002</v>
      </c>
      <c r="AP372" s="1322">
        <f t="shared" si="1432"/>
        <v>50.047471000000002</v>
      </c>
      <c r="AQ372" s="1322">
        <f t="shared" si="1432"/>
        <v>35.279774000000003</v>
      </c>
      <c r="AR372" s="1322">
        <f t="shared" si="1432"/>
        <v>44.56</v>
      </c>
      <c r="AS372" s="1322">
        <f t="shared" si="1432"/>
        <v>37.30299999999999</v>
      </c>
      <c r="AT372" s="1322">
        <f t="shared" si="1432"/>
        <v>24.006</v>
      </c>
      <c r="AU372" s="1322">
        <f t="shared" si="1432"/>
        <v>28.928999999999995</v>
      </c>
      <c r="AV372" s="1322">
        <f t="shared" si="1432"/>
        <v>31.389999999999986</v>
      </c>
      <c r="AW372" s="1322">
        <f t="shared" si="1432"/>
        <v>34.703999999999986</v>
      </c>
      <c r="AX372" s="1322">
        <f t="shared" si="1432"/>
        <v>42.759000000000036</v>
      </c>
      <c r="AY372" s="1322">
        <f t="shared" si="1432"/>
        <v>61.27</v>
      </c>
      <c r="AZ372" s="1322">
        <f t="shared" si="1432"/>
        <v>78.744999999999962</v>
      </c>
      <c r="BA372" s="1322">
        <f t="shared" si="1432"/>
        <v>115.10399999999998</v>
      </c>
      <c r="BB372" s="1322">
        <f t="shared" ref="BB372:BC372" si="1433">+BB370+BB354</f>
        <v>128.65699999999998</v>
      </c>
      <c r="BC372" s="1322">
        <f t="shared" si="1433"/>
        <v>147.59600000000006</v>
      </c>
    </row>
    <row r="373" spans="1:55" s="1332" customFormat="1" x14ac:dyDescent="0.25">
      <c r="A373" s="1331" t="s">
        <v>335</v>
      </c>
      <c r="C373" s="1175">
        <f t="shared" ref="C373:S373" si="1434">C243/C372*2</f>
        <v>0.81734964902295515</v>
      </c>
      <c r="D373" s="1176">
        <f t="shared" si="1434"/>
        <v>1.8619511788719507</v>
      </c>
      <c r="E373" s="1175">
        <f t="shared" si="1434"/>
        <v>1.9145640769422958</v>
      </c>
      <c r="F373" s="1175">
        <f t="shared" si="1434"/>
        <v>1.8570984133568376</v>
      </c>
      <c r="G373" s="1175">
        <f t="shared" si="1434"/>
        <v>1.5597596925258395</v>
      </c>
      <c r="H373" s="1176">
        <f t="shared" si="1434"/>
        <v>1.8637782733354582</v>
      </c>
      <c r="I373" s="1175">
        <f t="shared" si="1434"/>
        <v>1.5268190741561638</v>
      </c>
      <c r="J373" s="1176">
        <f t="shared" si="1434"/>
        <v>2.5306592899953921</v>
      </c>
      <c r="K373" s="1175">
        <f t="shared" si="1434"/>
        <v>1.9835940704283144</v>
      </c>
      <c r="L373" s="1176">
        <f t="shared" si="1434"/>
        <v>2.368249959072942</v>
      </c>
      <c r="M373" s="1175">
        <f t="shared" si="1434"/>
        <v>1.7876606456741608</v>
      </c>
      <c r="N373" s="1176">
        <f t="shared" si="1434"/>
        <v>1.7383711441162035</v>
      </c>
      <c r="O373" s="1175">
        <f t="shared" si="1434"/>
        <v>1.5995963446767976</v>
      </c>
      <c r="P373" s="1176">
        <f t="shared" si="1434"/>
        <v>1.5836434059305333</v>
      </c>
      <c r="Q373" s="1175">
        <f t="shared" si="1434"/>
        <v>1.4214189144262952</v>
      </c>
      <c r="R373" s="1176">
        <f t="shared" si="1434"/>
        <v>1.2512510425354439</v>
      </c>
      <c r="S373" s="1175">
        <f t="shared" si="1434"/>
        <v>1.1871294396657182</v>
      </c>
      <c r="T373" s="1176">
        <f t="shared" ref="T373:U373" si="1435">T243/T372*2</f>
        <v>1.2098680988986226</v>
      </c>
      <c r="U373" s="1175">
        <f t="shared" si="1435"/>
        <v>0.99178110694964672</v>
      </c>
      <c r="V373" s="1176">
        <f t="shared" ref="V373:W373" si="1436">V243/V372*2</f>
        <v>1.1834060543646157</v>
      </c>
      <c r="W373" s="1175">
        <f t="shared" si="1436"/>
        <v>0.99903029152284861</v>
      </c>
      <c r="Y373" s="1332" t="e">
        <f t="shared" ref="Y373:AP373" si="1437">Y243/Y372*4</f>
        <v>#DIV/0!</v>
      </c>
      <c r="Z373" s="1332" t="e">
        <f t="shared" si="1437"/>
        <v>#DIV/0!</v>
      </c>
      <c r="AD373" s="1332" t="e">
        <f t="shared" si="1437"/>
        <v>#DIV/0!</v>
      </c>
      <c r="AE373" s="1332">
        <f t="shared" si="1437"/>
        <v>0.35864441257306784</v>
      </c>
      <c r="AF373" s="1332">
        <f t="shared" si="1437"/>
        <v>0.43798223340086467</v>
      </c>
      <c r="AG373" s="1332">
        <f t="shared" si="1437"/>
        <v>0.26301881707080366</v>
      </c>
      <c r="AH373" s="1332">
        <f t="shared" si="1437"/>
        <v>0.63421051246534155</v>
      </c>
      <c r="AI373" s="1332">
        <f t="shared" si="1437"/>
        <v>0.57234812169011839</v>
      </c>
      <c r="AJ373" s="1332">
        <f t="shared" si="1437"/>
        <v>0.33018624281315967</v>
      </c>
      <c r="AK373" s="1332">
        <f t="shared" si="1437"/>
        <v>0.32941784444436806</v>
      </c>
      <c r="AL373" s="1332">
        <f t="shared" si="1437"/>
        <v>0.67429882954781317</v>
      </c>
      <c r="AM373" s="1332">
        <f t="shared" si="1437"/>
        <v>1.1398349481580663</v>
      </c>
      <c r="AN373" s="1332">
        <f t="shared" si="1437"/>
        <v>1.4084433242466636</v>
      </c>
      <c r="AO373" s="1332">
        <f t="shared" si="1437"/>
        <v>1.2973969860485024</v>
      </c>
      <c r="AP373" s="1332">
        <f t="shared" si="1437"/>
        <v>1.3019392728156025</v>
      </c>
      <c r="AQ373" s="1175">
        <f t="shared" ref="AQ373:BA373" si="1438">AQ243/AQ372</f>
        <v>0.63180980127593778</v>
      </c>
      <c r="AR373" s="1175">
        <f t="shared" si="1438"/>
        <v>0.61418312387791663</v>
      </c>
      <c r="AS373" s="1175">
        <f t="shared" si="1438"/>
        <v>0.9524166957081206</v>
      </c>
      <c r="AT373" s="1175">
        <f t="shared" si="1438"/>
        <v>1.6488377905523586</v>
      </c>
      <c r="AU373" s="1175">
        <f t="shared" si="1438"/>
        <v>1.4583981471879426</v>
      </c>
      <c r="AV373" s="1175">
        <f t="shared" si="1438"/>
        <v>1.5977062758840401</v>
      </c>
      <c r="AW373" s="1175">
        <f t="shared" si="1438"/>
        <v>1.9600622406639014</v>
      </c>
      <c r="AX373" s="1175">
        <f t="shared" si="1438"/>
        <v>1.975864730232231</v>
      </c>
      <c r="AY373" s="1175">
        <f t="shared" si="1438"/>
        <v>1.5298351558674705</v>
      </c>
      <c r="AZ373" s="1175">
        <f t="shared" si="1438"/>
        <v>1.5164899358689441</v>
      </c>
      <c r="BA373" s="1175">
        <f t="shared" si="1438"/>
        <v>1.1827999026966911</v>
      </c>
      <c r="BB373" s="1175">
        <f t="shared" ref="BB373:BC373" si="1439">BB243/BB372</f>
        <v>1.0951599990672876</v>
      </c>
      <c r="BC373" s="1175">
        <f t="shared" si="1439"/>
        <v>1.0438223258082868</v>
      </c>
    </row>
    <row r="374" spans="1:55" x14ac:dyDescent="0.25">
      <c r="E374" s="790"/>
      <c r="H374" s="791"/>
      <c r="J374" s="791"/>
      <c r="L374" s="791"/>
      <c r="N374" s="791"/>
      <c r="P374" s="791"/>
      <c r="R374" s="791"/>
      <c r="T374" s="791"/>
      <c r="V374" s="791"/>
    </row>
    <row r="375" spans="1:55" x14ac:dyDescent="0.25">
      <c r="E375" s="790"/>
      <c r="H375" s="791"/>
      <c r="J375" s="791"/>
      <c r="L375" s="791"/>
      <c r="N375" s="791"/>
      <c r="P375" s="791"/>
      <c r="R375" s="791"/>
      <c r="T375" s="791"/>
      <c r="V375" s="791"/>
    </row>
    <row r="376" spans="1:55" x14ac:dyDescent="0.25">
      <c r="A376" s="771" t="s">
        <v>336</v>
      </c>
      <c r="E376" s="790"/>
      <c r="H376" s="791"/>
      <c r="J376" s="791"/>
      <c r="L376" s="791"/>
      <c r="N376" s="791"/>
      <c r="P376" s="791"/>
      <c r="R376" s="791"/>
      <c r="T376" s="791"/>
      <c r="V376" s="791"/>
    </row>
    <row r="377" spans="1:55" x14ac:dyDescent="0.25">
      <c r="A377" s="763"/>
      <c r="E377" s="790"/>
      <c r="H377" s="791"/>
      <c r="J377" s="791"/>
      <c r="L377" s="791"/>
      <c r="N377" s="791"/>
      <c r="P377" s="791"/>
      <c r="R377" s="791"/>
      <c r="T377" s="791"/>
      <c r="V377" s="791"/>
    </row>
    <row r="378" spans="1:55" x14ac:dyDescent="0.25">
      <c r="A378" s="763" t="s">
        <v>169</v>
      </c>
      <c r="E378" s="790"/>
      <c r="H378" s="791"/>
      <c r="J378" s="791"/>
      <c r="L378" s="791"/>
      <c r="N378" s="791"/>
      <c r="P378" s="791"/>
      <c r="R378" s="791"/>
      <c r="T378" s="791"/>
      <c r="V378" s="791"/>
    </row>
    <row r="379" spans="1:55" x14ac:dyDescent="0.25">
      <c r="A379" s="760" t="s">
        <v>231</v>
      </c>
      <c r="C379" s="772">
        <f>'CapIQ - as disclosed'!Y91/1000</f>
        <v>17.233000000000001</v>
      </c>
      <c r="D379" s="772">
        <f>'CapIQ - as disclosed'!Z91/1000</f>
        <v>22.349</v>
      </c>
      <c r="E379" s="773">
        <f>'CapIQ - as disclosed'!AA91/1000</f>
        <v>15.327999999999999</v>
      </c>
      <c r="F379" s="772">
        <f>AU379-E379</f>
        <v>26.861999999999998</v>
      </c>
      <c r="G379" s="772">
        <v>20.891999999999999</v>
      </c>
      <c r="H379" s="774">
        <f>AV379-G379</f>
        <v>29.27</v>
      </c>
      <c r="I379" s="772">
        <v>24.11</v>
      </c>
      <c r="J379" s="774">
        <f>+Canalyst!F315</f>
        <v>43.912000000000006</v>
      </c>
      <c r="K379" s="772">
        <f>+Canalyst!G315</f>
        <v>33.853999999999999</v>
      </c>
      <c r="L379" s="774">
        <f>+Canalyst!H315</f>
        <v>50.632000000000005</v>
      </c>
      <c r="M379" s="772">
        <f>+Canalyst!I315</f>
        <v>40.478000000000002</v>
      </c>
      <c r="N379" s="774">
        <f>+Canalyst!J315</f>
        <v>53.255000000000003</v>
      </c>
      <c r="O379" s="772">
        <f>+Canalyst!K315</f>
        <v>57.064</v>
      </c>
      <c r="P379" s="774">
        <f>+Canalyst!L315</f>
        <v>62.351999999999997</v>
      </c>
      <c r="Q379" s="772">
        <f>+Canalyst!M315</f>
        <v>64.132999999999996</v>
      </c>
      <c r="R379" s="774">
        <f>+Canalyst!N315</f>
        <v>72.012000000000015</v>
      </c>
      <c r="S379" s="772">
        <f>+Canalyst!O315</f>
        <v>63.070999999999998</v>
      </c>
      <c r="T379" s="774">
        <f>+BB379-S379</f>
        <v>77.826999999999998</v>
      </c>
      <c r="U379" s="772">
        <v>66.730999999999995</v>
      </c>
      <c r="V379" s="774">
        <f>+BC379-U379</f>
        <v>87.332999999999998</v>
      </c>
      <c r="W379" s="772">
        <v>73.662000000000006</v>
      </c>
      <c r="AE379" s="772">
        <f>'CapIQ - as disclosed'!G91/1000000</f>
        <v>0.53351099999999996</v>
      </c>
      <c r="AF379" s="772">
        <f>'CapIQ - as disclosed'!H91/1000000</f>
        <v>0.84082699999999999</v>
      </c>
      <c r="AG379" s="772">
        <f>'CapIQ - as disclosed'!I91/1000000</f>
        <v>1.1837200000000001</v>
      </c>
      <c r="AH379" s="772">
        <f>'CapIQ - as disclosed'!J91/1000000</f>
        <v>1.656871</v>
      </c>
      <c r="AI379" s="772">
        <f>'CapIQ - as disclosed'!K91/1000000</f>
        <v>1.993617</v>
      </c>
      <c r="AJ379" s="772">
        <f>'CapIQ - as disclosed'!L91/1000000</f>
        <v>1.1471290000000001</v>
      </c>
      <c r="AK379" s="772">
        <f>'CapIQ - as disclosed'!M91/1000000</f>
        <v>1.3125009999999999</v>
      </c>
      <c r="AL379" s="772">
        <f>'CapIQ - as disclosed'!N91/1000000</f>
        <v>3.3336380000000001</v>
      </c>
      <c r="AM379" s="772">
        <f>'CapIQ - as disclosed'!O91/1000000</f>
        <v>5.7374390000000002</v>
      </c>
      <c r="AN379" s="772">
        <f>'CapIQ - as disclosed'!P91/1000000</f>
        <v>7.4000069999999996</v>
      </c>
      <c r="AO379" s="772">
        <f>'CapIQ - as disclosed'!Q91/1000000</f>
        <v>10.032755</v>
      </c>
      <c r="AP379" s="772">
        <f>'CapIQ - as disclosed'!R91/1000000</f>
        <v>16.289691999999999</v>
      </c>
      <c r="AQ379" s="772">
        <f>'CapIQ - as disclosed'!S91/1000000</f>
        <v>22.290106999999999</v>
      </c>
      <c r="AR379" s="772">
        <v>27.367999999999999</v>
      </c>
      <c r="AS379" s="772">
        <v>35.527999999999999</v>
      </c>
      <c r="AT379" s="772">
        <v>39.582000000000001</v>
      </c>
      <c r="AU379" s="772">
        <v>42.19</v>
      </c>
      <c r="AV379" s="772">
        <v>50.161999999999999</v>
      </c>
      <c r="AW379" s="772">
        <f>+Canalyst!AI315</f>
        <v>68.022000000000006</v>
      </c>
      <c r="AX379" s="772">
        <f>+Canalyst!AJ315</f>
        <v>84.486000000000004</v>
      </c>
      <c r="AY379" s="772">
        <f>+Canalyst!AK315</f>
        <v>93.733000000000004</v>
      </c>
      <c r="AZ379" s="772">
        <f>+Canalyst!AL315</f>
        <v>119.416</v>
      </c>
      <c r="BA379" s="772">
        <f>+Canalyst!AM315</f>
        <v>136.14500000000001</v>
      </c>
      <c r="BB379" s="772">
        <v>140.898</v>
      </c>
      <c r="BC379" s="772">
        <v>154.06399999999999</v>
      </c>
    </row>
    <row r="380" spans="1:55" x14ac:dyDescent="0.25">
      <c r="A380" s="760" t="s">
        <v>337</v>
      </c>
      <c r="C380" s="772">
        <f>'CapIQ - as disclosed'!Y92/1000</f>
        <v>0.89</v>
      </c>
      <c r="D380" s="772">
        <f>'CapIQ - as disclosed'!Z92/1000</f>
        <v>0.90400000000000003</v>
      </c>
      <c r="E380" s="773">
        <f>'CapIQ - as disclosed'!AA92/1000</f>
        <v>0.92</v>
      </c>
      <c r="F380" s="772">
        <f>AU380-E380</f>
        <v>0.876</v>
      </c>
      <c r="G380" s="772">
        <v>0.82399999999999995</v>
      </c>
      <c r="H380" s="774">
        <f>AV380-G380</f>
        <v>0.81700000000000006</v>
      </c>
      <c r="I380" s="772">
        <v>0.745</v>
      </c>
      <c r="J380" s="774">
        <f>+Canalyst!F316</f>
        <v>0.71499999999999997</v>
      </c>
      <c r="K380" s="772">
        <f>+Canalyst!G316</f>
        <v>0.64600000000000002</v>
      </c>
      <c r="L380" s="774">
        <f>+Canalyst!H316</f>
        <v>0.62899999999999989</v>
      </c>
      <c r="M380" s="772">
        <f>+Canalyst!I316</f>
        <v>0.58199999999999996</v>
      </c>
      <c r="N380" s="774">
        <f>+Canalyst!J316</f>
        <v>0.79999999999999993</v>
      </c>
      <c r="O380" s="772">
        <f>+Canalyst!K316</f>
        <v>1.1739999999999999</v>
      </c>
      <c r="P380" s="774">
        <f>+Canalyst!L316</f>
        <v>1.1579999999999999</v>
      </c>
      <c r="Q380" s="772">
        <f>+Canalyst!M316</f>
        <v>1.1819999999999999</v>
      </c>
      <c r="R380" s="774">
        <f>+Canalyst!N316</f>
        <v>1.1910000000000003</v>
      </c>
      <c r="S380" s="772">
        <f>+Canalyst!O316</f>
        <v>1.155</v>
      </c>
      <c r="T380" s="774">
        <f t="shared" ref="T380:T397" si="1440">+BB380-S380</f>
        <v>1.3110000000000002</v>
      </c>
      <c r="U380" s="772">
        <v>1.2749999999999999</v>
      </c>
      <c r="V380" s="774">
        <f t="shared" ref="V380:V417" si="1441">+BC380-U380</f>
        <v>1.3559999999999999</v>
      </c>
      <c r="W380" s="772">
        <v>1.3859999999999999</v>
      </c>
      <c r="AE380" s="772">
        <f>'CapIQ - as disclosed'!G92/1000000</f>
        <v>8.3861000000000005E-2</v>
      </c>
      <c r="AF380" s="772">
        <f>'CapIQ - as disclosed'!H92/1000000</f>
        <v>0.15209800000000001</v>
      </c>
      <c r="AG380" s="772">
        <f>'CapIQ - as disclosed'!I92/1000000</f>
        <v>0.217893</v>
      </c>
      <c r="AH380" s="772">
        <f>'CapIQ - as disclosed'!J92/1000000</f>
        <v>0.14410100000000001</v>
      </c>
      <c r="AI380" s="772">
        <f>'CapIQ - as disclosed'!K92/1000000</f>
        <v>0.18634500000000001</v>
      </c>
      <c r="AJ380" s="772">
        <f>'CapIQ - as disclosed'!L92/1000000</f>
        <v>0.215922</v>
      </c>
      <c r="AK380" s="772">
        <f>'CapIQ - as disclosed'!M92/1000000</f>
        <v>0.173344</v>
      </c>
      <c r="AL380" s="772">
        <f>'CapIQ - as disclosed'!N92/1000000</f>
        <v>9.1423000000000004E-2</v>
      </c>
      <c r="AM380" s="772">
        <f>'CapIQ - as disclosed'!O92/1000000</f>
        <v>0.10013900000000001</v>
      </c>
      <c r="AN380" s="772">
        <f>'CapIQ - as disclosed'!P92/1000000</f>
        <v>0.27379599999999998</v>
      </c>
      <c r="AO380" s="772">
        <f>'CapIQ - as disclosed'!Q92/1000000</f>
        <v>0.27246100000000001</v>
      </c>
      <c r="AP380" s="772">
        <f>'CapIQ - as disclosed'!R92/1000000</f>
        <v>0.23738699999999999</v>
      </c>
      <c r="AQ380" s="772">
        <f>'CapIQ - as disclosed'!S92/1000000</f>
        <v>0.47457500000000002</v>
      </c>
      <c r="AR380" s="772">
        <v>1.0680000000000001</v>
      </c>
      <c r="AS380" s="772">
        <v>1.5649999999999999</v>
      </c>
      <c r="AT380" s="772">
        <v>1.794</v>
      </c>
      <c r="AU380" s="772">
        <v>1.796</v>
      </c>
      <c r="AV380" s="772">
        <v>1.641</v>
      </c>
      <c r="AW380" s="772">
        <f>+Canalyst!AI316</f>
        <v>1.46</v>
      </c>
      <c r="AX380" s="772">
        <f>+Canalyst!AJ316</f>
        <v>1.2749999999999999</v>
      </c>
      <c r="AY380" s="772">
        <f>+Canalyst!AK316</f>
        <v>1.3819999999999999</v>
      </c>
      <c r="AZ380" s="772">
        <f>+Canalyst!AL316</f>
        <v>2.3319999999999999</v>
      </c>
      <c r="BA380" s="772">
        <f>+Canalyst!AM316</f>
        <v>2.3730000000000002</v>
      </c>
      <c r="BB380" s="772">
        <v>2.4660000000000002</v>
      </c>
      <c r="BC380" s="772">
        <v>2.6309999999999998</v>
      </c>
    </row>
    <row r="381" spans="1:55" x14ac:dyDescent="0.25">
      <c r="A381" s="760" t="str">
        <f>+Canalyst!A317</f>
        <v>Depreciation of right-of-use assets</v>
      </c>
      <c r="C381" s="772">
        <v>0</v>
      </c>
      <c r="D381" s="772">
        <v>0</v>
      </c>
      <c r="E381" s="773">
        <v>0</v>
      </c>
      <c r="F381" s="772">
        <v>0</v>
      </c>
      <c r="G381" s="772">
        <v>0</v>
      </c>
      <c r="H381" s="774">
        <v>0</v>
      </c>
      <c r="I381" s="772">
        <v>0</v>
      </c>
      <c r="J381" s="774">
        <f>+Canalyst!F317</f>
        <v>0</v>
      </c>
      <c r="K381" s="772">
        <f>+Canalyst!G317</f>
        <v>0</v>
      </c>
      <c r="L381" s="774">
        <f>+Canalyst!H317</f>
        <v>0</v>
      </c>
      <c r="M381" s="772">
        <f>+Canalyst!I317</f>
        <v>0.95699999999999996</v>
      </c>
      <c r="N381" s="774">
        <f>+Canalyst!J317</f>
        <v>1.0129999999999999</v>
      </c>
      <c r="O381" s="772">
        <f>+Canalyst!K317</f>
        <v>1.1259999999999999</v>
      </c>
      <c r="P381" s="774">
        <f>+Canalyst!L317</f>
        <v>1.137</v>
      </c>
      <c r="Q381" s="772">
        <f>+Canalyst!M317</f>
        <v>1.206</v>
      </c>
      <c r="R381" s="774">
        <f>+Canalyst!N317</f>
        <v>0.38800000000000012</v>
      </c>
      <c r="S381" s="772">
        <f>+Canalyst!O317</f>
        <v>1.0589999999999999</v>
      </c>
      <c r="T381" s="774">
        <f t="shared" si="1440"/>
        <v>1.0679999999999998</v>
      </c>
      <c r="U381" s="772">
        <v>1.19</v>
      </c>
      <c r="V381" s="774">
        <f t="shared" si="1441"/>
        <v>1.2389999999999999</v>
      </c>
      <c r="W381" s="772">
        <v>1.401</v>
      </c>
      <c r="AE381" s="772">
        <v>0</v>
      </c>
      <c r="AF381" s="772">
        <v>0</v>
      </c>
      <c r="AG381" s="772">
        <v>0</v>
      </c>
      <c r="AH381" s="772">
        <v>0</v>
      </c>
      <c r="AI381" s="772">
        <v>0</v>
      </c>
      <c r="AJ381" s="772">
        <v>0</v>
      </c>
      <c r="AK381" s="772">
        <v>0</v>
      </c>
      <c r="AL381" s="772">
        <v>0</v>
      </c>
      <c r="AM381" s="772">
        <v>0</v>
      </c>
      <c r="AN381" s="772">
        <v>0</v>
      </c>
      <c r="AO381" s="772">
        <v>0</v>
      </c>
      <c r="AP381" s="772">
        <v>0</v>
      </c>
      <c r="AQ381" s="772">
        <v>0</v>
      </c>
      <c r="AR381" s="772">
        <v>0</v>
      </c>
      <c r="AS381" s="772">
        <v>0</v>
      </c>
      <c r="AT381" s="772">
        <v>0</v>
      </c>
      <c r="AU381" s="772">
        <v>0</v>
      </c>
      <c r="AV381" s="772">
        <v>0</v>
      </c>
      <c r="AW381" s="772">
        <f>+Canalyst!AI317</f>
        <v>0</v>
      </c>
      <c r="AX381" s="772">
        <f>+Canalyst!AJ317</f>
        <v>0</v>
      </c>
      <c r="AY381" s="772">
        <f>+Canalyst!AK317</f>
        <v>1.97</v>
      </c>
      <c r="AZ381" s="772">
        <f>+Canalyst!AL317</f>
        <v>2.2629999999999999</v>
      </c>
      <c r="BA381" s="772">
        <f>+Canalyst!AM317</f>
        <v>1.5940000000000001</v>
      </c>
      <c r="BB381" s="772">
        <v>2.1269999999999998</v>
      </c>
      <c r="BC381" s="772">
        <v>2.4289999999999998</v>
      </c>
    </row>
    <row r="382" spans="1:55" x14ac:dyDescent="0.25">
      <c r="A382" s="760" t="s">
        <v>338</v>
      </c>
      <c r="C382" s="772">
        <f>'CapIQ - as disclosed'!Y93/1000</f>
        <v>0.16300000000000001</v>
      </c>
      <c r="D382" s="772">
        <f>'CapIQ - as disclosed'!Z93/1000</f>
        <v>0.19</v>
      </c>
      <c r="E382" s="773">
        <f>'CapIQ - as disclosed'!AA93/1000</f>
        <v>0.161</v>
      </c>
      <c r="F382" s="772">
        <f>AU382-E382</f>
        <v>0.16600000000000001</v>
      </c>
      <c r="G382" s="772">
        <v>0.16500000000000001</v>
      </c>
      <c r="H382" s="774">
        <f t="shared" ref="H382:H387" si="1442">AV382-G382</f>
        <v>0.20199999999999999</v>
      </c>
      <c r="I382" s="772">
        <v>0.154</v>
      </c>
      <c r="J382" s="774">
        <f>+Canalyst!F318</f>
        <v>0.14499999999999999</v>
      </c>
      <c r="K382" s="772">
        <f>+Canalyst!G318</f>
        <v>0.121</v>
      </c>
      <c r="L382" s="774">
        <f>+Canalyst!H318</f>
        <v>0.124</v>
      </c>
      <c r="M382" s="772">
        <f>+Canalyst!I318</f>
        <v>6.9000000000000006E-2</v>
      </c>
      <c r="N382" s="774">
        <f>+Canalyst!J318</f>
        <v>0.16300000000000001</v>
      </c>
      <c r="O382" s="772">
        <f>+Canalyst!K318</f>
        <v>0.17499999999999999</v>
      </c>
      <c r="P382" s="774">
        <f>+Canalyst!L318</f>
        <v>0.122</v>
      </c>
      <c r="Q382" s="772">
        <f>+Canalyst!M318</f>
        <v>7.8E-2</v>
      </c>
      <c r="R382" s="774">
        <f>+Canalyst!N318</f>
        <v>0.48000000000000004</v>
      </c>
      <c r="S382" s="772">
        <f>+Canalyst!O318</f>
        <v>0.76300000000000001</v>
      </c>
      <c r="T382" s="774">
        <f t="shared" si="1440"/>
        <v>0.7619999999999999</v>
      </c>
      <c r="U382" s="772">
        <v>0.72199999999999998</v>
      </c>
      <c r="V382" s="774">
        <f t="shared" si="1441"/>
        <v>0.84200000000000008</v>
      </c>
      <c r="W382" s="772">
        <v>1.1830000000000001</v>
      </c>
      <c r="AE382" s="772">
        <f>'CapIQ - as disclosed'!G93/1000000</f>
        <v>0</v>
      </c>
      <c r="AF382" s="772">
        <f>'CapIQ - as disclosed'!H93/1000000</f>
        <v>0</v>
      </c>
      <c r="AG382" s="772">
        <f>'CapIQ - as disclosed'!I93/1000000</f>
        <v>5.1584999999999999E-2</v>
      </c>
      <c r="AH382" s="772">
        <f>'CapIQ - as disclosed'!J93/1000000</f>
        <v>0</v>
      </c>
      <c r="AI382" s="772">
        <f>'CapIQ - as disclosed'!K93/1000000</f>
        <v>0</v>
      </c>
      <c r="AJ382" s="772">
        <f>'CapIQ - as disclosed'!L93/1000000</f>
        <v>0</v>
      </c>
      <c r="AK382" s="772">
        <f>'CapIQ - as disclosed'!M93/1000000</f>
        <v>0</v>
      </c>
      <c r="AL382" s="772">
        <f>'CapIQ - as disclosed'!N93/1000000</f>
        <v>0</v>
      </c>
      <c r="AM382" s="772">
        <f>'CapIQ - as disclosed'!O93/1000000</f>
        <v>0</v>
      </c>
      <c r="AN382" s="772">
        <f>'CapIQ - as disclosed'!P93/1000000</f>
        <v>0</v>
      </c>
      <c r="AO382" s="772">
        <f>'CapIQ - as disclosed'!Q93/1000000</f>
        <v>0</v>
      </c>
      <c r="AP382" s="772">
        <f>'CapIQ - as disclosed'!R93/1000000</f>
        <v>0</v>
      </c>
      <c r="AQ382" s="772">
        <f>'CapIQ - as disclosed'!S93/1000000</f>
        <v>0</v>
      </c>
      <c r="AR382" s="772">
        <v>9.8000000000000004E-2</v>
      </c>
      <c r="AS382" s="772">
        <v>0.21299999999999999</v>
      </c>
      <c r="AT382" s="772">
        <v>0.35299999999999998</v>
      </c>
      <c r="AU382" s="772">
        <v>0.32700000000000001</v>
      </c>
      <c r="AV382" s="772">
        <v>0.36699999999999999</v>
      </c>
      <c r="AW382" s="772">
        <f>+Canalyst!AI318</f>
        <v>0.29899999999999999</v>
      </c>
      <c r="AX382" s="772">
        <f>+Canalyst!AJ318</f>
        <v>0.245</v>
      </c>
      <c r="AY382" s="772">
        <f>+Canalyst!AK318</f>
        <v>0.23200000000000001</v>
      </c>
      <c r="AZ382" s="772">
        <f>+Canalyst!AL318</f>
        <v>0.29699999999999999</v>
      </c>
      <c r="BA382" s="772">
        <f>+Canalyst!AM318</f>
        <v>0.55800000000000005</v>
      </c>
      <c r="BB382" s="772">
        <v>1.5249999999999999</v>
      </c>
      <c r="BC382" s="772">
        <v>1.5640000000000001</v>
      </c>
    </row>
    <row r="383" spans="1:55" x14ac:dyDescent="0.25">
      <c r="A383" s="760" t="s">
        <v>339</v>
      </c>
      <c r="C383" s="772">
        <f>'CapIQ - as disclosed'!Y94/1000</f>
        <v>0</v>
      </c>
      <c r="D383" s="772">
        <f>'CapIQ - as disclosed'!Z94/1000</f>
        <v>2.8000000000000001E-2</v>
      </c>
      <c r="E383" s="773">
        <f>'CapIQ - as disclosed'!AA94/1000</f>
        <v>-6.0000000000000001E-3</v>
      </c>
      <c r="F383" s="772">
        <f>AU383-E383</f>
        <v>-2.9999999999999992E-3</v>
      </c>
      <c r="G383" s="772">
        <v>7.2999999999999995E-2</v>
      </c>
      <c r="H383" s="774">
        <f t="shared" si="1442"/>
        <v>3.6000000000000004E-2</v>
      </c>
      <c r="I383" s="772">
        <v>0</v>
      </c>
      <c r="J383" s="774">
        <f>+Canalyst!F319</f>
        <v>2.8000000000000001E-2</v>
      </c>
      <c r="K383" s="772">
        <f>+Canalyst!G319</f>
        <v>7.6999999999999999E-2</v>
      </c>
      <c r="L383" s="774">
        <f>+Canalyst!H319</f>
        <v>0.111</v>
      </c>
      <c r="M383" s="772">
        <f>+Canalyst!I319</f>
        <v>0</v>
      </c>
      <c r="N383" s="774">
        <f>+Canalyst!J319</f>
        <v>0.14599999999999999</v>
      </c>
      <c r="O383" s="772">
        <f>+Canalyst!K319</f>
        <v>0</v>
      </c>
      <c r="P383" s="774">
        <f>+Canalyst!L319</f>
        <v>7.5999999999999998E-2</v>
      </c>
      <c r="Q383" s="772">
        <f>+Canalyst!M319</f>
        <v>0</v>
      </c>
      <c r="R383" s="774">
        <f>+Canalyst!N319</f>
        <v>0</v>
      </c>
      <c r="S383" s="772">
        <f>+Canalyst!O319</f>
        <v>0</v>
      </c>
      <c r="T383" s="774">
        <f t="shared" si="1440"/>
        <v>0</v>
      </c>
      <c r="U383" s="772">
        <v>0</v>
      </c>
      <c r="V383" s="774">
        <f t="shared" si="1441"/>
        <v>0</v>
      </c>
      <c r="W383" s="772">
        <v>0</v>
      </c>
      <c r="AE383" s="772">
        <f>'CapIQ - as disclosed'!G94/1000000</f>
        <v>1.436E-3</v>
      </c>
      <c r="AF383" s="772">
        <f>'CapIQ - as disclosed'!H94/1000000</f>
        <v>0</v>
      </c>
      <c r="AG383" s="772">
        <f>'CapIQ - as disclosed'!I94/1000000</f>
        <v>0</v>
      </c>
      <c r="AH383" s="772">
        <f>'CapIQ - as disclosed'!J94/1000000</f>
        <v>5.483E-3</v>
      </c>
      <c r="AI383" s="772">
        <f>'CapIQ - as disclosed'!K94/1000000</f>
        <v>3.7680000000000001E-3</v>
      </c>
      <c r="AJ383" s="772">
        <f>'CapIQ - as disclosed'!L94/1000000</f>
        <v>-1.1395000000000001E-2</v>
      </c>
      <c r="AK383" s="772">
        <f>'CapIQ - as disclosed'!M94/1000000</f>
        <v>-3.2369999999999999E-3</v>
      </c>
      <c r="AL383" s="772">
        <f>'CapIQ - as disclosed'!N94/1000000</f>
        <v>0</v>
      </c>
      <c r="AM383" s="772">
        <f>'CapIQ - as disclosed'!O94/1000000</f>
        <v>9.0790000000000003E-3</v>
      </c>
      <c r="AN383" s="772">
        <f>'CapIQ - as disclosed'!P94/1000000</f>
        <v>-4.1349999999999998E-3</v>
      </c>
      <c r="AO383" s="772">
        <f>'CapIQ - as disclosed'!Q94/1000000</f>
        <v>-4.0023999999999997E-2</v>
      </c>
      <c r="AP383" s="772">
        <f>'CapIQ - as disclosed'!R94/1000000</f>
        <v>-5.4799999999999996E-3</v>
      </c>
      <c r="AQ383" s="772">
        <f>'CapIQ - as disclosed'!S94/1000000</f>
        <v>2.8476999999999999E-2</v>
      </c>
      <c r="AR383" s="772">
        <v>0</v>
      </c>
      <c r="AS383" s="772">
        <v>0</v>
      </c>
      <c r="AT383" s="772">
        <v>2.8000000000000001E-2</v>
      </c>
      <c r="AU383" s="772">
        <v>-8.9999999999999993E-3</v>
      </c>
      <c r="AV383" s="772">
        <v>0.109</v>
      </c>
      <c r="AW383" s="772">
        <f>+Canalyst!AI319</f>
        <v>2.8000000000000001E-2</v>
      </c>
      <c r="AX383" s="772">
        <f>+Canalyst!AJ319</f>
        <v>0.188</v>
      </c>
      <c r="AY383" s="772">
        <f>+Canalyst!AK319</f>
        <v>0.14599999999999999</v>
      </c>
      <c r="AZ383" s="772">
        <f>+Canalyst!AL319</f>
        <v>7.5999999999999998E-2</v>
      </c>
      <c r="BA383" s="772">
        <f>+Canalyst!AM319</f>
        <v>0</v>
      </c>
      <c r="BB383" s="772">
        <v>0</v>
      </c>
      <c r="BC383" s="772">
        <v>0</v>
      </c>
    </row>
    <row r="384" spans="1:55" x14ac:dyDescent="0.25">
      <c r="A384" s="760" t="s">
        <v>340</v>
      </c>
      <c r="C384" s="772">
        <v>0</v>
      </c>
      <c r="D384" s="772">
        <v>0</v>
      </c>
      <c r="E384" s="773">
        <v>0</v>
      </c>
      <c r="F384" s="772">
        <v>0</v>
      </c>
      <c r="G384" s="772">
        <v>0</v>
      </c>
      <c r="H384" s="774">
        <f t="shared" si="1442"/>
        <v>0.312</v>
      </c>
      <c r="I384" s="772">
        <v>0</v>
      </c>
      <c r="J384" s="774">
        <f>+Canalyst!F320</f>
        <v>0</v>
      </c>
      <c r="K384" s="772">
        <f>+Canalyst!G320</f>
        <v>0</v>
      </c>
      <c r="L384" s="774">
        <f>+Canalyst!H320</f>
        <v>0</v>
      </c>
      <c r="M384" s="772">
        <f>+Canalyst!I320</f>
        <v>0</v>
      </c>
      <c r="N384" s="774">
        <f>+Canalyst!J320</f>
        <v>0</v>
      </c>
      <c r="O384" s="772">
        <f>+Canalyst!K320</f>
        <v>0</v>
      </c>
      <c r="P384" s="774">
        <f>+Canalyst!L320</f>
        <v>0</v>
      </c>
      <c r="Q384" s="772">
        <f>+Canalyst!M320</f>
        <v>0</v>
      </c>
      <c r="R384" s="774">
        <f>+Canalyst!N320</f>
        <v>0</v>
      </c>
      <c r="S384" s="772">
        <f>+Canalyst!O320</f>
        <v>0</v>
      </c>
      <c r="T384" s="774">
        <f t="shared" si="1440"/>
        <v>0</v>
      </c>
      <c r="U384" s="772">
        <v>0</v>
      </c>
      <c r="V384" s="774">
        <f t="shared" si="1441"/>
        <v>0</v>
      </c>
      <c r="W384" s="772">
        <v>0</v>
      </c>
      <c r="AE384" s="772">
        <v>0</v>
      </c>
      <c r="AF384" s="772">
        <v>0</v>
      </c>
      <c r="AG384" s="772">
        <v>0</v>
      </c>
      <c r="AH384" s="772">
        <v>0</v>
      </c>
      <c r="AI384" s="772">
        <v>0</v>
      </c>
      <c r="AJ384" s="772">
        <v>0</v>
      </c>
      <c r="AK384" s="772">
        <v>0</v>
      </c>
      <c r="AL384" s="772">
        <v>0</v>
      </c>
      <c r="AM384" s="772">
        <v>0</v>
      </c>
      <c r="AN384" s="772">
        <v>0</v>
      </c>
      <c r="AO384" s="772">
        <v>0</v>
      </c>
      <c r="AP384" s="772">
        <v>0</v>
      </c>
      <c r="AQ384" s="772">
        <v>0</v>
      </c>
      <c r="AR384" s="772">
        <v>0</v>
      </c>
      <c r="AS384" s="772">
        <v>0</v>
      </c>
      <c r="AT384" s="772">
        <v>0</v>
      </c>
      <c r="AU384" s="772">
        <v>0</v>
      </c>
      <c r="AV384" s="772">
        <v>0.312</v>
      </c>
      <c r="AW384" s="772">
        <f>+Canalyst!AI320</f>
        <v>0</v>
      </c>
      <c r="AX384" s="772">
        <f>+Canalyst!AJ320</f>
        <v>0</v>
      </c>
      <c r="AY384" s="772">
        <f>+Canalyst!AK320</f>
        <v>0</v>
      </c>
      <c r="AZ384" s="772">
        <f>+Canalyst!AL320</f>
        <v>0</v>
      </c>
      <c r="BA384" s="772">
        <f>+Canalyst!AM320</f>
        <v>0</v>
      </c>
      <c r="BB384" s="772">
        <v>0</v>
      </c>
      <c r="BC384" s="772">
        <v>0</v>
      </c>
    </row>
    <row r="385" spans="1:55" x14ac:dyDescent="0.25">
      <c r="A385" s="760" t="s">
        <v>341</v>
      </c>
      <c r="C385" s="772">
        <f>'CapIQ - as disclosed'!Y97/1000</f>
        <v>1E-3</v>
      </c>
      <c r="D385" s="772">
        <f>'CapIQ - as disclosed'!Z97/1000</f>
        <v>4.0000000000000001E-3</v>
      </c>
      <c r="E385" s="773">
        <f>'CapIQ - as disclosed'!AA97/1000</f>
        <v>0.189</v>
      </c>
      <c r="F385" s="772">
        <f>AU385-E385</f>
        <v>0.38299999999999995</v>
      </c>
      <c r="G385" s="772">
        <v>0.436</v>
      </c>
      <c r="H385" s="774">
        <f t="shared" si="1442"/>
        <v>0.63400000000000012</v>
      </c>
      <c r="I385" s="772">
        <v>0.98899999999999999</v>
      </c>
      <c r="J385" s="774">
        <f>+Canalyst!F322</f>
        <v>0.76999999999999991</v>
      </c>
      <c r="K385" s="772">
        <f>+Canalyst!G322</f>
        <v>0.89800000000000002</v>
      </c>
      <c r="L385" s="774">
        <f>+Canalyst!H322</f>
        <v>0.83399999999999996</v>
      </c>
      <c r="M385" s="772">
        <f>+Canalyst!I322</f>
        <v>0.97099999999999997</v>
      </c>
      <c r="N385" s="774">
        <f>+Canalyst!J322</f>
        <v>0.98699999999999999</v>
      </c>
      <c r="O385" s="772">
        <f>+Canalyst!K322</f>
        <v>1.113</v>
      </c>
      <c r="P385" s="774">
        <f>+Canalyst!L322</f>
        <v>1.1539999999999999</v>
      </c>
      <c r="Q385" s="772">
        <f>+Canalyst!M322</f>
        <v>1.4159999999999999</v>
      </c>
      <c r="R385" s="774">
        <f>+Canalyst!N322</f>
        <v>1.125</v>
      </c>
      <c r="S385" s="772">
        <f>+Canalyst!O322</f>
        <v>1.591</v>
      </c>
      <c r="T385" s="774">
        <f t="shared" si="1440"/>
        <v>1.7390000000000001</v>
      </c>
      <c r="U385" s="772">
        <v>1.6990000000000001</v>
      </c>
      <c r="V385" s="774">
        <f t="shared" si="1441"/>
        <v>1.913</v>
      </c>
      <c r="W385" s="772">
        <v>1.6519999999999999</v>
      </c>
      <c r="AE385" s="772">
        <f>'CapIQ - as disclosed'!G97/1000000</f>
        <v>0</v>
      </c>
      <c r="AF385" s="772">
        <f>'CapIQ - as disclosed'!H97/1000000</f>
        <v>0</v>
      </c>
      <c r="AG385" s="772">
        <f>'CapIQ - as disclosed'!I97/1000000</f>
        <v>0</v>
      </c>
      <c r="AH385" s="772">
        <f>'CapIQ - as disclosed'!J97/1000000</f>
        <v>0</v>
      </c>
      <c r="AI385" s="772">
        <f>'CapIQ - as disclosed'!K97/1000000</f>
        <v>0</v>
      </c>
      <c r="AJ385" s="772">
        <f>'CapIQ - as disclosed'!L97/1000000</f>
        <v>0</v>
      </c>
      <c r="AK385" s="772">
        <f>'CapIQ - as disclosed'!M97/1000000</f>
        <v>0</v>
      </c>
      <c r="AL385" s="772">
        <f>'CapIQ - as disclosed'!N97/1000000</f>
        <v>0</v>
      </c>
      <c r="AM385" s="772">
        <f>'CapIQ - as disclosed'!O97/1000000</f>
        <v>0</v>
      </c>
      <c r="AN385" s="772">
        <f>'CapIQ - as disclosed'!P97/1000000</f>
        <v>0</v>
      </c>
      <c r="AO385" s="772">
        <f>'CapIQ - as disclosed'!Q97/1000000</f>
        <v>0</v>
      </c>
      <c r="AP385" s="772">
        <f>'CapIQ - as disclosed'!R97/1000000</f>
        <v>0</v>
      </c>
      <c r="AQ385" s="772">
        <f>'CapIQ - as disclosed'!S97/1000000</f>
        <v>0</v>
      </c>
      <c r="AR385" s="772">
        <v>0.73499999999999999</v>
      </c>
      <c r="AS385" s="772">
        <v>0</v>
      </c>
      <c r="AT385" s="772">
        <v>5.0000000000000001E-3</v>
      </c>
      <c r="AU385" s="772">
        <v>0.57199999999999995</v>
      </c>
      <c r="AV385" s="772">
        <v>1.07</v>
      </c>
      <c r="AW385" s="772">
        <f>+Canalyst!AI322</f>
        <v>1.7589999999999999</v>
      </c>
      <c r="AX385" s="772">
        <f>+Canalyst!AJ322</f>
        <v>1.732</v>
      </c>
      <c r="AY385" s="772">
        <f>+Canalyst!AK322</f>
        <v>1.958</v>
      </c>
      <c r="AZ385" s="772">
        <f>+Canalyst!AL322</f>
        <v>2.2669999999999999</v>
      </c>
      <c r="BA385" s="772">
        <f>+Canalyst!AM322</f>
        <v>2.5409999999999999</v>
      </c>
      <c r="BB385" s="772">
        <v>3.33</v>
      </c>
      <c r="BC385" s="772">
        <v>3.6120000000000001</v>
      </c>
    </row>
    <row r="386" spans="1:55" x14ac:dyDescent="0.25">
      <c r="A386" s="760" t="str">
        <f>'CapIQ - as disclosed'!A96</f>
        <v>Share Based Payments</v>
      </c>
      <c r="C386" s="772">
        <f>'CapIQ - as disclosed'!Y96/1000</f>
        <v>0</v>
      </c>
      <c r="D386" s="772">
        <f>'CapIQ - as disclosed'!Z96/1000</f>
        <v>0</v>
      </c>
      <c r="E386" s="773">
        <f>'CapIQ - as disclosed'!AA96/1000</f>
        <v>0</v>
      </c>
      <c r="F386" s="772">
        <f>AU386-E386</f>
        <v>0</v>
      </c>
      <c r="G386" s="772">
        <v>0</v>
      </c>
      <c r="H386" s="774">
        <f t="shared" si="1442"/>
        <v>0</v>
      </c>
      <c r="I386" s="772">
        <v>0</v>
      </c>
      <c r="J386" s="774">
        <v>0</v>
      </c>
      <c r="K386" s="772">
        <v>0</v>
      </c>
      <c r="L386" s="774">
        <v>0</v>
      </c>
      <c r="M386" s="772">
        <v>0</v>
      </c>
      <c r="N386" s="774">
        <v>0</v>
      </c>
      <c r="O386" s="772">
        <v>0</v>
      </c>
      <c r="P386" s="774">
        <v>0</v>
      </c>
      <c r="Q386" s="772">
        <v>0</v>
      </c>
      <c r="R386" s="774">
        <v>0</v>
      </c>
      <c r="S386" s="772">
        <v>0</v>
      </c>
      <c r="T386" s="774">
        <f t="shared" si="1440"/>
        <v>0</v>
      </c>
      <c r="U386" s="772">
        <v>0</v>
      </c>
      <c r="V386" s="774">
        <f t="shared" si="1441"/>
        <v>0</v>
      </c>
      <c r="W386" s="772">
        <v>0</v>
      </c>
      <c r="AE386" s="772">
        <f>'CapIQ - as disclosed'!G96/1000000</f>
        <v>0</v>
      </c>
      <c r="AF386" s="772">
        <f>'CapIQ - as disclosed'!H96/1000000</f>
        <v>0</v>
      </c>
      <c r="AG386" s="772">
        <f>'CapIQ - as disclosed'!I96/1000000</f>
        <v>0</v>
      </c>
      <c r="AH386" s="772">
        <f>'CapIQ - as disclosed'!J96/1000000</f>
        <v>0</v>
      </c>
      <c r="AI386" s="772">
        <f>'CapIQ - as disclosed'!K96/1000000</f>
        <v>0</v>
      </c>
      <c r="AJ386" s="772">
        <f>'CapIQ - as disclosed'!L96/1000000</f>
        <v>0</v>
      </c>
      <c r="AK386" s="772">
        <f>'CapIQ - as disclosed'!M96/1000000</f>
        <v>0</v>
      </c>
      <c r="AL386" s="772">
        <f>'CapIQ - as disclosed'!N96/1000000</f>
        <v>0</v>
      </c>
      <c r="AM386" s="772">
        <f>'CapIQ - as disclosed'!O96/1000000</f>
        <v>0</v>
      </c>
      <c r="AN386" s="772">
        <f>'CapIQ - as disclosed'!P96/1000000</f>
        <v>0</v>
      </c>
      <c r="AO386" s="772">
        <f>'CapIQ - as disclosed'!Q96/1000000</f>
        <v>0</v>
      </c>
      <c r="AP386" s="772">
        <f>'CapIQ - as disclosed'!R96/1000000</f>
        <v>0.15603700000000001</v>
      </c>
      <c r="AQ386" s="772">
        <f>'CapIQ - as disclosed'!S96/1000000</f>
        <v>0.915798</v>
      </c>
      <c r="AR386" s="772">
        <f>'CapIQ - as disclosed'!T96/1000000</f>
        <v>0</v>
      </c>
      <c r="AS386" s="772">
        <f>'CapIQ - as disclosed'!U96/1000000</f>
        <v>0</v>
      </c>
      <c r="AT386" s="772">
        <f>'CapIQ - as disclosed'!V96/1000000</f>
        <v>0</v>
      </c>
      <c r="AU386" s="772">
        <f>'CapIQ - as disclosed'!W96/1000000</f>
        <v>0</v>
      </c>
      <c r="AV386" s="772">
        <v>0</v>
      </c>
      <c r="AW386" s="772">
        <v>0</v>
      </c>
      <c r="AX386" s="772">
        <v>0</v>
      </c>
      <c r="AY386" s="772">
        <v>0</v>
      </c>
      <c r="AZ386" s="772">
        <v>0</v>
      </c>
      <c r="BA386" s="772">
        <v>0</v>
      </c>
      <c r="BB386" s="772">
        <v>0</v>
      </c>
      <c r="BC386" s="772">
        <v>0</v>
      </c>
    </row>
    <row r="387" spans="1:55" x14ac:dyDescent="0.25">
      <c r="A387" s="760" t="str">
        <f>'CapIQ - as disclosed'!A98</f>
        <v>Frs20 Share Based Payment</v>
      </c>
      <c r="C387" s="772">
        <f>'CapIQ - as disclosed'!Y98/1000</f>
        <v>0</v>
      </c>
      <c r="D387" s="772">
        <f>'CapIQ - as disclosed'!Z98/1000</f>
        <v>0</v>
      </c>
      <c r="E387" s="773">
        <f>'CapIQ - as disclosed'!AA98/1000</f>
        <v>0</v>
      </c>
      <c r="F387" s="772">
        <f>AU387-E387</f>
        <v>0</v>
      </c>
      <c r="G387" s="772">
        <v>0</v>
      </c>
      <c r="H387" s="774">
        <f t="shared" si="1442"/>
        <v>0</v>
      </c>
      <c r="I387" s="772">
        <v>0</v>
      </c>
      <c r="J387" s="774">
        <v>0</v>
      </c>
      <c r="K387" s="772">
        <v>0</v>
      </c>
      <c r="L387" s="774">
        <v>0</v>
      </c>
      <c r="M387" s="772">
        <v>0</v>
      </c>
      <c r="N387" s="774">
        <v>0</v>
      </c>
      <c r="O387" s="772">
        <v>0</v>
      </c>
      <c r="P387" s="774">
        <v>0</v>
      </c>
      <c r="Q387" s="772">
        <v>0</v>
      </c>
      <c r="R387" s="774">
        <v>0</v>
      </c>
      <c r="S387" s="772">
        <v>0</v>
      </c>
      <c r="T387" s="774">
        <f t="shared" si="1440"/>
        <v>0</v>
      </c>
      <c r="U387" s="772">
        <v>0</v>
      </c>
      <c r="V387" s="774">
        <f t="shared" si="1441"/>
        <v>0</v>
      </c>
      <c r="W387" s="772">
        <v>0</v>
      </c>
      <c r="AE387" s="772">
        <f>'CapIQ - as disclosed'!G98/1000000</f>
        <v>0</v>
      </c>
      <c r="AF387" s="772">
        <f>'CapIQ - as disclosed'!H98/1000000</f>
        <v>0</v>
      </c>
      <c r="AG387" s="772">
        <f>'CapIQ - as disclosed'!I98/1000000</f>
        <v>0</v>
      </c>
      <c r="AH387" s="772">
        <f>'CapIQ - as disclosed'!J98/1000000</f>
        <v>0</v>
      </c>
      <c r="AI387" s="772">
        <f>'CapIQ - as disclosed'!K98/1000000</f>
        <v>0</v>
      </c>
      <c r="AJ387" s="772">
        <f>'CapIQ - as disclosed'!L98/1000000</f>
        <v>0</v>
      </c>
      <c r="AK387" s="772">
        <f>'CapIQ - as disclosed'!M98/1000000</f>
        <v>0.34357500000000002</v>
      </c>
      <c r="AL387" s="772">
        <f>'CapIQ - as disclosed'!N98/1000000</f>
        <v>0.32500000000000001</v>
      </c>
      <c r="AM387" s="772">
        <f>'CapIQ - as disclosed'!O98/1000000</f>
        <v>6.7757999999999999E-2</v>
      </c>
      <c r="AN387" s="772">
        <f>'CapIQ - as disclosed'!P98/1000000</f>
        <v>0</v>
      </c>
      <c r="AO387" s="772">
        <f>'CapIQ - as disclosed'!Q98/1000000</f>
        <v>0</v>
      </c>
      <c r="AP387" s="772">
        <f>'CapIQ - as disclosed'!R98/1000000</f>
        <v>0</v>
      </c>
      <c r="AQ387" s="772">
        <f>'CapIQ - as disclosed'!S98/1000000</f>
        <v>0</v>
      </c>
      <c r="AR387" s="772">
        <f>'CapIQ - as disclosed'!T98/1000000</f>
        <v>0</v>
      </c>
      <c r="AS387" s="772">
        <f>'CapIQ - as disclosed'!U98/1000000</f>
        <v>0</v>
      </c>
      <c r="AT387" s="772">
        <f>'CapIQ - as disclosed'!V98/1000000</f>
        <v>0</v>
      </c>
      <c r="AU387" s="772">
        <f>'CapIQ - as disclosed'!W98/1000000</f>
        <v>0</v>
      </c>
      <c r="AV387" s="772">
        <v>0</v>
      </c>
      <c r="AW387" s="772">
        <v>0</v>
      </c>
      <c r="AX387" s="772">
        <v>0</v>
      </c>
      <c r="AY387" s="772">
        <v>0</v>
      </c>
      <c r="AZ387" s="772">
        <v>0</v>
      </c>
      <c r="BA387" s="772">
        <v>0</v>
      </c>
      <c r="BB387" s="772">
        <v>0</v>
      </c>
      <c r="BC387" s="772">
        <v>0</v>
      </c>
    </row>
    <row r="388" spans="1:55" x14ac:dyDescent="0.25">
      <c r="A388" s="760" t="str">
        <f>+Canalyst!A321</f>
        <v>Dividend equivalents paid</v>
      </c>
      <c r="C388" s="772">
        <v>0</v>
      </c>
      <c r="D388" s="772">
        <v>0</v>
      </c>
      <c r="E388" s="773">
        <v>0</v>
      </c>
      <c r="F388" s="772">
        <v>0</v>
      </c>
      <c r="G388" s="772">
        <v>0</v>
      </c>
      <c r="H388" s="774">
        <v>0</v>
      </c>
      <c r="I388" s="772">
        <v>0</v>
      </c>
      <c r="J388" s="774">
        <f>+Canalyst!F321</f>
        <v>0</v>
      </c>
      <c r="K388" s="772">
        <f>+Canalyst!G321</f>
        <v>-0.28699999999999998</v>
      </c>
      <c r="L388" s="774">
        <f>+Canalyst!H321</f>
        <v>0</v>
      </c>
      <c r="M388" s="772">
        <f>+Canalyst!I321</f>
        <v>-0.25900000000000001</v>
      </c>
      <c r="N388" s="774">
        <f>+Canalyst!J321</f>
        <v>0</v>
      </c>
      <c r="O388" s="772">
        <f>+Canalyst!K321</f>
        <v>-8.1000000000000003E-2</v>
      </c>
      <c r="P388" s="774">
        <f>+Canalyst!L321</f>
        <v>-0.115</v>
      </c>
      <c r="Q388" s="772">
        <f>+Canalyst!M321</f>
        <v>-0.214</v>
      </c>
      <c r="R388" s="774">
        <f>+Canalyst!N321</f>
        <v>-1.0000000000000009E-3</v>
      </c>
      <c r="S388" s="772">
        <f>+Canalyst!O321</f>
        <v>-6.6000000000000003E-2</v>
      </c>
      <c r="T388" s="774">
        <f t="shared" si="1440"/>
        <v>0</v>
      </c>
      <c r="U388" s="772">
        <v>-9.8000000000000004E-2</v>
      </c>
      <c r="V388" s="774">
        <f t="shared" si="1441"/>
        <v>0</v>
      </c>
      <c r="W388" s="772">
        <v>-9.9000000000000005E-2</v>
      </c>
      <c r="AE388" s="772">
        <v>0</v>
      </c>
      <c r="AF388" s="772">
        <v>0</v>
      </c>
      <c r="AG388" s="772">
        <v>0</v>
      </c>
      <c r="AH388" s="772">
        <v>0</v>
      </c>
      <c r="AI388" s="772">
        <v>0</v>
      </c>
      <c r="AJ388" s="772">
        <v>0</v>
      </c>
      <c r="AK388" s="772">
        <v>0</v>
      </c>
      <c r="AL388" s="772">
        <v>0</v>
      </c>
      <c r="AM388" s="772">
        <v>0</v>
      </c>
      <c r="AN388" s="772">
        <v>0</v>
      </c>
      <c r="AO388" s="772">
        <v>0</v>
      </c>
      <c r="AP388" s="772">
        <v>0</v>
      </c>
      <c r="AQ388" s="772">
        <v>0</v>
      </c>
      <c r="AR388" s="772">
        <v>0</v>
      </c>
      <c r="AS388" s="772">
        <v>0</v>
      </c>
      <c r="AT388" s="772">
        <v>0</v>
      </c>
      <c r="AU388" s="772">
        <v>0</v>
      </c>
      <c r="AV388" s="772">
        <v>0</v>
      </c>
      <c r="AW388" s="772">
        <f>+Canalyst!AI321</f>
        <v>0</v>
      </c>
      <c r="AX388" s="772">
        <f>+Canalyst!AJ321</f>
        <v>-0.28699999999999998</v>
      </c>
      <c r="AY388" s="772">
        <f>+Canalyst!AK321</f>
        <v>-0.25900000000000001</v>
      </c>
      <c r="AZ388" s="772">
        <f>+Canalyst!AL321</f>
        <v>-0.19600000000000001</v>
      </c>
      <c r="BA388" s="772">
        <f>+Canalyst!AM321</f>
        <v>-0.215</v>
      </c>
      <c r="BB388" s="772">
        <v>-6.6000000000000003E-2</v>
      </c>
      <c r="BC388" s="772">
        <v>-9.8000000000000004E-2</v>
      </c>
    </row>
    <row r="389" spans="1:55" x14ac:dyDescent="0.25">
      <c r="A389" s="760" t="str">
        <f>'CapIQ - as disclosed'!A95</f>
        <v>Write off of Investment</v>
      </c>
      <c r="C389" s="772">
        <f>'CapIQ - as disclosed'!Y95</f>
        <v>0</v>
      </c>
      <c r="D389" s="772">
        <f>'CapIQ - as disclosed'!Z95</f>
        <v>0</v>
      </c>
      <c r="E389" s="773">
        <f>'CapIQ - as disclosed'!AA95</f>
        <v>0</v>
      </c>
      <c r="F389" s="772">
        <f>AU389-E389</f>
        <v>0</v>
      </c>
      <c r="G389" s="772">
        <v>0</v>
      </c>
      <c r="H389" s="774">
        <f>AV389-G389</f>
        <v>0</v>
      </c>
      <c r="I389" s="772">
        <v>0</v>
      </c>
      <c r="J389" s="774">
        <v>0</v>
      </c>
      <c r="K389" s="772">
        <v>0</v>
      </c>
      <c r="L389" s="774">
        <v>0</v>
      </c>
      <c r="M389" s="772">
        <v>0</v>
      </c>
      <c r="N389" s="774">
        <v>0</v>
      </c>
      <c r="O389" s="772">
        <v>0</v>
      </c>
      <c r="P389" s="774">
        <v>0</v>
      </c>
      <c r="Q389" s="772">
        <v>0</v>
      </c>
      <c r="R389" s="774">
        <v>0</v>
      </c>
      <c r="S389" s="772">
        <v>0</v>
      </c>
      <c r="T389" s="774">
        <f t="shared" si="1440"/>
        <v>0</v>
      </c>
      <c r="U389" s="772">
        <v>0</v>
      </c>
      <c r="V389" s="774">
        <f t="shared" si="1441"/>
        <v>0</v>
      </c>
      <c r="W389" s="772">
        <v>0</v>
      </c>
      <c r="AE389" s="772">
        <f>'CapIQ - as disclosed'!G95/1000000</f>
        <v>0</v>
      </c>
      <c r="AF389" s="772">
        <f>'CapIQ - as disclosed'!H95/1000000</f>
        <v>0</v>
      </c>
      <c r="AG389" s="772">
        <f>'CapIQ - as disclosed'!I95/1000000</f>
        <v>0</v>
      </c>
      <c r="AH389" s="772">
        <f>'CapIQ - as disclosed'!J95/1000000</f>
        <v>0</v>
      </c>
      <c r="AI389" s="772">
        <f>'CapIQ - as disclosed'!K95/1000000</f>
        <v>0</v>
      </c>
      <c r="AJ389" s="772">
        <f>'CapIQ - as disclosed'!L95/1000000</f>
        <v>0</v>
      </c>
      <c r="AK389" s="772">
        <f>'CapIQ - as disclosed'!M95/1000000</f>
        <v>0</v>
      </c>
      <c r="AL389" s="772">
        <f>'CapIQ - as disclosed'!N95/1000000</f>
        <v>0</v>
      </c>
      <c r="AM389" s="772">
        <f>'CapIQ - as disclosed'!O95/1000000</f>
        <v>0</v>
      </c>
      <c r="AN389" s="772">
        <f>'CapIQ - as disclosed'!P95/1000000</f>
        <v>0</v>
      </c>
      <c r="AO389" s="772">
        <f>'CapIQ - as disclosed'!Q95/1000000</f>
        <v>0</v>
      </c>
      <c r="AP389" s="772">
        <f>'CapIQ - as disclosed'!R95/1000000</f>
        <v>0</v>
      </c>
      <c r="AQ389" s="772">
        <f>'CapIQ - as disclosed'!S95/1000000</f>
        <v>0</v>
      </c>
      <c r="AR389" s="772">
        <f>'CapIQ - as disclosed'!T95/1000000</f>
        <v>0</v>
      </c>
      <c r="AS389" s="772">
        <f>'CapIQ - as disclosed'!U95/1000000</f>
        <v>0</v>
      </c>
      <c r="AT389" s="772">
        <f>'CapIQ - as disclosed'!V95/1000000</f>
        <v>0</v>
      </c>
      <c r="AU389" s="772">
        <f>'CapIQ - as disclosed'!W95/1000000</f>
        <v>0</v>
      </c>
      <c r="AV389" s="772">
        <v>0</v>
      </c>
      <c r="AW389" s="772">
        <v>0</v>
      </c>
      <c r="AX389" s="772">
        <v>0</v>
      </c>
      <c r="AY389" s="772">
        <v>0</v>
      </c>
      <c r="AZ389" s="772">
        <v>0</v>
      </c>
      <c r="BA389" s="772">
        <v>0</v>
      </c>
      <c r="BB389" s="772">
        <v>0</v>
      </c>
      <c r="BC389" s="772">
        <v>0</v>
      </c>
    </row>
    <row r="390" spans="1:55" ht="13" x14ac:dyDescent="0.25">
      <c r="A390" s="760" t="s">
        <v>342</v>
      </c>
      <c r="C390" s="780">
        <f>'CapIQ - as disclosed'!Y103/1000</f>
        <v>0</v>
      </c>
      <c r="D390" s="780">
        <f>'CapIQ - as disclosed'!Z103/1000</f>
        <v>0</v>
      </c>
      <c r="E390" s="781">
        <f>'CapIQ - as disclosed'!AA103/1000</f>
        <v>0</v>
      </c>
      <c r="F390" s="780">
        <f>AU390-E390</f>
        <v>0</v>
      </c>
      <c r="G390" s="780">
        <v>0</v>
      </c>
      <c r="H390" s="782">
        <f>AV390-G390</f>
        <v>0</v>
      </c>
      <c r="I390" s="780">
        <v>0</v>
      </c>
      <c r="J390" s="782">
        <f>+Canalyst!F323</f>
        <v>0</v>
      </c>
      <c r="K390" s="780">
        <f>+Canalyst!G323</f>
        <v>0</v>
      </c>
      <c r="L390" s="782">
        <f>+Canalyst!H323</f>
        <v>0</v>
      </c>
      <c r="M390" s="780">
        <f>+Canalyst!I323</f>
        <v>0</v>
      </c>
      <c r="N390" s="782">
        <f>+Canalyst!J323</f>
        <v>0</v>
      </c>
      <c r="O390" s="780">
        <f>+Canalyst!K323</f>
        <v>0</v>
      </c>
      <c r="P390" s="782">
        <f>+Canalyst!L323</f>
        <v>0</v>
      </c>
      <c r="Q390" s="780">
        <f>+Canalyst!M323</f>
        <v>0</v>
      </c>
      <c r="R390" s="782">
        <f>+Canalyst!N323</f>
        <v>0</v>
      </c>
      <c r="S390" s="780">
        <f>+Canalyst!O323</f>
        <v>0</v>
      </c>
      <c r="T390" s="782">
        <f t="shared" si="1440"/>
        <v>0</v>
      </c>
      <c r="U390" s="780">
        <v>0</v>
      </c>
      <c r="V390" s="782">
        <f t="shared" si="1441"/>
        <v>0</v>
      </c>
      <c r="W390" s="780">
        <v>0</v>
      </c>
      <c r="AE390" s="780">
        <f>'CapIQ - as disclosed'!G103/1000000</f>
        <v>0</v>
      </c>
      <c r="AF390" s="780">
        <f>'CapIQ - as disclosed'!H103/1000000</f>
        <v>0</v>
      </c>
      <c r="AG390" s="780">
        <f>'CapIQ - as disclosed'!I103/1000000</f>
        <v>0</v>
      </c>
      <c r="AH390" s="780">
        <f>'CapIQ - as disclosed'!J103/1000000</f>
        <v>0</v>
      </c>
      <c r="AI390" s="780">
        <f>'CapIQ - as disclosed'!K103/1000000</f>
        <v>0</v>
      </c>
      <c r="AJ390" s="780">
        <f>'CapIQ - as disclosed'!L103/1000000</f>
        <v>0</v>
      </c>
      <c r="AK390" s="780">
        <f>'CapIQ - as disclosed'!M103/1000000</f>
        <v>0</v>
      </c>
      <c r="AL390" s="780">
        <f>'CapIQ - as disclosed'!N103/1000000</f>
        <v>0</v>
      </c>
      <c r="AM390" s="780">
        <f>'CapIQ - as disclosed'!O103/1000000</f>
        <v>0</v>
      </c>
      <c r="AN390" s="780">
        <f>'CapIQ - as disclosed'!P103/1000000</f>
        <v>0</v>
      </c>
      <c r="AO390" s="780">
        <f>'CapIQ - as disclosed'!Q103/1000000</f>
        <v>0</v>
      </c>
      <c r="AP390" s="780">
        <f>'CapIQ - as disclosed'!R103/1000000</f>
        <v>0</v>
      </c>
      <c r="AQ390" s="780">
        <f>'CapIQ - as disclosed'!S103/1000000</f>
        <v>0.41649999999999998</v>
      </c>
      <c r="AR390" s="780">
        <v>-0.35699999999999998</v>
      </c>
      <c r="AS390" s="780">
        <v>-0.06</v>
      </c>
      <c r="AT390" s="780">
        <v>0</v>
      </c>
      <c r="AU390" s="780">
        <v>0</v>
      </c>
      <c r="AV390" s="780">
        <v>0</v>
      </c>
      <c r="AW390" s="780">
        <f>+Canalyst!AI323</f>
        <v>0</v>
      </c>
      <c r="AX390" s="780">
        <f>+Canalyst!AJ323</f>
        <v>0</v>
      </c>
      <c r="AY390" s="780">
        <f>+Canalyst!AK323</f>
        <v>0</v>
      </c>
      <c r="AZ390" s="780">
        <f>+Canalyst!AL323</f>
        <v>0</v>
      </c>
      <c r="BA390" s="780">
        <f>+Canalyst!AM323</f>
        <v>0</v>
      </c>
      <c r="BB390" s="780">
        <v>0</v>
      </c>
      <c r="BC390" s="780">
        <v>0</v>
      </c>
    </row>
    <row r="391" spans="1:55" x14ac:dyDescent="0.25">
      <c r="A391" s="783" t="s">
        <v>343</v>
      </c>
      <c r="C391" s="772">
        <f t="shared" ref="C391:F391" si="1443">SUM(C379:C390)</f>
        <v>18.287000000000003</v>
      </c>
      <c r="D391" s="772">
        <f t="shared" si="1443"/>
        <v>23.475000000000001</v>
      </c>
      <c r="E391" s="773">
        <f t="shared" si="1443"/>
        <v>16.592000000000002</v>
      </c>
      <c r="F391" s="772">
        <f t="shared" si="1443"/>
        <v>28.283999999999999</v>
      </c>
      <c r="G391" s="772">
        <f t="shared" ref="G391:R391" si="1444">SUM(G379:G390)</f>
        <v>22.39</v>
      </c>
      <c r="H391" s="774">
        <f t="shared" si="1444"/>
        <v>31.271000000000004</v>
      </c>
      <c r="I391" s="772">
        <f t="shared" si="1444"/>
        <v>25.998000000000001</v>
      </c>
      <c r="J391" s="774">
        <f t="shared" si="1444"/>
        <v>45.570000000000014</v>
      </c>
      <c r="K391" s="772">
        <f t="shared" si="1444"/>
        <v>35.309000000000005</v>
      </c>
      <c r="L391" s="774">
        <f t="shared" si="1444"/>
        <v>52.330000000000005</v>
      </c>
      <c r="M391" s="772">
        <f t="shared" si="1444"/>
        <v>42.798000000000002</v>
      </c>
      <c r="N391" s="774">
        <f t="shared" si="1444"/>
        <v>56.363999999999997</v>
      </c>
      <c r="O391" s="772">
        <f t="shared" si="1444"/>
        <v>60.570999999999991</v>
      </c>
      <c r="P391" s="774">
        <f t="shared" si="1444"/>
        <v>65.883999999999986</v>
      </c>
      <c r="Q391" s="772">
        <f t="shared" si="1444"/>
        <v>67.801000000000002</v>
      </c>
      <c r="R391" s="774">
        <f t="shared" si="1444"/>
        <v>75.195000000000022</v>
      </c>
      <c r="S391" s="774">
        <f t="shared" ref="S391:W391" si="1445">SUM(S379:S390)</f>
        <v>67.572999999999993</v>
      </c>
      <c r="T391" s="774">
        <f t="shared" si="1440"/>
        <v>82.707000000000036</v>
      </c>
      <c r="U391" s="772">
        <f t="shared" si="1445"/>
        <v>71.518999999999991</v>
      </c>
      <c r="V391" s="774">
        <f t="shared" si="1441"/>
        <v>92.682999999999979</v>
      </c>
      <c r="W391" s="772">
        <f t="shared" si="1445"/>
        <v>79.185000000000002</v>
      </c>
      <c r="AE391" s="772">
        <f t="shared" ref="AE391:AT391" si="1446">SUM(AE379:AE390)</f>
        <v>0.61880799999999991</v>
      </c>
      <c r="AF391" s="772">
        <f t="shared" si="1446"/>
        <v>0.99292500000000006</v>
      </c>
      <c r="AG391" s="772">
        <f t="shared" si="1446"/>
        <v>1.4531980000000002</v>
      </c>
      <c r="AH391" s="772">
        <f t="shared" si="1446"/>
        <v>1.8064549999999999</v>
      </c>
      <c r="AI391" s="772">
        <f t="shared" si="1446"/>
        <v>2.1837300000000002</v>
      </c>
      <c r="AJ391" s="772">
        <f t="shared" si="1446"/>
        <v>1.351656</v>
      </c>
      <c r="AK391" s="772">
        <f t="shared" si="1446"/>
        <v>1.8261829999999999</v>
      </c>
      <c r="AL391" s="772">
        <f t="shared" si="1446"/>
        <v>3.7500610000000001</v>
      </c>
      <c r="AM391" s="772">
        <f t="shared" si="1446"/>
        <v>5.9144150000000009</v>
      </c>
      <c r="AN391" s="772">
        <f t="shared" si="1446"/>
        <v>7.6696679999999997</v>
      </c>
      <c r="AO391" s="772">
        <f t="shared" si="1446"/>
        <v>10.265191999999999</v>
      </c>
      <c r="AP391" s="772">
        <f t="shared" si="1446"/>
        <v>16.677636</v>
      </c>
      <c r="AQ391" s="772">
        <f t="shared" si="1446"/>
        <v>24.125456999999997</v>
      </c>
      <c r="AR391" s="772">
        <f t="shared" si="1446"/>
        <v>28.911999999999999</v>
      </c>
      <c r="AS391" s="772">
        <f t="shared" si="1446"/>
        <v>37.245999999999995</v>
      </c>
      <c r="AT391" s="772">
        <f t="shared" si="1446"/>
        <v>41.762</v>
      </c>
      <c r="AU391" s="772">
        <f>SUM(AU379:AU390)</f>
        <v>44.875999999999998</v>
      </c>
      <c r="AV391" s="772">
        <f>SUM(AV379:AV390)</f>
        <v>53.660999999999994</v>
      </c>
      <c r="AW391" s="772">
        <f t="shared" ref="AW391:AZ391" si="1447">SUM(AW379:AW390)</f>
        <v>71.568000000000012</v>
      </c>
      <c r="AX391" s="772">
        <f t="shared" si="1447"/>
        <v>87.63900000000001</v>
      </c>
      <c r="AY391" s="772">
        <f t="shared" si="1447"/>
        <v>99.162000000000006</v>
      </c>
      <c r="AZ391" s="772">
        <f t="shared" si="1447"/>
        <v>126.45499999999998</v>
      </c>
      <c r="BA391" s="772">
        <f t="shared" ref="BA391:BC391" si="1448">SUM(BA379:BA390)</f>
        <v>142.99599999999998</v>
      </c>
      <c r="BB391" s="772">
        <f t="shared" si="1448"/>
        <v>150.28000000000003</v>
      </c>
      <c r="BC391" s="772">
        <f t="shared" si="1448"/>
        <v>164.20199999999997</v>
      </c>
    </row>
    <row r="392" spans="1:55" x14ac:dyDescent="0.25">
      <c r="A392" s="760" t="s">
        <v>344</v>
      </c>
      <c r="C392" s="772">
        <f>'CapIQ - as disclosed'!Y101/1000</f>
        <v>2.2440000000000002</v>
      </c>
      <c r="D392" s="772">
        <f>'CapIQ - as disclosed'!Z101/1000</f>
        <v>-0.41399999999999998</v>
      </c>
      <c r="E392" s="773">
        <f>'CapIQ - as disclosed'!AA101/1000</f>
        <v>-1.27</v>
      </c>
      <c r="F392" s="772">
        <f>AU392-E392</f>
        <v>-0.69100000000000006</v>
      </c>
      <c r="G392" s="772">
        <v>-1.008</v>
      </c>
      <c r="H392" s="774">
        <f>AV392-G392</f>
        <v>-1.3559999999999999</v>
      </c>
      <c r="I392" s="772">
        <v>-5.7290000000000001</v>
      </c>
      <c r="J392" s="774">
        <f>+Canalyst!F326</f>
        <v>4.0730000000000004</v>
      </c>
      <c r="K392" s="772">
        <f>+Canalyst!G326</f>
        <v>-26.37</v>
      </c>
      <c r="L392" s="774">
        <f>+Canalyst!H326</f>
        <v>23.917000000000002</v>
      </c>
      <c r="M392" s="772">
        <f>+Canalyst!I326</f>
        <v>-5.2960000000000003</v>
      </c>
      <c r="N392" s="774">
        <f>+Canalyst!J326</f>
        <v>4.6360000000000001</v>
      </c>
      <c r="O392" s="772">
        <f>+Canalyst!K326</f>
        <v>-1.839</v>
      </c>
      <c r="P392" s="774">
        <f>+Canalyst!L326</f>
        <v>-24.828000000000003</v>
      </c>
      <c r="Q392" s="772">
        <f>+Canalyst!M326</f>
        <v>-5.9560000000000004</v>
      </c>
      <c r="R392" s="774">
        <f>+Canalyst!N326</f>
        <v>39.263000000000005</v>
      </c>
      <c r="S392" s="772">
        <f>+Canalyst!O326</f>
        <v>-2.0529999999999999</v>
      </c>
      <c r="T392" s="774">
        <f t="shared" si="1440"/>
        <v>3.5659999999999998</v>
      </c>
      <c r="U392" s="772">
        <v>-0.40100000000000002</v>
      </c>
      <c r="V392" s="774">
        <f t="shared" si="1441"/>
        <v>1.0760000000000001</v>
      </c>
      <c r="W392" s="772">
        <v>-18.419</v>
      </c>
      <c r="AE392" s="772">
        <f>'CapIQ - as disclosed'!G101/1000000</f>
        <v>-0.124542</v>
      </c>
      <c r="AF392" s="772">
        <f>'CapIQ - as disclosed'!H101/1000000</f>
        <v>-0.16359799999999999</v>
      </c>
      <c r="AG392" s="772">
        <f>'CapIQ - as disclosed'!I101/1000000</f>
        <v>-1.108223</v>
      </c>
      <c r="AH392" s="772">
        <f>'CapIQ - as disclosed'!J101/1000000</f>
        <v>0.99104700000000001</v>
      </c>
      <c r="AI392" s="772">
        <f>'CapIQ - as disclosed'!K101/1000000</f>
        <v>4.3552E-2</v>
      </c>
      <c r="AJ392" s="772">
        <f>'CapIQ - as disclosed'!L101/1000000</f>
        <v>-5.5319999999999996E-3</v>
      </c>
      <c r="AK392" s="772">
        <f>'CapIQ - as disclosed'!M101/1000000</f>
        <v>7.9530000000000003E-2</v>
      </c>
      <c r="AL392" s="772">
        <f>'CapIQ - as disclosed'!N101/1000000</f>
        <v>-0.23222499999999999</v>
      </c>
      <c r="AM392" s="772">
        <f>'CapIQ - as disclosed'!O101/1000000</f>
        <v>8.1599999999999999E-4</v>
      </c>
      <c r="AN392" s="772">
        <f>'CapIQ - as disclosed'!P101/1000000</f>
        <v>0.13867299999999999</v>
      </c>
      <c r="AO392" s="772">
        <f>'CapIQ - as disclosed'!Q101/1000000</f>
        <v>-0.56731299999999996</v>
      </c>
      <c r="AP392" s="772">
        <f>'CapIQ - as disclosed'!R101/1000000</f>
        <v>-0.20915400000000001</v>
      </c>
      <c r="AQ392" s="772">
        <f>'CapIQ - as disclosed'!S101/1000000</f>
        <v>-0.94483799999999996</v>
      </c>
      <c r="AR392" s="772">
        <v>-2.2709999999999999</v>
      </c>
      <c r="AS392" s="772">
        <v>-0.20200000000000001</v>
      </c>
      <c r="AT392" s="772">
        <v>1.83</v>
      </c>
      <c r="AU392" s="772">
        <v>-1.9610000000000001</v>
      </c>
      <c r="AV392" s="772">
        <v>-2.3639999999999999</v>
      </c>
      <c r="AW392" s="772">
        <f>+Canalyst!AI326</f>
        <v>-1.6559999999999999</v>
      </c>
      <c r="AX392" s="772">
        <f>+Canalyst!AJ326</f>
        <v>-2.4529999999999998</v>
      </c>
      <c r="AY392" s="772">
        <f>+Canalyst!AK326</f>
        <v>-0.66</v>
      </c>
      <c r="AZ392" s="772">
        <f>+Canalyst!AL326</f>
        <v>-26.667000000000002</v>
      </c>
      <c r="BA392" s="772">
        <f>+Canalyst!AM326</f>
        <v>33.307000000000002</v>
      </c>
      <c r="BB392" s="772">
        <v>1.5129999999999999</v>
      </c>
      <c r="BC392" s="772">
        <v>0.67500000000000004</v>
      </c>
    </row>
    <row r="393" spans="1:55" x14ac:dyDescent="0.25">
      <c r="A393" s="760" t="str">
        <f>+Canalyst!A327</f>
        <v>Decrease (increase) in trade and other receivables</v>
      </c>
      <c r="C393" s="772">
        <f>('CapIQ - as disclosed'!Y104+'CapIQ - as disclosed'!Y100)/1000</f>
        <v>-12.051</v>
      </c>
      <c r="D393" s="772">
        <f>('CapIQ - as disclosed'!Z104+'CapIQ - as disclosed'!Z100)/1000</f>
        <v>-10.374000000000001</v>
      </c>
      <c r="E393" s="773">
        <f>('CapIQ - as disclosed'!AA104+'CapIQ - as disclosed'!AA100)/1000</f>
        <v>6.7060000000000004</v>
      </c>
      <c r="F393" s="772">
        <f>AU393-E393</f>
        <v>-19.314</v>
      </c>
      <c r="G393" s="772">
        <v>-18.885999999999999</v>
      </c>
      <c r="H393" s="774">
        <f>AV393-G393</f>
        <v>-21.833000000000002</v>
      </c>
      <c r="I393" s="772">
        <v>-16.117000000000001</v>
      </c>
      <c r="J393" s="774">
        <f>+Canalyst!F327</f>
        <v>-16.334</v>
      </c>
      <c r="K393" s="772">
        <f>+Canalyst!G327</f>
        <v>-34.847999999999999</v>
      </c>
      <c r="L393" s="774">
        <f>+Canalyst!H327</f>
        <v>-44.501999999999995</v>
      </c>
      <c r="M393" s="772">
        <f>+Canalyst!I327</f>
        <v>1.141</v>
      </c>
      <c r="N393" s="774">
        <f>+Canalyst!J327</f>
        <v>-29.957000000000001</v>
      </c>
      <c r="O393" s="772">
        <f>+Canalyst!K327</f>
        <v>29.978999999999999</v>
      </c>
      <c r="P393" s="774">
        <f>+Canalyst!L327</f>
        <v>-45.522999999999996</v>
      </c>
      <c r="Q393" s="772">
        <f>+Canalyst!M327</f>
        <v>-75.522999999999996</v>
      </c>
      <c r="R393" s="774">
        <f>+Canalyst!N327</f>
        <v>-136.17099999999999</v>
      </c>
      <c r="S393" s="772">
        <f>+Canalyst!O327</f>
        <v>-4.077</v>
      </c>
      <c r="T393" s="774">
        <f t="shared" si="1440"/>
        <v>55.46</v>
      </c>
      <c r="U393" s="772">
        <v>-6.7809999999999997</v>
      </c>
      <c r="V393" s="774">
        <f t="shared" si="1441"/>
        <v>-88.47999999999999</v>
      </c>
      <c r="W393" s="772">
        <v>-22.864999999999998</v>
      </c>
      <c r="AE393" s="772">
        <f>'CapIQ - as disclosed'!G100/1000000</f>
        <v>-1.3013840000000001</v>
      </c>
      <c r="AF393" s="772">
        <f>'CapIQ - as disclosed'!H100/1000000</f>
        <v>-1.2501389999999999</v>
      </c>
      <c r="AG393" s="772">
        <f>'CapIQ - as disclosed'!I100/1000000</f>
        <v>-9.9134419999999999</v>
      </c>
      <c r="AH393" s="772">
        <f>'CapIQ - as disclosed'!J100/1000000</f>
        <v>6.5610359999999996</v>
      </c>
      <c r="AI393" s="772">
        <f>'CapIQ - as disclosed'!K100/1000000</f>
        <v>-3.526475</v>
      </c>
      <c r="AJ393" s="772">
        <f>'CapIQ - as disclosed'!L100/1000000</f>
        <v>-2.3217180000000002</v>
      </c>
      <c r="AK393" s="772">
        <f>'CapIQ - as disclosed'!M100/1000000</f>
        <v>-2.1687059999999998</v>
      </c>
      <c r="AL393" s="772">
        <f>'CapIQ - as disclosed'!N100/1000000</f>
        <v>-3.5819109999999998</v>
      </c>
      <c r="AM393" s="772">
        <f>'CapIQ - as disclosed'!O100/1000000</f>
        <v>-1.1348320000000001</v>
      </c>
      <c r="AN393" s="772">
        <f>'CapIQ - as disclosed'!P100/1000000</f>
        <v>-1.0445439999999999</v>
      </c>
      <c r="AO393" s="772">
        <f>'CapIQ - as disclosed'!Q100/1000000</f>
        <v>-9.3485080000000007</v>
      </c>
      <c r="AP393" s="772">
        <f>'CapIQ - as disclosed'!R100/1000000</f>
        <v>-18.906365999999998</v>
      </c>
      <c r="AQ393" s="772">
        <f>'CapIQ - as disclosed'!S100/1000000</f>
        <v>-22.077763000000001</v>
      </c>
      <c r="AR393" s="772">
        <v>-13.467000000000001</v>
      </c>
      <c r="AS393" s="772">
        <v>-12.378</v>
      </c>
      <c r="AT393" s="772">
        <v>-22.425000000000001</v>
      </c>
      <c r="AU393" s="772">
        <v>-12.608000000000001</v>
      </c>
      <c r="AV393" s="772">
        <v>-40.719000000000001</v>
      </c>
      <c r="AW393" s="772">
        <f>+Canalyst!AI327</f>
        <v>-32.451000000000001</v>
      </c>
      <c r="AX393" s="772">
        <f>+Canalyst!AJ327</f>
        <v>-79.349999999999994</v>
      </c>
      <c r="AY393" s="772">
        <f>+Canalyst!AK327</f>
        <v>-28.815999999999999</v>
      </c>
      <c r="AZ393" s="772">
        <f>+Canalyst!AL327</f>
        <v>-15.544</v>
      </c>
      <c r="BA393" s="772">
        <f>+Canalyst!AM327</f>
        <v>-211.69399999999999</v>
      </c>
      <c r="BB393" s="772">
        <v>51.383000000000003</v>
      </c>
      <c r="BC393" s="772">
        <v>-95.260999999999996</v>
      </c>
    </row>
    <row r="394" spans="1:55" ht="13" x14ac:dyDescent="0.25">
      <c r="A394" s="760" t="str">
        <f>+Canalyst!A328</f>
        <v>Increase (decrease) in trade and other payables</v>
      </c>
      <c r="C394" s="780">
        <f>('CapIQ - as disclosed'!Y105+'CapIQ - as disclosed'!Y102)/1000</f>
        <v>5.0389999999999997</v>
      </c>
      <c r="D394" s="780">
        <f>('CapIQ - as disclosed'!Z105+'CapIQ - as disclosed'!Z102)/1000</f>
        <v>28.524000000000001</v>
      </c>
      <c r="E394" s="781">
        <f>('CapIQ - as disclosed'!AA105+'CapIQ - as disclosed'!AA102)/1000</f>
        <v>0.72499999999999998</v>
      </c>
      <c r="F394" s="780">
        <f>AU394-E394</f>
        <v>6.7490000000000006</v>
      </c>
      <c r="G394" s="780">
        <v>22.056999999999999</v>
      </c>
      <c r="H394" s="782">
        <f>AV394-G394</f>
        <v>17.59</v>
      </c>
      <c r="I394" s="780">
        <v>21.34</v>
      </c>
      <c r="J394" s="782">
        <f>+Canalyst!F328</f>
        <v>8.75</v>
      </c>
      <c r="K394" s="780">
        <f>+Canalyst!G328</f>
        <v>62.241</v>
      </c>
      <c r="L394" s="782">
        <f>+Canalyst!H328</f>
        <v>12.128</v>
      </c>
      <c r="M394" s="780">
        <f>+Canalyst!I328</f>
        <v>3.7890000000000001</v>
      </c>
      <c r="N394" s="782">
        <f>+Canalyst!J328</f>
        <v>17.811999999999998</v>
      </c>
      <c r="O394" s="780">
        <f>+Canalyst!K328</f>
        <v>-34.771999999999998</v>
      </c>
      <c r="P394" s="782">
        <f>+Canalyst!L328</f>
        <v>64.325000000000003</v>
      </c>
      <c r="Q394" s="780">
        <f>+Canalyst!M328</f>
        <v>71.001000000000005</v>
      </c>
      <c r="R394" s="782">
        <f>+Canalyst!N328</f>
        <v>73.377999999999986</v>
      </c>
      <c r="S394" s="780">
        <f>+Canalyst!O328</f>
        <v>14.275</v>
      </c>
      <c r="T394" s="782">
        <f t="shared" si="1440"/>
        <v>-82.856000000000009</v>
      </c>
      <c r="U394" s="780">
        <v>5.9429999999999996</v>
      </c>
      <c r="V394" s="782">
        <f t="shared" si="1441"/>
        <v>79.275000000000006</v>
      </c>
      <c r="W394" s="780">
        <v>51.709000000000003</v>
      </c>
      <c r="AE394" s="780">
        <f>'CapIQ - as disclosed'!G102/1000000</f>
        <v>-3.7716E-2</v>
      </c>
      <c r="AF394" s="780">
        <f>'CapIQ - as disclosed'!H102/1000000</f>
        <v>1.083418</v>
      </c>
      <c r="AG394" s="780">
        <f>'CapIQ - as disclosed'!I102/1000000</f>
        <v>8.8393650000000008</v>
      </c>
      <c r="AH394" s="780">
        <f>'CapIQ - as disclosed'!J102/1000000</f>
        <v>-4.0200760000000004</v>
      </c>
      <c r="AI394" s="780">
        <f>'CapIQ - as disclosed'!K102/1000000</f>
        <v>1.18896</v>
      </c>
      <c r="AJ394" s="780">
        <f>'CapIQ - as disclosed'!L102/1000000</f>
        <v>-1.889297</v>
      </c>
      <c r="AK394" s="780">
        <f>'CapIQ - as disclosed'!M102/1000000</f>
        <v>0.67960900000000002</v>
      </c>
      <c r="AL394" s="780">
        <f>'CapIQ - as disclosed'!N102/1000000</f>
        <v>3.8643239999999999</v>
      </c>
      <c r="AM394" s="780">
        <f>'CapIQ - as disclosed'!O102/1000000</f>
        <v>1.7447680000000001</v>
      </c>
      <c r="AN394" s="780">
        <f>'CapIQ - as disclosed'!P102/1000000</f>
        <v>0.80915000000000004</v>
      </c>
      <c r="AO394" s="780">
        <f>'CapIQ - as disclosed'!Q102/1000000</f>
        <v>8.59131</v>
      </c>
      <c r="AP394" s="780">
        <f>'CapIQ - as disclosed'!R102/1000000</f>
        <v>3.8963860000000001</v>
      </c>
      <c r="AQ394" s="780">
        <f>'CapIQ - as disclosed'!S102/1000000</f>
        <v>13.493892000000001</v>
      </c>
      <c r="AR394" s="780">
        <v>9.6829999999999998</v>
      </c>
      <c r="AS394" s="780">
        <v>21.352</v>
      </c>
      <c r="AT394" s="780">
        <v>33.563000000000002</v>
      </c>
      <c r="AU394" s="780">
        <v>7.4740000000000002</v>
      </c>
      <c r="AV394" s="780">
        <v>39.646999999999998</v>
      </c>
      <c r="AW394" s="780">
        <f>+Canalyst!AI328</f>
        <v>30.09</v>
      </c>
      <c r="AX394" s="780">
        <f>+Canalyst!AJ328</f>
        <v>74.369</v>
      </c>
      <c r="AY394" s="780">
        <f>+Canalyst!AK328</f>
        <v>21.600999999999999</v>
      </c>
      <c r="AZ394" s="780">
        <f>+Canalyst!AL328</f>
        <v>29.553000000000001</v>
      </c>
      <c r="BA394" s="780">
        <f>+Canalyst!AM328</f>
        <v>144.37899999999999</v>
      </c>
      <c r="BB394" s="780">
        <v>-68.581000000000003</v>
      </c>
      <c r="BC394" s="780">
        <v>85.218000000000004</v>
      </c>
    </row>
    <row r="395" spans="1:55" x14ac:dyDescent="0.25">
      <c r="A395" s="783" t="s">
        <v>345</v>
      </c>
      <c r="C395" s="772">
        <f t="shared" ref="C395" si="1449">SUM(C391:C394)</f>
        <v>13.519000000000002</v>
      </c>
      <c r="D395" s="772">
        <f t="shared" ref="D395" si="1450">SUM(D391:D394)</f>
        <v>41.210999999999999</v>
      </c>
      <c r="E395" s="773">
        <f t="shared" ref="E395:F395" si="1451">SUM(E391:E394)</f>
        <v>22.753000000000004</v>
      </c>
      <c r="F395" s="772">
        <f t="shared" si="1451"/>
        <v>15.028</v>
      </c>
      <c r="G395" s="772">
        <f t="shared" ref="G395:R395" si="1452">SUM(G391:G394)</f>
        <v>24.553000000000001</v>
      </c>
      <c r="H395" s="774">
        <f t="shared" si="1452"/>
        <v>25.672000000000004</v>
      </c>
      <c r="I395" s="772">
        <f t="shared" si="1452"/>
        <v>25.492000000000001</v>
      </c>
      <c r="J395" s="774">
        <f t="shared" si="1452"/>
        <v>42.059000000000012</v>
      </c>
      <c r="K395" s="772">
        <f t="shared" si="1452"/>
        <v>36.332000000000008</v>
      </c>
      <c r="L395" s="774">
        <f t="shared" si="1452"/>
        <v>43.873000000000019</v>
      </c>
      <c r="M395" s="772">
        <f t="shared" si="1452"/>
        <v>42.432000000000002</v>
      </c>
      <c r="N395" s="774">
        <f t="shared" si="1452"/>
        <v>48.854999999999997</v>
      </c>
      <c r="O395" s="772">
        <f t="shared" si="1452"/>
        <v>53.938999999999986</v>
      </c>
      <c r="P395" s="774">
        <f t="shared" si="1452"/>
        <v>59.85799999999999</v>
      </c>
      <c r="Q395" s="772">
        <f t="shared" si="1452"/>
        <v>57.323000000000008</v>
      </c>
      <c r="R395" s="774">
        <f t="shared" si="1452"/>
        <v>51.66500000000002</v>
      </c>
      <c r="S395" s="772">
        <f t="shared" ref="S395:U395" si="1453">SUM(S391:S394)</f>
        <v>75.718000000000004</v>
      </c>
      <c r="T395" s="774">
        <f t="shared" si="1440"/>
        <v>58.877000000000024</v>
      </c>
      <c r="U395" s="772">
        <f t="shared" si="1453"/>
        <v>70.279999999999987</v>
      </c>
      <c r="V395" s="774">
        <f t="shared" si="1441"/>
        <v>84.554000000000016</v>
      </c>
      <c r="W395" s="772">
        <f t="shared" ref="W395" si="1454">SUM(W391:W394)</f>
        <v>89.610000000000014</v>
      </c>
      <c r="AE395" s="772">
        <f t="shared" ref="AE395:AQ395" si="1455">SUM(AE391:AE394)</f>
        <v>-0.8448340000000002</v>
      </c>
      <c r="AF395" s="772">
        <f t="shared" si="1455"/>
        <v>0.66260600000000014</v>
      </c>
      <c r="AG395" s="772">
        <f t="shared" si="1455"/>
        <v>-0.72910199999999925</v>
      </c>
      <c r="AH395" s="772">
        <f t="shared" si="1455"/>
        <v>5.3384619999999989</v>
      </c>
      <c r="AI395" s="772">
        <f t="shared" si="1455"/>
        <v>-0.1102329999999998</v>
      </c>
      <c r="AJ395" s="772">
        <f t="shared" si="1455"/>
        <v>-2.8648910000000001</v>
      </c>
      <c r="AK395" s="772">
        <f t="shared" si="1455"/>
        <v>0.41661600000000021</v>
      </c>
      <c r="AL395" s="772">
        <f t="shared" si="1455"/>
        <v>3.800249</v>
      </c>
      <c r="AM395" s="772">
        <f t="shared" si="1455"/>
        <v>6.5251670000000015</v>
      </c>
      <c r="AN395" s="772">
        <f t="shared" si="1455"/>
        <v>7.5729469999999992</v>
      </c>
      <c r="AO395" s="772">
        <f t="shared" si="1455"/>
        <v>8.9406809999999979</v>
      </c>
      <c r="AP395" s="772">
        <f t="shared" si="1455"/>
        <v>1.4585019999999997</v>
      </c>
      <c r="AQ395" s="772">
        <f t="shared" si="1455"/>
        <v>14.596747999999996</v>
      </c>
      <c r="AR395" s="772">
        <f>SUM(AR391:AR394)</f>
        <v>22.856999999999999</v>
      </c>
      <c r="AS395" s="772">
        <f t="shared" ref="AS395:AT395" si="1456">SUM(AS391:AS394)</f>
        <v>46.018000000000001</v>
      </c>
      <c r="AT395" s="772">
        <f t="shared" si="1456"/>
        <v>54.730000000000004</v>
      </c>
      <c r="AU395" s="772">
        <f t="shared" ref="AU395:AZ395" si="1457">SUM(AU391:AU394)</f>
        <v>37.780999999999999</v>
      </c>
      <c r="AV395" s="772">
        <f t="shared" si="1457"/>
        <v>50.224999999999994</v>
      </c>
      <c r="AW395" s="772">
        <f t="shared" si="1457"/>
        <v>67.551000000000002</v>
      </c>
      <c r="AX395" s="772">
        <f t="shared" si="1457"/>
        <v>80.205000000000013</v>
      </c>
      <c r="AY395" s="772">
        <f t="shared" si="1457"/>
        <v>91.287000000000006</v>
      </c>
      <c r="AZ395" s="772">
        <f t="shared" si="1457"/>
        <v>113.79699999999998</v>
      </c>
      <c r="BA395" s="772">
        <f t="shared" ref="BA395:BC395" si="1458">SUM(BA391:BA394)</f>
        <v>108.988</v>
      </c>
      <c r="BB395" s="772">
        <f t="shared" si="1458"/>
        <v>134.59500000000003</v>
      </c>
      <c r="BC395" s="772">
        <f t="shared" si="1458"/>
        <v>154.834</v>
      </c>
    </row>
    <row r="396" spans="1:55" ht="13" x14ac:dyDescent="0.25">
      <c r="A396" s="760" t="s">
        <v>346</v>
      </c>
      <c r="C396" s="780">
        <f>'CapIQ - as disclosed'!Y99/1000</f>
        <v>-3.964</v>
      </c>
      <c r="D396" s="780">
        <f>'CapIQ - as disclosed'!Z99/1000</f>
        <v>-3.355</v>
      </c>
      <c r="E396" s="781">
        <f>'CapIQ - as disclosed'!AA99/1000</f>
        <v>-4.2560000000000002</v>
      </c>
      <c r="F396" s="780">
        <f>AU396-E396</f>
        <v>-3.5999999999999996</v>
      </c>
      <c r="G396" s="780">
        <v>-4.4329999999999998</v>
      </c>
      <c r="H396" s="782">
        <f>AV396-G396</f>
        <v>-4.8209999999999997</v>
      </c>
      <c r="I396" s="780">
        <v>-4.9000000000000004</v>
      </c>
      <c r="J396" s="782">
        <f>+Canalyst!F324</f>
        <v>-5.6</v>
      </c>
      <c r="K396" s="780">
        <f>+Canalyst!G324</f>
        <v>-7.8689999999999998</v>
      </c>
      <c r="L396" s="782">
        <f>+Canalyst!H324</f>
        <v>-7.6769999999999996</v>
      </c>
      <c r="M396" s="780">
        <f>+Canalyst!I324</f>
        <v>-17.47</v>
      </c>
      <c r="N396" s="782">
        <f>+Canalyst!J324</f>
        <v>-9.647000000000002</v>
      </c>
      <c r="O396" s="780">
        <f>+Canalyst!K324</f>
        <v>-9.8629999999999995</v>
      </c>
      <c r="P396" s="782">
        <f>+Canalyst!L324</f>
        <v>-12.682000000000002</v>
      </c>
      <c r="Q396" s="780">
        <f>+Canalyst!M324</f>
        <v>-11.154999999999999</v>
      </c>
      <c r="R396" s="782">
        <f>+Canalyst!N324</f>
        <v>-14.189000000000002</v>
      </c>
      <c r="S396" s="780">
        <f>+Canalyst!O324</f>
        <v>-14.6</v>
      </c>
      <c r="T396" s="782">
        <f t="shared" si="1440"/>
        <v>-15.193</v>
      </c>
      <c r="U396" s="780">
        <v>-19.082000000000001</v>
      </c>
      <c r="V396" s="782">
        <f t="shared" si="1441"/>
        <v>-20.143999999999998</v>
      </c>
      <c r="W396" s="780">
        <v>-24.280999999999999</v>
      </c>
      <c r="AE396" s="780">
        <f>'CapIQ - as disclosed'!G123/1000000</f>
        <v>-3.8838999999999999E-2</v>
      </c>
      <c r="AF396" s="780">
        <f>'CapIQ - as disclosed'!H123/1000000</f>
        <v>-0.307448</v>
      </c>
      <c r="AG396" s="780">
        <f>'CapIQ - as disclosed'!I123/1000000</f>
        <v>-0.23452600000000001</v>
      </c>
      <c r="AH396" s="780">
        <f>'CapIQ - as disclosed'!J123/1000000</f>
        <v>-0.45753300000000002</v>
      </c>
      <c r="AI396" s="780">
        <f>'CapIQ - as disclosed'!K123/1000000</f>
        <v>-0.55442199999999997</v>
      </c>
      <c r="AJ396" s="780">
        <f>'CapIQ - as disclosed'!L123/1000000</f>
        <v>-0.64238399999999996</v>
      </c>
      <c r="AK396" s="780">
        <f>'CapIQ - as disclosed'!M123/1000000</f>
        <v>-0.36492000000000002</v>
      </c>
      <c r="AL396" s="780">
        <f>'CapIQ - as disclosed'!N123/1000000</f>
        <v>-1.2982739999999999</v>
      </c>
      <c r="AM396" s="780">
        <f>'CapIQ - as disclosed'!O123/1000000</f>
        <v>-1.9607619999999999</v>
      </c>
      <c r="AN396" s="780">
        <f>'CapIQ - as disclosed'!P123/1000000</f>
        <v>-2.4755760000000002</v>
      </c>
      <c r="AO396" s="780">
        <f>'CapIQ - as disclosed'!Q123/1000000</f>
        <v>-2.2563430000000002</v>
      </c>
      <c r="AP396" s="780">
        <f>'CapIQ - as disclosed'!R123/1000000</f>
        <v>-3.4732370000000001</v>
      </c>
      <c r="AQ396" s="780">
        <f>'CapIQ - as disclosed'!S123/1000000</f>
        <v>-4.3898060000000001</v>
      </c>
      <c r="AR396" s="780">
        <v>-5.2</v>
      </c>
      <c r="AS396" s="780">
        <v>-10.345000000000001</v>
      </c>
      <c r="AT396" s="780">
        <v>-7.319</v>
      </c>
      <c r="AU396" s="780">
        <v>-7.8559999999999999</v>
      </c>
      <c r="AV396" s="780">
        <v>-9.2539999999999996</v>
      </c>
      <c r="AW396" s="780">
        <f>+Canalyst!AI324</f>
        <v>-10.5</v>
      </c>
      <c r="AX396" s="780">
        <f>+Canalyst!AJ324</f>
        <v>-15.545999999999999</v>
      </c>
      <c r="AY396" s="780">
        <f>+Canalyst!AK324</f>
        <v>-27.117000000000001</v>
      </c>
      <c r="AZ396" s="780">
        <f>+Canalyst!AL324</f>
        <v>-22.545000000000002</v>
      </c>
      <c r="BA396" s="780">
        <f>+Canalyst!AM324</f>
        <v>-25.344000000000001</v>
      </c>
      <c r="BB396" s="780">
        <v>-29.792999999999999</v>
      </c>
      <c r="BC396" s="780">
        <v>-39.225999999999999</v>
      </c>
    </row>
    <row r="397" spans="1:55" s="763" customFormat="1" x14ac:dyDescent="0.25">
      <c r="A397" s="786" t="s">
        <v>223</v>
      </c>
      <c r="C397" s="787">
        <f t="shared" ref="C397" si="1459">SUM(C395:C396)</f>
        <v>9.5550000000000015</v>
      </c>
      <c r="D397" s="787">
        <f t="shared" ref="D397" si="1460">SUM(D395:D396)</f>
        <v>37.856000000000002</v>
      </c>
      <c r="E397" s="788">
        <f t="shared" ref="E397:F397" si="1461">SUM(E395:E396)</f>
        <v>18.497000000000003</v>
      </c>
      <c r="F397" s="787">
        <f t="shared" si="1461"/>
        <v>11.428000000000001</v>
      </c>
      <c r="G397" s="787">
        <f t="shared" ref="G397:R397" si="1462">SUM(G395:G396)</f>
        <v>20.12</v>
      </c>
      <c r="H397" s="789">
        <f t="shared" si="1462"/>
        <v>20.851000000000006</v>
      </c>
      <c r="I397" s="787">
        <f t="shared" si="1462"/>
        <v>20.591999999999999</v>
      </c>
      <c r="J397" s="789">
        <f t="shared" si="1462"/>
        <v>36.45900000000001</v>
      </c>
      <c r="K397" s="787">
        <f t="shared" si="1462"/>
        <v>28.463000000000008</v>
      </c>
      <c r="L397" s="789">
        <f t="shared" si="1462"/>
        <v>36.196000000000019</v>
      </c>
      <c r="M397" s="787">
        <f t="shared" si="1462"/>
        <v>24.962000000000003</v>
      </c>
      <c r="N397" s="789">
        <f t="shared" si="1462"/>
        <v>39.207999999999998</v>
      </c>
      <c r="O397" s="787">
        <f t="shared" si="1462"/>
        <v>44.075999999999986</v>
      </c>
      <c r="P397" s="789">
        <f t="shared" si="1462"/>
        <v>47.175999999999988</v>
      </c>
      <c r="Q397" s="787">
        <f t="shared" si="1462"/>
        <v>46.168000000000006</v>
      </c>
      <c r="R397" s="789">
        <f t="shared" si="1462"/>
        <v>37.47600000000002</v>
      </c>
      <c r="S397" s="787">
        <f t="shared" ref="S397:U397" si="1463">SUM(S395:S396)</f>
        <v>61.118000000000002</v>
      </c>
      <c r="T397" s="789">
        <f t="shared" si="1440"/>
        <v>43.684000000000019</v>
      </c>
      <c r="U397" s="787">
        <f t="shared" si="1463"/>
        <v>51.197999999999986</v>
      </c>
      <c r="V397" s="789">
        <f t="shared" si="1441"/>
        <v>64.410000000000025</v>
      </c>
      <c r="W397" s="787">
        <f t="shared" ref="W397" si="1464">SUM(W395:W396)</f>
        <v>65.329000000000008</v>
      </c>
      <c r="AE397" s="787">
        <f t="shared" ref="AE397:AQ397" si="1465">SUM(AE395:AE396)</f>
        <v>-0.88367300000000015</v>
      </c>
      <c r="AF397" s="787">
        <f t="shared" si="1465"/>
        <v>0.35515800000000014</v>
      </c>
      <c r="AG397" s="787">
        <f t="shared" si="1465"/>
        <v>-0.96362799999999926</v>
      </c>
      <c r="AH397" s="787">
        <f t="shared" si="1465"/>
        <v>4.8809289999999992</v>
      </c>
      <c r="AI397" s="787">
        <f t="shared" si="1465"/>
        <v>-0.66465499999999977</v>
      </c>
      <c r="AJ397" s="787">
        <f t="shared" si="1465"/>
        <v>-3.5072749999999999</v>
      </c>
      <c r="AK397" s="787">
        <f t="shared" si="1465"/>
        <v>5.1696000000000186E-2</v>
      </c>
      <c r="AL397" s="787">
        <f t="shared" si="1465"/>
        <v>2.5019749999999998</v>
      </c>
      <c r="AM397" s="787">
        <f t="shared" si="1465"/>
        <v>4.5644050000000016</v>
      </c>
      <c r="AN397" s="787">
        <f t="shared" si="1465"/>
        <v>5.097370999999999</v>
      </c>
      <c r="AO397" s="787">
        <f t="shared" si="1465"/>
        <v>6.6843379999999977</v>
      </c>
      <c r="AP397" s="787">
        <f t="shared" si="1465"/>
        <v>-2.0147350000000004</v>
      </c>
      <c r="AQ397" s="787">
        <f t="shared" si="1465"/>
        <v>10.206941999999996</v>
      </c>
      <c r="AR397" s="787">
        <f>SUM(AR395:AR396)</f>
        <v>17.657</v>
      </c>
      <c r="AS397" s="787">
        <f t="shared" ref="AS397:AT397" si="1466">SUM(AS395:AS396)</f>
        <v>35.673000000000002</v>
      </c>
      <c r="AT397" s="787">
        <f t="shared" si="1466"/>
        <v>47.411000000000001</v>
      </c>
      <c r="AU397" s="787">
        <f t="shared" ref="AU397:AZ397" si="1467">SUM(AU395:AU396)</f>
        <v>29.924999999999997</v>
      </c>
      <c r="AV397" s="787">
        <f t="shared" si="1467"/>
        <v>40.970999999999997</v>
      </c>
      <c r="AW397" s="787">
        <f t="shared" si="1467"/>
        <v>57.051000000000002</v>
      </c>
      <c r="AX397" s="787">
        <f t="shared" si="1467"/>
        <v>64.65900000000002</v>
      </c>
      <c r="AY397" s="787">
        <f t="shared" si="1467"/>
        <v>64.17</v>
      </c>
      <c r="AZ397" s="787">
        <f t="shared" si="1467"/>
        <v>91.251999999999981</v>
      </c>
      <c r="BA397" s="787">
        <f t="shared" ref="BA397:BB397" si="1468">SUM(BA395:BA396)</f>
        <v>83.644000000000005</v>
      </c>
      <c r="BB397" s="787">
        <f t="shared" si="1468"/>
        <v>104.80200000000002</v>
      </c>
      <c r="BC397" s="787">
        <v>115.608</v>
      </c>
    </row>
    <row r="398" spans="1:55" s="763" customFormat="1" x14ac:dyDescent="0.25">
      <c r="A398" s="786"/>
      <c r="C398" s="787"/>
      <c r="D398" s="787"/>
      <c r="E398" s="788"/>
      <c r="F398" s="787"/>
      <c r="G398" s="787"/>
      <c r="H398" s="789"/>
      <c r="I398" s="787"/>
      <c r="J398" s="789"/>
      <c r="K398" s="787"/>
      <c r="L398" s="789"/>
      <c r="M398" s="787"/>
      <c r="N398" s="789"/>
      <c r="O398" s="787"/>
      <c r="P398" s="789"/>
      <c r="Q398" s="787"/>
      <c r="R398" s="789"/>
      <c r="S398" s="787"/>
      <c r="T398" s="789"/>
      <c r="U398" s="787"/>
      <c r="V398" s="789"/>
      <c r="W398" s="787"/>
      <c r="AE398" s="787"/>
      <c r="AF398" s="787"/>
      <c r="AG398" s="787"/>
      <c r="AH398" s="787"/>
      <c r="AI398" s="787"/>
      <c r="AJ398" s="787"/>
      <c r="AK398" s="787"/>
      <c r="AL398" s="787"/>
      <c r="AM398" s="787"/>
      <c r="AN398" s="787"/>
      <c r="AO398" s="787"/>
      <c r="AP398" s="787"/>
      <c r="AQ398" s="787"/>
      <c r="AR398" s="787"/>
      <c r="AS398" s="787"/>
      <c r="AT398" s="787"/>
      <c r="AU398" s="787"/>
      <c r="AV398" s="787"/>
      <c r="AW398" s="787"/>
      <c r="AX398" s="787"/>
      <c r="AY398" s="787"/>
      <c r="AZ398" s="787"/>
      <c r="BA398" s="787"/>
      <c r="BB398" s="787"/>
      <c r="BC398" s="787"/>
    </row>
    <row r="399" spans="1:55" s="763" customFormat="1" x14ac:dyDescent="0.25">
      <c r="A399" s="763" t="s">
        <v>347</v>
      </c>
      <c r="C399" s="787"/>
      <c r="D399" s="787"/>
      <c r="E399" s="788"/>
      <c r="F399" s="787"/>
      <c r="G399" s="787"/>
      <c r="H399" s="789"/>
      <c r="I399" s="787"/>
      <c r="J399" s="789"/>
      <c r="K399" s="787"/>
      <c r="L399" s="789"/>
      <c r="M399" s="787"/>
      <c r="N399" s="789"/>
      <c r="O399" s="787"/>
      <c r="P399" s="789"/>
      <c r="Q399" s="787"/>
      <c r="R399" s="789"/>
      <c r="S399" s="787"/>
      <c r="T399" s="789"/>
      <c r="U399" s="787"/>
      <c r="V399" s="789"/>
      <c r="W399" s="787"/>
      <c r="AE399" s="787"/>
      <c r="AF399" s="787"/>
      <c r="AG399" s="787"/>
      <c r="AH399" s="787"/>
      <c r="AI399" s="787"/>
      <c r="AJ399" s="787"/>
      <c r="AK399" s="787"/>
      <c r="AL399" s="787"/>
      <c r="AM399" s="787"/>
      <c r="AN399" s="787"/>
      <c r="AO399" s="787"/>
      <c r="AP399" s="787"/>
      <c r="AQ399" s="787"/>
      <c r="AR399" s="787"/>
      <c r="AS399" s="787"/>
      <c r="AT399" s="787"/>
      <c r="AU399" s="787"/>
      <c r="AV399" s="787"/>
      <c r="AW399" s="787"/>
      <c r="AX399" s="787"/>
      <c r="AY399" s="787"/>
      <c r="AZ399" s="787"/>
      <c r="BA399" s="787"/>
      <c r="BB399" s="787"/>
      <c r="BC399" s="787"/>
    </row>
    <row r="400" spans="1:55" x14ac:dyDescent="0.25">
      <c r="A400" s="760" t="s">
        <v>268</v>
      </c>
      <c r="C400" s="772">
        <f>C245</f>
        <v>8.1000000000000003E-2</v>
      </c>
      <c r="D400" s="772">
        <f>D245</f>
        <v>0.114</v>
      </c>
      <c r="E400" s="773">
        <f>E245</f>
        <v>0.106</v>
      </c>
      <c r="F400" s="772">
        <f t="shared" ref="F400:F405" si="1469">AU400-E400</f>
        <v>0.107</v>
      </c>
      <c r="G400" s="772">
        <v>8.7999999999999995E-2</v>
      </c>
      <c r="H400" s="774">
        <f t="shared" ref="H400:H405" si="1470">AV400-G400</f>
        <v>5.3999999999999992E-2</v>
      </c>
      <c r="I400" s="772">
        <v>3.7999999999999999E-2</v>
      </c>
      <c r="J400" s="774">
        <f>+Canalyst!F332</f>
        <v>7.9000000000000015E-2</v>
      </c>
      <c r="K400" s="772">
        <f>+Canalyst!G332</f>
        <v>0.11</v>
      </c>
      <c r="L400" s="774">
        <f>+Canalyst!H332</f>
        <v>0.22300000000000003</v>
      </c>
      <c r="M400" s="772">
        <f>+Canalyst!I332</f>
        <v>0.154</v>
      </c>
      <c r="N400" s="774">
        <f>+Canalyst!J332</f>
        <v>4.6000000000000013E-2</v>
      </c>
      <c r="O400" s="772">
        <f>+Canalyst!K332</f>
        <v>2.4E-2</v>
      </c>
      <c r="P400" s="774">
        <f>+Canalyst!L332</f>
        <v>4.0000000000000001E-3</v>
      </c>
      <c r="Q400" s="772">
        <f>+Canalyst!M332</f>
        <v>6.0000000000000001E-3</v>
      </c>
      <c r="R400" s="774">
        <f>+Canalyst!N332</f>
        <v>0.246</v>
      </c>
      <c r="S400" s="772">
        <f>+Canalyst!O332</f>
        <v>0.151</v>
      </c>
      <c r="T400" s="774">
        <f t="shared" ref="T400:T406" si="1471">+BB400-S400</f>
        <v>1.02</v>
      </c>
      <c r="U400" s="772">
        <v>1.65</v>
      </c>
      <c r="V400" s="774">
        <f t="shared" si="1441"/>
        <v>4.1280000000000001</v>
      </c>
      <c r="W400" s="772">
        <v>3.6819999999999999</v>
      </c>
      <c r="AE400" s="772">
        <f>'CapIQ - as disclosed'!G122/1000000</f>
        <v>0</v>
      </c>
      <c r="AF400" s="772">
        <f>'CapIQ - as disclosed'!H122/1000000</f>
        <v>0</v>
      </c>
      <c r="AG400" s="772">
        <f>'CapIQ - as disclosed'!I122/1000000</f>
        <v>0</v>
      </c>
      <c r="AH400" s="772">
        <f>'CapIQ - as disclosed'!J122/1000000</f>
        <v>0</v>
      </c>
      <c r="AI400" s="772">
        <f>'CapIQ - as disclosed'!K122/1000000</f>
        <v>0</v>
      </c>
      <c r="AJ400" s="772">
        <f>'CapIQ - as disclosed'!L122/1000000</f>
        <v>0</v>
      </c>
      <c r="AK400" s="772">
        <f>'CapIQ - as disclosed'!M122/1000000</f>
        <v>0</v>
      </c>
      <c r="AL400" s="772">
        <f>'CapIQ - as disclosed'!N122/1000000</f>
        <v>0</v>
      </c>
      <c r="AM400" s="772">
        <f>'CapIQ - as disclosed'!O122/1000000</f>
        <v>0</v>
      </c>
      <c r="AN400" s="772">
        <f>'CapIQ - as disclosed'!P122/1000000</f>
        <v>0</v>
      </c>
      <c r="AO400" s="772">
        <f>'CapIQ - as disclosed'!Q122/1000000</f>
        <v>0</v>
      </c>
      <c r="AP400" s="772">
        <f>'CapIQ - as disclosed'!R122/1000000</f>
        <v>0</v>
      </c>
      <c r="AQ400" s="772">
        <f>'CapIQ - as disclosed'!S122/1000000</f>
        <v>0</v>
      </c>
      <c r="AR400" s="772">
        <v>8.1000000000000003E-2</v>
      </c>
      <c r="AS400" s="772">
        <v>0.10199999999999999</v>
      </c>
      <c r="AT400" s="772">
        <v>0.19500000000000001</v>
      </c>
      <c r="AU400" s="772">
        <v>0.21299999999999999</v>
      </c>
      <c r="AV400" s="772">
        <v>0.14199999999999999</v>
      </c>
      <c r="AW400" s="772">
        <f>+Canalyst!AI332</f>
        <v>0.11700000000000001</v>
      </c>
      <c r="AX400" s="772">
        <f>+Canalyst!AJ332</f>
        <v>0.33300000000000002</v>
      </c>
      <c r="AY400" s="772">
        <f>+Canalyst!AK332</f>
        <v>0.2</v>
      </c>
      <c r="AZ400" s="772">
        <f>+Canalyst!AL332</f>
        <v>2.8000000000000001E-2</v>
      </c>
      <c r="BA400" s="772">
        <f>+Canalyst!AM332</f>
        <v>0.252</v>
      </c>
      <c r="BB400" s="772">
        <v>1.171</v>
      </c>
      <c r="BC400" s="772">
        <v>5.7779999999999996</v>
      </c>
    </row>
    <row r="401" spans="1:55" x14ac:dyDescent="0.25">
      <c r="A401" s="760" t="s">
        <v>348</v>
      </c>
      <c r="C401" s="772">
        <f>'CapIQ - as disclosed'!Y109/1000</f>
        <v>-1.2509999999999999</v>
      </c>
      <c r="D401" s="772">
        <f>'CapIQ - as disclosed'!Z109/1000</f>
        <v>-0.96599999999999997</v>
      </c>
      <c r="E401" s="773">
        <f>'CapIQ - as disclosed'!AA109/1000</f>
        <v>-0.68600000000000005</v>
      </c>
      <c r="F401" s="772">
        <f t="shared" si="1469"/>
        <v>-0.50399999999999989</v>
      </c>
      <c r="G401" s="772">
        <v>-0.65700000000000003</v>
      </c>
      <c r="H401" s="774">
        <f t="shared" si="1470"/>
        <v>-0.28799999999999992</v>
      </c>
      <c r="I401" s="772">
        <v>-0.55300000000000005</v>
      </c>
      <c r="J401" s="774">
        <f>+Canalyst!F333</f>
        <v>-0.41199999999999992</v>
      </c>
      <c r="K401" s="772">
        <f>+Canalyst!G333</f>
        <v>-1.175</v>
      </c>
      <c r="L401" s="774">
        <f>+Canalyst!H333</f>
        <v>-0.9930000000000001</v>
      </c>
      <c r="M401" s="772">
        <f>+Canalyst!I333</f>
        <v>-1.484</v>
      </c>
      <c r="N401" s="774">
        <f>+Canalyst!J333</f>
        <v>-6.18</v>
      </c>
      <c r="O401" s="772">
        <f>+Canalyst!K333</f>
        <v>-2.06</v>
      </c>
      <c r="P401" s="774">
        <f>+Canalyst!L333</f>
        <v>-0.20500000000000007</v>
      </c>
      <c r="Q401" s="772">
        <f>+Canalyst!M333</f>
        <v>-1.242</v>
      </c>
      <c r="R401" s="774">
        <f>+Canalyst!N333</f>
        <v>-0.64800000000000013</v>
      </c>
      <c r="S401" s="772">
        <f>+Canalyst!O333</f>
        <v>-1.052</v>
      </c>
      <c r="T401" s="774">
        <f t="shared" si="1471"/>
        <v>-1.492</v>
      </c>
      <c r="U401" s="772">
        <v>-0.68200000000000005</v>
      </c>
      <c r="V401" s="774">
        <f t="shared" si="1441"/>
        <v>-0.43299999999999994</v>
      </c>
      <c r="W401" s="772">
        <v>-4.8959999999999999</v>
      </c>
      <c r="AE401" s="772">
        <f>'CapIQ - as disclosed'!G109/1000000</f>
        <v>0</v>
      </c>
      <c r="AF401" s="772">
        <f>'CapIQ - as disclosed'!H109/1000000</f>
        <v>0</v>
      </c>
      <c r="AG401" s="772">
        <f>'CapIQ - as disclosed'!I109/1000000</f>
        <v>0</v>
      </c>
      <c r="AH401" s="772">
        <f>'CapIQ - as disclosed'!J109/1000000</f>
        <v>-0.149474</v>
      </c>
      <c r="AI401" s="772">
        <f>'CapIQ - as disclosed'!K109/1000000</f>
        <v>-0.50612599999999996</v>
      </c>
      <c r="AJ401" s="772">
        <f>'CapIQ - as disclosed'!L109/1000000</f>
        <v>-0.25996999999999998</v>
      </c>
      <c r="AK401" s="772">
        <f>'CapIQ - as disclosed'!M109/1000000</f>
        <v>-0.104352</v>
      </c>
      <c r="AL401" s="772">
        <f>'CapIQ - as disclosed'!N109/1000000</f>
        <v>-0.14676900000000001</v>
      </c>
      <c r="AM401" s="772">
        <f>'CapIQ - as disclosed'!O109/1000000</f>
        <v>-0.229742</v>
      </c>
      <c r="AN401" s="772">
        <f>'CapIQ - as disclosed'!P109/1000000</f>
        <v>-0.16253699999999999</v>
      </c>
      <c r="AO401" s="772">
        <f>'CapIQ - as disclosed'!Q109/1000000</f>
        <v>-0.23166900000000001</v>
      </c>
      <c r="AP401" s="772">
        <f>'CapIQ - as disclosed'!R109/1000000</f>
        <v>-0.57602100000000001</v>
      </c>
      <c r="AQ401" s="772">
        <f>'CapIQ - as disclosed'!S109/1000000</f>
        <v>-4.500019</v>
      </c>
      <c r="AR401" s="772">
        <v>-2.722</v>
      </c>
      <c r="AS401" s="772">
        <v>-1.8220000000000001</v>
      </c>
      <c r="AT401" s="772">
        <v>-2.2170000000000001</v>
      </c>
      <c r="AU401" s="772">
        <v>-1.19</v>
      </c>
      <c r="AV401" s="772">
        <v>-0.94499999999999995</v>
      </c>
      <c r="AW401" s="772">
        <f>+Canalyst!AI333</f>
        <v>-0.96499999999999997</v>
      </c>
      <c r="AX401" s="772">
        <f>+Canalyst!AJ333</f>
        <v>-2.1680000000000001</v>
      </c>
      <c r="AY401" s="772">
        <f>+Canalyst!AK333</f>
        <v>-7.6639999999999997</v>
      </c>
      <c r="AZ401" s="772">
        <f>+Canalyst!AL333</f>
        <v>-2.2650000000000001</v>
      </c>
      <c r="BA401" s="772">
        <f>+Canalyst!AM333</f>
        <v>-1.8900000000000001</v>
      </c>
      <c r="BB401" s="772">
        <v>-2.544</v>
      </c>
      <c r="BC401" s="772">
        <v>-1.115</v>
      </c>
    </row>
    <row r="402" spans="1:55" x14ac:dyDescent="0.25">
      <c r="A402" s="760" t="s">
        <v>349</v>
      </c>
      <c r="C402" s="772">
        <f>'CapIQ - as disclosed'!Y113/1000</f>
        <v>-0.108</v>
      </c>
      <c r="D402" s="772">
        <f>'CapIQ - as disclosed'!Z113/1000</f>
        <v>-0.18</v>
      </c>
      <c r="E402" s="773">
        <f>'CapIQ - as disclosed'!AA113/1000</f>
        <v>-0.33500000000000002</v>
      </c>
      <c r="F402" s="772">
        <f t="shared" si="1469"/>
        <v>-0.20100000000000001</v>
      </c>
      <c r="G402" s="772">
        <v>-0.443</v>
      </c>
      <c r="H402" s="774">
        <f t="shared" si="1470"/>
        <v>-7.3000000000000009E-2</v>
      </c>
      <c r="I402" s="772">
        <v>-3.6999999999999998E-2</v>
      </c>
      <c r="J402" s="774">
        <f>+Canalyst!F334</f>
        <v>-8.199999999999999E-2</v>
      </c>
      <c r="K402" s="772">
        <f>+Canalyst!G334</f>
        <v>-0.14499999999999999</v>
      </c>
      <c r="L402" s="774">
        <f>+Canalyst!H334</f>
        <v>-1.6000000000000014E-2</v>
      </c>
      <c r="M402" s="772">
        <f>+Canalyst!I334</f>
        <v>-0.53</v>
      </c>
      <c r="N402" s="774">
        <f>+Canalyst!J334</f>
        <v>-0.7629999999999999</v>
      </c>
      <c r="O402" s="772">
        <f>+Canalyst!K334</f>
        <v>-1.569</v>
      </c>
      <c r="P402" s="774">
        <f>+Canalyst!L334</f>
        <v>-2.63</v>
      </c>
      <c r="Q402" s="772">
        <f>+Canalyst!M334</f>
        <v>-1.5720000000000001</v>
      </c>
      <c r="R402" s="774">
        <f>+Canalyst!N334</f>
        <v>-1.762</v>
      </c>
      <c r="S402" s="772">
        <f>+Canalyst!O334</f>
        <v>-0.36099999999999999</v>
      </c>
      <c r="T402" s="774">
        <f t="shared" si="1471"/>
        <v>-0.33999999999999997</v>
      </c>
      <c r="U402" s="772">
        <v>-2.1150000000000002</v>
      </c>
      <c r="V402" s="774">
        <f t="shared" si="1441"/>
        <v>-3.9020000000000001</v>
      </c>
      <c r="W402" s="772">
        <v>-2.9969999999999999</v>
      </c>
      <c r="AE402" s="772">
        <f>'CapIQ - as disclosed'!G113/1000000</f>
        <v>0</v>
      </c>
      <c r="AF402" s="772">
        <f>'CapIQ - as disclosed'!H113/1000000</f>
        <v>0</v>
      </c>
      <c r="AG402" s="772">
        <f>'CapIQ - as disclosed'!I113/1000000</f>
        <v>0</v>
      </c>
      <c r="AH402" s="772">
        <f>'CapIQ - as disclosed'!J113/1000000</f>
        <v>0</v>
      </c>
      <c r="AI402" s="772">
        <f>'CapIQ - as disclosed'!K113/1000000</f>
        <v>0</v>
      </c>
      <c r="AJ402" s="772">
        <f>'CapIQ - as disclosed'!L113/1000000</f>
        <v>0</v>
      </c>
      <c r="AK402" s="772">
        <f>'CapIQ - as disclosed'!M113/1000000</f>
        <v>0</v>
      </c>
      <c r="AL402" s="772">
        <f>'CapIQ - as disclosed'!N113/1000000</f>
        <v>0</v>
      </c>
      <c r="AM402" s="772">
        <f>'CapIQ - as disclosed'!O113/1000000</f>
        <v>0</v>
      </c>
      <c r="AN402" s="772">
        <f>'CapIQ - as disclosed'!P113/1000000</f>
        <v>0</v>
      </c>
      <c r="AO402" s="772">
        <f>'CapIQ - as disclosed'!Q113/1000000</f>
        <v>0</v>
      </c>
      <c r="AP402" s="772">
        <f>'CapIQ - as disclosed'!R113/1000000</f>
        <v>0</v>
      </c>
      <c r="AQ402" s="772">
        <f>'CapIQ - as disclosed'!S113/1000000</f>
        <v>0</v>
      </c>
      <c r="AR402" s="772">
        <v>-0.375</v>
      </c>
      <c r="AS402" s="772">
        <v>-0.33</v>
      </c>
      <c r="AT402" s="772">
        <v>-0.28799999999999998</v>
      </c>
      <c r="AU402" s="772">
        <v>-0.53600000000000003</v>
      </c>
      <c r="AV402" s="772">
        <v>-0.51600000000000001</v>
      </c>
      <c r="AW402" s="772">
        <f>+Canalyst!AI334</f>
        <v>-0.11899999999999999</v>
      </c>
      <c r="AX402" s="772">
        <f>+Canalyst!AJ334</f>
        <v>-0.161</v>
      </c>
      <c r="AY402" s="772">
        <f>+Canalyst!AK334</f>
        <v>-1.2929999999999999</v>
      </c>
      <c r="AZ402" s="772">
        <f>+Canalyst!AL334</f>
        <v>-4.1989999999999998</v>
      </c>
      <c r="BA402" s="772">
        <f>+Canalyst!AM334</f>
        <v>-3.3340000000000001</v>
      </c>
      <c r="BB402" s="772">
        <v>-0.70099999999999996</v>
      </c>
      <c r="BC402" s="772">
        <v>-6.0170000000000003</v>
      </c>
    </row>
    <row r="403" spans="1:55" x14ac:dyDescent="0.25">
      <c r="A403" s="760" t="str">
        <f>'CapIQ - as disclosed'!A114</f>
        <v>Sundry</v>
      </c>
      <c r="C403" s="772">
        <f>'CapIQ - as disclosed'!Y114/1000</f>
        <v>0</v>
      </c>
      <c r="D403" s="772">
        <f>'CapIQ - as disclosed'!Z114/1000</f>
        <v>0</v>
      </c>
      <c r="E403" s="773">
        <f>'CapIQ - as disclosed'!AA114/1000</f>
        <v>0</v>
      </c>
      <c r="F403" s="772">
        <f t="shared" si="1469"/>
        <v>0</v>
      </c>
      <c r="G403" s="772">
        <v>0</v>
      </c>
      <c r="H403" s="774">
        <f t="shared" si="1470"/>
        <v>0</v>
      </c>
      <c r="I403" s="772">
        <v>0</v>
      </c>
      <c r="J403" s="774">
        <v>0</v>
      </c>
      <c r="K403" s="772">
        <v>0</v>
      </c>
      <c r="L403" s="774">
        <v>0</v>
      </c>
      <c r="M403" s="772">
        <v>0</v>
      </c>
      <c r="N403" s="774">
        <v>0</v>
      </c>
      <c r="O403" s="772">
        <v>0</v>
      </c>
      <c r="P403" s="774">
        <v>0</v>
      </c>
      <c r="Q403" s="772">
        <v>0</v>
      </c>
      <c r="R403" s="774">
        <v>0</v>
      </c>
      <c r="S403" s="772">
        <v>0</v>
      </c>
      <c r="T403" s="774">
        <f t="shared" si="1471"/>
        <v>0</v>
      </c>
      <c r="U403" s="772">
        <v>0</v>
      </c>
      <c r="V403" s="774">
        <f t="shared" si="1441"/>
        <v>0</v>
      </c>
      <c r="W403" s="772">
        <v>0</v>
      </c>
      <c r="AE403" s="772">
        <f>'CapIQ - as disclosed'!G114/1000000</f>
        <v>0</v>
      </c>
      <c r="AF403" s="772">
        <f>'CapIQ - as disclosed'!H114/1000000</f>
        <v>0</v>
      </c>
      <c r="AG403" s="772">
        <f>'CapIQ - as disclosed'!I114/1000000</f>
        <v>0</v>
      </c>
      <c r="AH403" s="772">
        <f>'CapIQ - as disclosed'!J114/1000000</f>
        <v>0</v>
      </c>
      <c r="AI403" s="772">
        <f>'CapIQ - as disclosed'!K114/1000000</f>
        <v>0</v>
      </c>
      <c r="AJ403" s="772">
        <f>'CapIQ - as disclosed'!L114/1000000</f>
        <v>0</v>
      </c>
      <c r="AK403" s="772">
        <f>'CapIQ - as disclosed'!M114/1000000</f>
        <v>0</v>
      </c>
      <c r="AL403" s="772">
        <f>'CapIQ - as disclosed'!N114/1000000</f>
        <v>0</v>
      </c>
      <c r="AM403" s="772">
        <f>'CapIQ - as disclosed'!O114/1000000</f>
        <v>0</v>
      </c>
      <c r="AN403" s="772">
        <f>'CapIQ - as disclosed'!P114/1000000</f>
        <v>-1.513E-3</v>
      </c>
      <c r="AO403" s="772">
        <f>'CapIQ - as disclosed'!Q114/1000000</f>
        <v>0</v>
      </c>
      <c r="AP403" s="772">
        <f>'CapIQ - as disclosed'!R114/1000000</f>
        <v>0</v>
      </c>
      <c r="AQ403" s="772">
        <f>'CapIQ - as disclosed'!S114/1000000</f>
        <v>0</v>
      </c>
      <c r="AR403" s="772">
        <f>'CapIQ - as disclosed'!T114/1000000</f>
        <v>0</v>
      </c>
      <c r="AS403" s="772">
        <f>'CapIQ - as disclosed'!U114/1000000</f>
        <v>0</v>
      </c>
      <c r="AT403" s="772">
        <f>'CapIQ - as disclosed'!V114/1000000</f>
        <v>0</v>
      </c>
      <c r="AU403" s="772">
        <f>'CapIQ - as disclosed'!W114/1000000</f>
        <v>0</v>
      </c>
      <c r="AV403" s="772">
        <v>0</v>
      </c>
      <c r="AW403" s="772">
        <v>0</v>
      </c>
      <c r="AX403" s="772">
        <v>0</v>
      </c>
      <c r="AY403" s="772">
        <v>0</v>
      </c>
      <c r="AZ403" s="772">
        <v>0</v>
      </c>
      <c r="BA403" s="772">
        <v>0</v>
      </c>
      <c r="BB403" s="772">
        <v>0</v>
      </c>
      <c r="BC403" s="772">
        <v>0</v>
      </c>
    </row>
    <row r="404" spans="1:55" x14ac:dyDescent="0.25">
      <c r="A404" s="760" t="s">
        <v>350</v>
      </c>
      <c r="C404" s="772">
        <v>0</v>
      </c>
      <c r="D404" s="772">
        <v>0</v>
      </c>
      <c r="E404" s="773">
        <v>0</v>
      </c>
      <c r="F404" s="772">
        <f t="shared" si="1469"/>
        <v>0</v>
      </c>
      <c r="G404" s="772">
        <v>0</v>
      </c>
      <c r="H404" s="774">
        <f t="shared" si="1470"/>
        <v>0</v>
      </c>
      <c r="I404" s="772">
        <v>0</v>
      </c>
      <c r="J404" s="774">
        <v>0</v>
      </c>
      <c r="K404" s="772">
        <v>0</v>
      </c>
      <c r="L404" s="774">
        <v>0</v>
      </c>
      <c r="M404" s="772">
        <v>0</v>
      </c>
      <c r="N404" s="774">
        <v>0</v>
      </c>
      <c r="O404" s="772">
        <v>0</v>
      </c>
      <c r="P404" s="774">
        <v>0</v>
      </c>
      <c r="Q404" s="772">
        <v>0</v>
      </c>
      <c r="R404" s="774">
        <v>0</v>
      </c>
      <c r="S404" s="772">
        <v>0</v>
      </c>
      <c r="T404" s="774">
        <f t="shared" si="1471"/>
        <v>0</v>
      </c>
      <c r="U404" s="772">
        <v>0</v>
      </c>
      <c r="V404" s="774">
        <f t="shared" si="1441"/>
        <v>0</v>
      </c>
      <c r="W404" s="772">
        <v>0</v>
      </c>
      <c r="AE404" s="772">
        <f>SUM('CapIQ - as disclosed'!G116:G121)/1000000</f>
        <v>-6.8097000000000005E-2</v>
      </c>
      <c r="AF404" s="772">
        <f>SUM('CapIQ - as disclosed'!H116:H121)/1000000</f>
        <v>-0.12378599999999999</v>
      </c>
      <c r="AG404" s="772">
        <f>SUM('CapIQ - as disclosed'!I116:I121)/1000000</f>
        <v>-3.1577000000000001E-2</v>
      </c>
      <c r="AH404" s="772">
        <f>SUM('CapIQ - as disclosed'!J116:J121)/1000000</f>
        <v>2.6848E-2</v>
      </c>
      <c r="AI404" s="772">
        <f>SUM('CapIQ - as disclosed'!K116:K121)/1000000</f>
        <v>1.5863970000000001</v>
      </c>
      <c r="AJ404" s="772">
        <f>SUM('CapIQ - as disclosed'!L116:L121)/1000000</f>
        <v>6.6298999999999997E-2</v>
      </c>
      <c r="AK404" s="772">
        <f>SUM('CapIQ - as disclosed'!M116:M121)/1000000</f>
        <v>4.6339999999999999E-2</v>
      </c>
      <c r="AL404" s="772">
        <f>SUM('CapIQ - as disclosed'!N116:N121)/1000000</f>
        <v>0.14118900000000001</v>
      </c>
      <c r="AM404" s="772">
        <f>SUM('CapIQ - as disclosed'!O116:O121)/1000000</f>
        <v>0.299564</v>
      </c>
      <c r="AN404" s="772">
        <f>SUM('CapIQ - as disclosed'!P116:P121)/1000000</f>
        <v>0.21337100000000001</v>
      </c>
      <c r="AO404" s="772">
        <f>SUM('CapIQ - as disclosed'!Q116:Q121)/1000000</f>
        <v>-9.7540000000000005E-3</v>
      </c>
      <c r="AP404" s="772">
        <f>SUM('CapIQ - as disclosed'!R116:R121)/1000000</f>
        <v>5.8015999999999998E-2</v>
      </c>
      <c r="AQ404" s="772">
        <f>SUM('CapIQ - as disclosed'!S116:S121)/1000000</f>
        <v>0.13525999999999999</v>
      </c>
      <c r="AR404" s="772">
        <f>SUM('CapIQ - as disclosed'!T116:T121)/1000000</f>
        <v>0</v>
      </c>
      <c r="AS404" s="772">
        <f>SUM('CapIQ - as disclosed'!U116:U121)/1000000</f>
        <v>0</v>
      </c>
      <c r="AT404" s="772">
        <f>SUM('CapIQ - as disclosed'!V116:V121)/1000000</f>
        <v>0</v>
      </c>
      <c r="AU404" s="772">
        <f>SUM('CapIQ - as disclosed'!W116:W121)/1000000</f>
        <v>0</v>
      </c>
      <c r="AV404" s="772">
        <v>0</v>
      </c>
      <c r="AW404" s="772">
        <v>0</v>
      </c>
      <c r="AX404" s="772">
        <v>0</v>
      </c>
      <c r="AY404" s="772">
        <v>0</v>
      </c>
      <c r="AZ404" s="772">
        <v>0</v>
      </c>
      <c r="BA404" s="772">
        <v>0</v>
      </c>
      <c r="BB404" s="772">
        <v>0</v>
      </c>
      <c r="BC404" s="772">
        <v>0</v>
      </c>
    </row>
    <row r="405" spans="1:55" ht="13" x14ac:dyDescent="0.25">
      <c r="A405" s="760" t="s">
        <v>351</v>
      </c>
      <c r="C405" s="780">
        <f>'CapIQ - as disclosed'!Y111/1000</f>
        <v>0</v>
      </c>
      <c r="D405" s="780">
        <f>'CapIQ - as disclosed'!Z111/1000</f>
        <v>4.0000000000000001E-3</v>
      </c>
      <c r="E405" s="781">
        <f>'CapIQ - as disclosed'!AA111/1000</f>
        <v>6.0000000000000001E-3</v>
      </c>
      <c r="F405" s="780">
        <f t="shared" si="1469"/>
        <v>4.9999999999999992E-3</v>
      </c>
      <c r="G405" s="780">
        <v>7.0000000000000001E-3</v>
      </c>
      <c r="H405" s="782">
        <f t="shared" si="1470"/>
        <v>0</v>
      </c>
      <c r="I405" s="780">
        <v>0</v>
      </c>
      <c r="J405" s="782">
        <f>+Canalyst!F336</f>
        <v>0</v>
      </c>
      <c r="K405" s="780">
        <f>+Canalyst!G336</f>
        <v>0</v>
      </c>
      <c r="L405" s="782">
        <f>+Canalyst!H336</f>
        <v>0</v>
      </c>
      <c r="M405" s="780">
        <f>+Canalyst!I336</f>
        <v>0</v>
      </c>
      <c r="N405" s="782">
        <f>+Canalyst!J336</f>
        <v>0</v>
      </c>
      <c r="O405" s="780">
        <f>+Canalyst!K336</f>
        <v>0</v>
      </c>
      <c r="P405" s="782">
        <f>+Canalyst!L336</f>
        <v>0</v>
      </c>
      <c r="Q405" s="780">
        <f>+Canalyst!M336</f>
        <v>0</v>
      </c>
      <c r="R405" s="782">
        <f>+Canalyst!N336</f>
        <v>0</v>
      </c>
      <c r="S405" s="780">
        <f>+Canalyst!O336</f>
        <v>0</v>
      </c>
      <c r="T405" s="782">
        <f t="shared" si="1471"/>
        <v>0</v>
      </c>
      <c r="U405" s="780">
        <v>0</v>
      </c>
      <c r="V405" s="782">
        <f t="shared" si="1441"/>
        <v>0</v>
      </c>
      <c r="W405" s="780">
        <v>0</v>
      </c>
      <c r="AE405" s="780">
        <f>'CapIQ - as disclosed'!G111/1000000</f>
        <v>0</v>
      </c>
      <c r="AF405" s="780">
        <f>'CapIQ - as disclosed'!H111/1000000</f>
        <v>0</v>
      </c>
      <c r="AG405" s="780">
        <f>'CapIQ - as disclosed'!I111/1000000</f>
        <v>0</v>
      </c>
      <c r="AH405" s="780">
        <f>'CapIQ - as disclosed'!J111/1000000</f>
        <v>5.0000000000000001E-3</v>
      </c>
      <c r="AI405" s="780">
        <f>'CapIQ - as disclosed'!K111/1000000</f>
        <v>0</v>
      </c>
      <c r="AJ405" s="780">
        <f>'CapIQ - as disclosed'!L111/1000000</f>
        <v>0.1298</v>
      </c>
      <c r="AK405" s="780">
        <f>'CapIQ - as disclosed'!M111/1000000</f>
        <v>0.153313</v>
      </c>
      <c r="AL405" s="780">
        <f>'CapIQ - as disclosed'!N111/1000000</f>
        <v>0</v>
      </c>
      <c r="AM405" s="780">
        <f>'CapIQ - as disclosed'!O111/1000000</f>
        <v>0</v>
      </c>
      <c r="AN405" s="780">
        <f>'CapIQ - as disclosed'!P111/1000000</f>
        <v>1.38E-2</v>
      </c>
      <c r="AO405" s="780">
        <f>'CapIQ - as disclosed'!Q111/1000000</f>
        <v>8.0447000000000005E-2</v>
      </c>
      <c r="AP405" s="780">
        <f>'CapIQ - as disclosed'!R111/1000000</f>
        <v>7.4799999999999997E-3</v>
      </c>
      <c r="AQ405" s="780">
        <f>'CapIQ - as disclosed'!S111/1000000</f>
        <v>6.4999999999999997E-3</v>
      </c>
      <c r="AR405" s="780">
        <v>0</v>
      </c>
      <c r="AS405" s="780">
        <v>0</v>
      </c>
      <c r="AT405" s="780">
        <v>4.0000000000000001E-3</v>
      </c>
      <c r="AU405" s="780">
        <v>1.0999999999999999E-2</v>
      </c>
      <c r="AV405" s="780">
        <v>7.0000000000000001E-3</v>
      </c>
      <c r="AW405" s="780">
        <f>+Canalyst!AI336</f>
        <v>0</v>
      </c>
      <c r="AX405" s="780">
        <f>+Canalyst!AJ336</f>
        <v>0</v>
      </c>
      <c r="AY405" s="780">
        <f>+Canalyst!AK336</f>
        <v>0</v>
      </c>
      <c r="AZ405" s="780">
        <f>+Canalyst!AL336</f>
        <v>0</v>
      </c>
      <c r="BA405" s="780">
        <f>+Canalyst!AM336</f>
        <v>0</v>
      </c>
      <c r="BB405" s="780">
        <v>0</v>
      </c>
      <c r="BC405" s="780">
        <v>0</v>
      </c>
    </row>
    <row r="406" spans="1:55" s="763" customFormat="1" x14ac:dyDescent="0.25">
      <c r="A406" s="786" t="s">
        <v>224</v>
      </c>
      <c r="C406" s="787">
        <f t="shared" ref="C406:F406" si="1472">SUM(C400:C405)</f>
        <v>-1.278</v>
      </c>
      <c r="D406" s="787">
        <f t="shared" si="1472"/>
        <v>-1.028</v>
      </c>
      <c r="E406" s="788">
        <f t="shared" si="1472"/>
        <v>-0.90900000000000003</v>
      </c>
      <c r="F406" s="787">
        <f t="shared" si="1472"/>
        <v>-0.59299999999999986</v>
      </c>
      <c r="G406" s="787">
        <f>SUM(G400:G405)</f>
        <v>-1.0050000000000001</v>
      </c>
      <c r="H406" s="789">
        <f>SUM(H400:H405)</f>
        <v>-0.30699999999999994</v>
      </c>
      <c r="I406" s="787">
        <f>SUM(I400:I405)</f>
        <v>-0.55200000000000005</v>
      </c>
      <c r="J406" s="789">
        <f t="shared" ref="J406:R406" si="1473">SUM(J400:J405)</f>
        <v>-0.41499999999999992</v>
      </c>
      <c r="K406" s="787">
        <f t="shared" si="1473"/>
        <v>-1.21</v>
      </c>
      <c r="L406" s="789">
        <f t="shared" si="1473"/>
        <v>-0.78600000000000003</v>
      </c>
      <c r="M406" s="787">
        <f t="shared" si="1473"/>
        <v>-1.86</v>
      </c>
      <c r="N406" s="789">
        <f t="shared" si="1473"/>
        <v>-6.8969999999999994</v>
      </c>
      <c r="O406" s="787">
        <f t="shared" si="1473"/>
        <v>-3.605</v>
      </c>
      <c r="P406" s="789">
        <f t="shared" si="1473"/>
        <v>-2.831</v>
      </c>
      <c r="Q406" s="787">
        <f t="shared" si="1473"/>
        <v>-2.8079999999999998</v>
      </c>
      <c r="R406" s="789">
        <f t="shared" si="1473"/>
        <v>-2.1640000000000001</v>
      </c>
      <c r="S406" s="787">
        <f>SUM(S400:S405)</f>
        <v>-1.262</v>
      </c>
      <c r="T406" s="789">
        <f t="shared" si="1471"/>
        <v>-0.81199999999999983</v>
      </c>
      <c r="U406" s="787">
        <f>SUM(U400:U405)</f>
        <v>-1.1470000000000002</v>
      </c>
      <c r="V406" s="789">
        <f t="shared" si="1441"/>
        <v>-0.20700000000000074</v>
      </c>
      <c r="W406" s="787">
        <f>SUM(W400:W405)</f>
        <v>-4.2110000000000003</v>
      </c>
      <c r="AE406" s="787">
        <f t="shared" ref="AE406:AT406" si="1474">SUM(AE400:AE405)</f>
        <v>-6.8097000000000005E-2</v>
      </c>
      <c r="AF406" s="787">
        <f t="shared" si="1474"/>
        <v>-0.12378599999999999</v>
      </c>
      <c r="AG406" s="787">
        <f t="shared" si="1474"/>
        <v>-3.1577000000000001E-2</v>
      </c>
      <c r="AH406" s="787">
        <f t="shared" si="1474"/>
        <v>-0.11762599999999999</v>
      </c>
      <c r="AI406" s="787">
        <f t="shared" si="1474"/>
        <v>1.0802710000000002</v>
      </c>
      <c r="AJ406" s="787">
        <f t="shared" si="1474"/>
        <v>-6.3870999999999983E-2</v>
      </c>
      <c r="AK406" s="787">
        <f t="shared" si="1474"/>
        <v>9.5300999999999997E-2</v>
      </c>
      <c r="AL406" s="787">
        <f t="shared" si="1474"/>
        <v>-5.5800000000000016E-3</v>
      </c>
      <c r="AM406" s="787">
        <f t="shared" si="1474"/>
        <v>6.9821999999999995E-2</v>
      </c>
      <c r="AN406" s="787">
        <f t="shared" si="1474"/>
        <v>6.3121000000000038E-2</v>
      </c>
      <c r="AO406" s="787">
        <f t="shared" si="1474"/>
        <v>-0.16097600000000001</v>
      </c>
      <c r="AP406" s="787">
        <f t="shared" si="1474"/>
        <v>-0.51052500000000001</v>
      </c>
      <c r="AQ406" s="787">
        <f t="shared" si="1474"/>
        <v>-4.3582590000000003</v>
      </c>
      <c r="AR406" s="787">
        <f t="shared" si="1474"/>
        <v>-3.016</v>
      </c>
      <c r="AS406" s="787">
        <f t="shared" si="1474"/>
        <v>-2.0499999999999998</v>
      </c>
      <c r="AT406" s="787">
        <f t="shared" si="1474"/>
        <v>-2.306</v>
      </c>
      <c r="AU406" s="787">
        <f t="shared" ref="AU406:AZ406" si="1475">SUM(AU400:AU405)</f>
        <v>-1.502</v>
      </c>
      <c r="AV406" s="787">
        <f t="shared" si="1475"/>
        <v>-1.3120000000000001</v>
      </c>
      <c r="AW406" s="787">
        <f t="shared" si="1475"/>
        <v>-0.96699999999999997</v>
      </c>
      <c r="AX406" s="787">
        <f t="shared" si="1475"/>
        <v>-1.9960000000000002</v>
      </c>
      <c r="AY406" s="787">
        <f t="shared" si="1475"/>
        <v>-8.7569999999999997</v>
      </c>
      <c r="AZ406" s="787">
        <f t="shared" si="1475"/>
        <v>-6.4359999999999999</v>
      </c>
      <c r="BA406" s="787">
        <f>SUM(BA400:BA405)</f>
        <v>-4.9720000000000004</v>
      </c>
      <c r="BB406" s="787">
        <f>SUM(BB400:BB405)</f>
        <v>-2.0739999999999998</v>
      </c>
      <c r="BC406" s="787">
        <f>SUM(BC400:BC405)</f>
        <v>-1.354000000000001</v>
      </c>
    </row>
    <row r="407" spans="1:55" s="763" customFormat="1" x14ac:dyDescent="0.25">
      <c r="A407" s="786"/>
      <c r="C407" s="787"/>
      <c r="D407" s="787"/>
      <c r="E407" s="788"/>
      <c r="F407" s="787"/>
      <c r="G407" s="787"/>
      <c r="H407" s="789"/>
      <c r="I407" s="787"/>
      <c r="J407" s="789"/>
      <c r="K407" s="787"/>
      <c r="L407" s="789"/>
      <c r="M407" s="787"/>
      <c r="N407" s="789"/>
      <c r="O407" s="787"/>
      <c r="P407" s="789"/>
      <c r="Q407" s="787"/>
      <c r="R407" s="789"/>
      <c r="S407" s="787"/>
      <c r="T407" s="789"/>
      <c r="U407" s="787"/>
      <c r="V407" s="789"/>
      <c r="W407" s="787"/>
      <c r="AE407" s="787"/>
      <c r="AF407" s="787"/>
      <c r="AG407" s="787"/>
      <c r="AH407" s="787"/>
      <c r="AI407" s="787"/>
      <c r="AJ407" s="787"/>
      <c r="AK407" s="787"/>
      <c r="AL407" s="787"/>
      <c r="AM407" s="787"/>
      <c r="AN407" s="787"/>
      <c r="AO407" s="787"/>
      <c r="AP407" s="787"/>
      <c r="AQ407" s="787"/>
      <c r="AR407" s="787"/>
      <c r="AS407" s="787"/>
      <c r="AT407" s="787"/>
      <c r="AU407" s="787"/>
      <c r="AV407" s="787"/>
      <c r="AW407" s="787"/>
      <c r="AX407" s="787"/>
      <c r="AY407" s="787"/>
      <c r="AZ407" s="787"/>
      <c r="BA407" s="787"/>
      <c r="BB407" s="787"/>
      <c r="BC407" s="787"/>
    </row>
    <row r="408" spans="1:55" s="763" customFormat="1" x14ac:dyDescent="0.25">
      <c r="A408" s="763" t="s">
        <v>352</v>
      </c>
      <c r="C408" s="787"/>
      <c r="D408" s="787"/>
      <c r="E408" s="788"/>
      <c r="F408" s="787"/>
      <c r="G408" s="787"/>
      <c r="H408" s="789"/>
      <c r="I408" s="787"/>
      <c r="J408" s="789"/>
      <c r="K408" s="787"/>
      <c r="L408" s="789"/>
      <c r="M408" s="787"/>
      <c r="N408" s="789"/>
      <c r="O408" s="787"/>
      <c r="P408" s="789"/>
      <c r="Q408" s="787"/>
      <c r="R408" s="789"/>
      <c r="S408" s="787"/>
      <c r="T408" s="789"/>
      <c r="U408" s="787"/>
      <c r="V408" s="789"/>
      <c r="W408" s="787"/>
      <c r="AE408" s="787"/>
      <c r="AF408" s="787"/>
      <c r="AG408" s="787"/>
      <c r="AH408" s="787"/>
      <c r="AI408" s="787"/>
      <c r="AJ408" s="787"/>
      <c r="AK408" s="787"/>
      <c r="AL408" s="787"/>
      <c r="AM408" s="787"/>
      <c r="AN408" s="787"/>
      <c r="AO408" s="787"/>
      <c r="AP408" s="787"/>
      <c r="AQ408" s="787"/>
      <c r="AR408" s="787"/>
      <c r="AS408" s="787"/>
      <c r="AT408" s="787"/>
      <c r="AU408" s="787"/>
      <c r="AV408" s="787"/>
      <c r="AW408" s="787"/>
      <c r="AX408" s="787"/>
      <c r="AY408" s="787"/>
      <c r="AZ408" s="787"/>
      <c r="BA408" s="787"/>
      <c r="BB408" s="787"/>
      <c r="BC408" s="787"/>
    </row>
    <row r="409" spans="1:55" x14ac:dyDescent="0.25">
      <c r="A409" s="760" t="s">
        <v>353</v>
      </c>
      <c r="C409" s="772">
        <f>'CapIQ - as disclosed'!Y130/1000</f>
        <v>0.97699999999999998</v>
      </c>
      <c r="D409" s="772">
        <f>'CapIQ - as disclosed'!Z130/1000</f>
        <v>0</v>
      </c>
      <c r="E409" s="773">
        <f>'CapIQ - as disclosed'!AA130/1000</f>
        <v>0.51300000000000001</v>
      </c>
      <c r="F409" s="772">
        <f>AU409-E409</f>
        <v>0</v>
      </c>
      <c r="G409" s="772">
        <v>0.21</v>
      </c>
      <c r="H409" s="774">
        <f>AV409-G409</f>
        <v>0</v>
      </c>
      <c r="I409" s="772">
        <v>0.315</v>
      </c>
      <c r="J409" s="774">
        <f>+Canalyst!F340</f>
        <v>0</v>
      </c>
      <c r="K409" s="772">
        <f>+Canalyst!G340</f>
        <v>0</v>
      </c>
      <c r="L409" s="774">
        <f>+Canalyst!H340</f>
        <v>0</v>
      </c>
      <c r="M409" s="772">
        <f>+Canalyst!I340</f>
        <v>0</v>
      </c>
      <c r="N409" s="774">
        <f>+Canalyst!J340</f>
        <v>-1E-3</v>
      </c>
      <c r="O409" s="772">
        <f>+Canalyst!K340</f>
        <v>0</v>
      </c>
      <c r="P409" s="774">
        <f>+Canalyst!L340</f>
        <v>0</v>
      </c>
      <c r="Q409" s="772">
        <f>+Canalyst!M340</f>
        <v>0</v>
      </c>
      <c r="R409" s="774">
        <f>+Canalyst!N340</f>
        <v>0</v>
      </c>
      <c r="S409" s="772">
        <f>+Canalyst!O340</f>
        <v>0</v>
      </c>
      <c r="T409" s="774">
        <f t="shared" ref="T409:T418" si="1476">+BB409-S409</f>
        <v>0</v>
      </c>
      <c r="U409" s="772">
        <v>0</v>
      </c>
      <c r="V409" s="774">
        <f t="shared" si="1441"/>
        <v>0</v>
      </c>
      <c r="W409" s="772">
        <v>0</v>
      </c>
      <c r="AE409" s="772">
        <f>('CapIQ - as disclosed'!G131+'CapIQ - as disclosed'!G130)/1000000</f>
        <v>0</v>
      </c>
      <c r="AF409" s="772">
        <f>('CapIQ - as disclosed'!H131+'CapIQ - as disclosed'!H130)/1000000</f>
        <v>0</v>
      </c>
      <c r="AG409" s="772">
        <f>('CapIQ - as disclosed'!I131+'CapIQ - as disclosed'!I130)/1000000</f>
        <v>0</v>
      </c>
      <c r="AH409" s="772">
        <f>('CapIQ - as disclosed'!J131+'CapIQ - as disclosed'!J130)/1000000</f>
        <v>0</v>
      </c>
      <c r="AI409" s="772">
        <f>('CapIQ - as disclosed'!K131+'CapIQ - as disclosed'!K130)/1000000</f>
        <v>0</v>
      </c>
      <c r="AJ409" s="772">
        <f>('CapIQ - as disclosed'!L131+'CapIQ - as disclosed'!L130)/1000000</f>
        <v>0</v>
      </c>
      <c r="AK409" s="772">
        <f>('CapIQ - as disclosed'!M131+'CapIQ - as disclosed'!M130)/1000000</f>
        <v>0</v>
      </c>
      <c r="AL409" s="772">
        <f>('CapIQ - as disclosed'!N131+'CapIQ - as disclosed'!N130)/1000000</f>
        <v>0</v>
      </c>
      <c r="AM409" s="772">
        <f>('CapIQ - as disclosed'!O131+'CapIQ - as disclosed'!O130)/1000000</f>
        <v>0</v>
      </c>
      <c r="AN409" s="772">
        <f>('CapIQ - as disclosed'!P131+'CapIQ - as disclosed'!P130)/1000000</f>
        <v>0</v>
      </c>
      <c r="AO409" s="772">
        <f>('CapIQ - as disclosed'!Q131+'CapIQ - as disclosed'!Q130)/1000000</f>
        <v>0</v>
      </c>
      <c r="AP409" s="772">
        <f>('CapIQ - as disclosed'!R131+'CapIQ - as disclosed'!R130)/1000000</f>
        <v>0</v>
      </c>
      <c r="AQ409" s="772">
        <f>('CapIQ - as disclosed'!S131+'CapIQ - as disclosed'!S130)/1000000</f>
        <v>0.17371</v>
      </c>
      <c r="AR409" s="772">
        <v>0</v>
      </c>
      <c r="AS409" s="772">
        <v>0.17399999999999999</v>
      </c>
      <c r="AT409" s="772">
        <v>0.97699999999999998</v>
      </c>
      <c r="AU409" s="772">
        <v>0.51300000000000001</v>
      </c>
      <c r="AV409" s="772">
        <v>0.21</v>
      </c>
      <c r="AW409" s="772">
        <f>+Canalyst!AI340</f>
        <v>0.315</v>
      </c>
      <c r="AX409" s="772">
        <f>+Canalyst!AJ340</f>
        <v>0</v>
      </c>
      <c r="AY409" s="772">
        <f>+Canalyst!AK340</f>
        <v>-1E-3</v>
      </c>
      <c r="AZ409" s="772">
        <f>+Canalyst!AL340</f>
        <v>0</v>
      </c>
      <c r="BA409" s="772">
        <f>+Canalyst!AM340</f>
        <v>0</v>
      </c>
      <c r="BB409" s="772">
        <v>0</v>
      </c>
      <c r="BC409" s="772">
        <v>0</v>
      </c>
    </row>
    <row r="410" spans="1:55" x14ac:dyDescent="0.25">
      <c r="A410" s="760" t="str">
        <f>'CapIQ - as disclosed'!A128</f>
        <v>Capital element of finance lease rentals</v>
      </c>
      <c r="C410" s="772">
        <f>'CapIQ - as disclosed'!Y128/1000</f>
        <v>0</v>
      </c>
      <c r="D410" s="772">
        <f>'CapIQ - as disclosed'!Z128/1000</f>
        <v>0</v>
      </c>
      <c r="E410" s="773">
        <f>'CapIQ - as disclosed'!AA128/1000</f>
        <v>0</v>
      </c>
      <c r="F410" s="772">
        <f>AU410-E410</f>
        <v>0</v>
      </c>
      <c r="G410" s="772">
        <v>0</v>
      </c>
      <c r="H410" s="774">
        <f>AV410-G410</f>
        <v>0</v>
      </c>
      <c r="I410" s="772">
        <v>0</v>
      </c>
      <c r="J410" s="774">
        <v>0</v>
      </c>
      <c r="K410" s="772">
        <v>0</v>
      </c>
      <c r="L410" s="774">
        <v>0</v>
      </c>
      <c r="M410" s="772">
        <v>0</v>
      </c>
      <c r="N410" s="774">
        <v>0</v>
      </c>
      <c r="O410" s="772">
        <v>0</v>
      </c>
      <c r="P410" s="774">
        <v>0</v>
      </c>
      <c r="Q410" s="772">
        <v>0</v>
      </c>
      <c r="R410" s="774">
        <v>0</v>
      </c>
      <c r="S410" s="772">
        <v>0</v>
      </c>
      <c r="T410" s="774">
        <f t="shared" si="1476"/>
        <v>0</v>
      </c>
      <c r="U410" s="772">
        <v>0</v>
      </c>
      <c r="V410" s="774">
        <f t="shared" si="1441"/>
        <v>0</v>
      </c>
      <c r="W410" s="772">
        <v>0</v>
      </c>
      <c r="AE410" s="772">
        <f>'CapIQ - as disclosed'!G128/1000000</f>
        <v>-2.1787999999999998E-2</v>
      </c>
      <c r="AF410" s="772">
        <f>'CapIQ - as disclosed'!H128/1000000</f>
        <v>-2.1878000000000002E-2</v>
      </c>
      <c r="AG410" s="772">
        <f>'CapIQ - as disclosed'!I128/1000000</f>
        <v>-1.8106000000000001E-2</v>
      </c>
      <c r="AH410" s="772">
        <f>'CapIQ - as disclosed'!J128/1000000</f>
        <v>-9.4280000000000006E-3</v>
      </c>
      <c r="AI410" s="772">
        <f>'CapIQ - as disclosed'!K128/1000000</f>
        <v>-3.1419999999999998E-3</v>
      </c>
      <c r="AJ410" s="772">
        <f>'CapIQ - as disclosed'!L128/1000000</f>
        <v>0</v>
      </c>
      <c r="AK410" s="772">
        <f>'CapIQ - as disclosed'!M128/1000000</f>
        <v>0</v>
      </c>
      <c r="AL410" s="772">
        <f>'CapIQ - as disclosed'!N128/1000000</f>
        <v>0</v>
      </c>
      <c r="AM410" s="772">
        <f>'CapIQ - as disclosed'!O128/1000000</f>
        <v>0</v>
      </c>
      <c r="AN410" s="772">
        <f>'CapIQ - as disclosed'!P128/1000000</f>
        <v>0</v>
      </c>
      <c r="AO410" s="772">
        <f>'CapIQ - as disclosed'!Q128/1000000</f>
        <v>0</v>
      </c>
      <c r="AP410" s="772">
        <f>'CapIQ - as disclosed'!R128/1000000</f>
        <v>0</v>
      </c>
      <c r="AQ410" s="772">
        <f>'CapIQ - as disclosed'!S128/1000000</f>
        <v>0</v>
      </c>
      <c r="AR410" s="772">
        <f>'CapIQ - as disclosed'!T128/1000000</f>
        <v>0</v>
      </c>
      <c r="AS410" s="772">
        <f>'CapIQ - as disclosed'!U128/1000000</f>
        <v>0</v>
      </c>
      <c r="AT410" s="772">
        <f>'CapIQ - as disclosed'!V128/1000000</f>
        <v>0</v>
      </c>
      <c r="AU410" s="772">
        <f>'CapIQ - as disclosed'!W128/1000000</f>
        <v>0</v>
      </c>
      <c r="AV410" s="772">
        <v>0</v>
      </c>
      <c r="AW410" s="772">
        <v>0</v>
      </c>
      <c r="AX410" s="772">
        <v>0</v>
      </c>
      <c r="AY410" s="772">
        <v>0</v>
      </c>
      <c r="AZ410" s="772">
        <v>0</v>
      </c>
      <c r="BA410" s="772">
        <v>0</v>
      </c>
      <c r="BB410" s="772">
        <v>0</v>
      </c>
      <c r="BC410" s="772">
        <v>0</v>
      </c>
    </row>
    <row r="411" spans="1:55" x14ac:dyDescent="0.25">
      <c r="A411" s="760" t="s">
        <v>354</v>
      </c>
      <c r="C411" s="772">
        <f>'CapIQ - as disclosed'!Y131/1000</f>
        <v>0.312</v>
      </c>
      <c r="D411" s="772">
        <f>'CapIQ - as disclosed'!Z131/1000</f>
        <v>0.36399999999999999</v>
      </c>
      <c r="E411" s="773">
        <f>'CapIQ - as disclosed'!AA131/1000</f>
        <v>1.772</v>
      </c>
      <c r="F411" s="772">
        <f>AU411-E411</f>
        <v>9.9999999999988987E-4</v>
      </c>
      <c r="G411" s="772">
        <v>0</v>
      </c>
      <c r="H411" s="774">
        <f>AV411-G411</f>
        <v>0</v>
      </c>
      <c r="I411" s="772">
        <v>0</v>
      </c>
      <c r="J411" s="774">
        <f>+Canalyst!F343</f>
        <v>0</v>
      </c>
      <c r="K411" s="772">
        <f>+Canalyst!G343</f>
        <v>0</v>
      </c>
      <c r="L411" s="774">
        <f>+Canalyst!H343</f>
        <v>0</v>
      </c>
      <c r="M411" s="772">
        <f>+Canalyst!I343</f>
        <v>0</v>
      </c>
      <c r="N411" s="774">
        <f>+Canalyst!J343</f>
        <v>0</v>
      </c>
      <c r="O411" s="772">
        <f>+Canalyst!K343</f>
        <v>0</v>
      </c>
      <c r="P411" s="774">
        <f>+Canalyst!L343</f>
        <v>0</v>
      </c>
      <c r="Q411" s="772">
        <f>+Canalyst!M343</f>
        <v>0</v>
      </c>
      <c r="R411" s="774">
        <f>+Canalyst!N343</f>
        <v>0</v>
      </c>
      <c r="S411" s="772">
        <f>+Canalyst!O343</f>
        <v>0</v>
      </c>
      <c r="T411" s="774">
        <f t="shared" si="1476"/>
        <v>0</v>
      </c>
      <c r="U411" s="772">
        <v>0</v>
      </c>
      <c r="V411" s="774">
        <f t="shared" si="1441"/>
        <v>0</v>
      </c>
      <c r="W411" s="772">
        <v>0</v>
      </c>
      <c r="AE411" s="772">
        <f>'CapIQ - as disclosed'!G132/1000000</f>
        <v>0</v>
      </c>
      <c r="AF411" s="772">
        <f>'CapIQ - as disclosed'!H132/1000000</f>
        <v>0</v>
      </c>
      <c r="AG411" s="772">
        <f>'CapIQ - as disclosed'!I132/1000000</f>
        <v>0</v>
      </c>
      <c r="AH411" s="772">
        <f>'CapIQ - as disclosed'!J132/1000000</f>
        <v>0</v>
      </c>
      <c r="AI411" s="772">
        <f>'CapIQ - as disclosed'!K132/1000000</f>
        <v>0</v>
      </c>
      <c r="AJ411" s="772">
        <f>'CapIQ - as disclosed'!L132/1000000</f>
        <v>0</v>
      </c>
      <c r="AK411" s="772">
        <f>'CapIQ - as disclosed'!M132/1000000</f>
        <v>0</v>
      </c>
      <c r="AL411" s="772">
        <f>'CapIQ - as disclosed'!N132/1000000</f>
        <v>0</v>
      </c>
      <c r="AM411" s="772">
        <f>'CapIQ - as disclosed'!O132/1000000</f>
        <v>0</v>
      </c>
      <c r="AN411" s="772">
        <f>'CapIQ - as disclosed'!P132/1000000</f>
        <v>0</v>
      </c>
      <c r="AO411" s="772">
        <f>'CapIQ - as disclosed'!Q132/1000000</f>
        <v>0.17055300000000001</v>
      </c>
      <c r="AP411" s="772">
        <f>'CapIQ - as disclosed'!R132/1000000</f>
        <v>0</v>
      </c>
      <c r="AQ411" s="772">
        <f>'CapIQ - as disclosed'!S132/1000000</f>
        <v>0</v>
      </c>
      <c r="AR411" s="772">
        <v>0</v>
      </c>
      <c r="AS411" s="772">
        <v>0</v>
      </c>
      <c r="AT411" s="772">
        <v>0.67600000000000005</v>
      </c>
      <c r="AU411" s="772">
        <v>1.7729999999999999</v>
      </c>
      <c r="AV411" s="772">
        <v>0</v>
      </c>
      <c r="AW411" s="772">
        <f>+Canalyst!AI343</f>
        <v>0</v>
      </c>
      <c r="AX411" s="772">
        <f>+Canalyst!AJ343</f>
        <v>0</v>
      </c>
      <c r="AY411" s="772">
        <f>+Canalyst!AK343</f>
        <v>0</v>
      </c>
      <c r="AZ411" s="772">
        <f>+Canalyst!AL343</f>
        <v>0</v>
      </c>
      <c r="BA411" s="772">
        <f>+Canalyst!AM343</f>
        <v>0</v>
      </c>
      <c r="BB411" s="772">
        <v>0</v>
      </c>
      <c r="BC411" s="772">
        <v>0</v>
      </c>
    </row>
    <row r="412" spans="1:55" x14ac:dyDescent="0.25">
      <c r="A412" s="760" t="s">
        <v>355</v>
      </c>
      <c r="C412" s="772">
        <f>'CapIQ - as disclosed'!Y127/1000</f>
        <v>-7.3289999999999997</v>
      </c>
      <c r="D412" s="772">
        <f>'CapIQ - as disclosed'!Z127/1000</f>
        <v>1.7999999999999999E-2</v>
      </c>
      <c r="E412" s="773">
        <f>'CapIQ - as disclosed'!AA127/1000</f>
        <v>-40.097999999999999</v>
      </c>
      <c r="F412" s="772">
        <f>AU412-E412</f>
        <v>-3.355000000000004</v>
      </c>
      <c r="G412" s="772">
        <v>-35.173999999999999</v>
      </c>
      <c r="H412" s="774">
        <f>AV412-G412</f>
        <v>-5.730000000000004</v>
      </c>
      <c r="I412" s="772">
        <v>-38.79</v>
      </c>
      <c r="J412" s="774">
        <f>+Canalyst!F345</f>
        <v>-6.5309999999999988</v>
      </c>
      <c r="K412" s="772">
        <f>+Canalyst!G345</f>
        <v>-47.31</v>
      </c>
      <c r="L412" s="774">
        <f>+Canalyst!H345</f>
        <v>-8.9209999999999994</v>
      </c>
      <c r="M412" s="772">
        <f>+Canalyst!I345</f>
        <v>-52.338000000000001</v>
      </c>
      <c r="N412" s="774">
        <f>+Canalyst!J345</f>
        <v>0</v>
      </c>
      <c r="O412" s="772">
        <f>+Canalyst!K345</f>
        <v>-48.081000000000003</v>
      </c>
      <c r="P412" s="774">
        <f>+Canalyst!L345</f>
        <v>-12.733999999999995</v>
      </c>
      <c r="Q412" s="772">
        <f>+Canalyst!M345</f>
        <v>-69.468999999999994</v>
      </c>
      <c r="R412" s="774">
        <f>+Canalyst!N345</f>
        <v>-14.551000000000002</v>
      </c>
      <c r="S412" s="772">
        <f>+Canalyst!O345</f>
        <v>-58.22</v>
      </c>
      <c r="T412" s="774">
        <f t="shared" si="1476"/>
        <v>-15.954999999999998</v>
      </c>
      <c r="U412" s="772">
        <v>-59.069000000000003</v>
      </c>
      <c r="V412" s="774">
        <f t="shared" si="1441"/>
        <v>-16.978999999999999</v>
      </c>
      <c r="W412" s="772">
        <v>-77.906999999999996</v>
      </c>
      <c r="AE412" s="772">
        <f>'CapIQ - as disclosed'!G115/1000000</f>
        <v>0</v>
      </c>
      <c r="AF412" s="772">
        <f>'CapIQ - as disclosed'!H115/1000000</f>
        <v>0</v>
      </c>
      <c r="AG412" s="772">
        <f>'CapIQ - as disclosed'!I115/1000000</f>
        <v>-0.220918</v>
      </c>
      <c r="AH412" s="772">
        <f>'CapIQ - as disclosed'!J115/1000000</f>
        <v>0</v>
      </c>
      <c r="AI412" s="772">
        <f>'CapIQ - as disclosed'!K115/1000000</f>
        <v>0</v>
      </c>
      <c r="AJ412" s="772">
        <f>'CapIQ - as disclosed'!L115/1000000</f>
        <v>0</v>
      </c>
      <c r="AK412" s="772">
        <f>'CapIQ - as disclosed'!M115/1000000</f>
        <v>0</v>
      </c>
      <c r="AL412" s="772">
        <f>'CapIQ - as disclosed'!N115/1000000</f>
        <v>0</v>
      </c>
      <c r="AM412" s="772">
        <f>'CapIQ - as disclosed'!O115/1000000</f>
        <v>0</v>
      </c>
      <c r="AN412" s="772">
        <f>'CapIQ - as disclosed'!P115/1000000</f>
        <v>-0.12</v>
      </c>
      <c r="AO412" s="772">
        <f>'CapIQ - as disclosed'!Q115/1000000</f>
        <v>-9.0007020000000004</v>
      </c>
      <c r="AP412" s="772">
        <f>'CapIQ - as disclosed'!R115/1000000</f>
        <v>0</v>
      </c>
      <c r="AQ412" s="772">
        <f>'CapIQ - as disclosed'!S115/1000000</f>
        <v>-2.0658249999999998</v>
      </c>
      <c r="AR412" s="772">
        <v>-17.266999999999999</v>
      </c>
      <c r="AS412" s="772">
        <v>-4.766</v>
      </c>
      <c r="AT412" s="772">
        <v>-7.3109999999999999</v>
      </c>
      <c r="AU412" s="772">
        <v>-43.453000000000003</v>
      </c>
      <c r="AV412" s="772">
        <v>-40.904000000000003</v>
      </c>
      <c r="AW412" s="772">
        <f>+Canalyst!AI345</f>
        <v>-45.320999999999998</v>
      </c>
      <c r="AX412" s="772">
        <f>+Canalyst!AJ345</f>
        <v>-56.231000000000002</v>
      </c>
      <c r="AY412" s="772">
        <f>+Canalyst!AK345</f>
        <v>-52.338000000000001</v>
      </c>
      <c r="AZ412" s="772">
        <f>+Canalyst!AL345</f>
        <v>-60.814999999999998</v>
      </c>
      <c r="BA412" s="772">
        <f>+Canalyst!AM345</f>
        <v>-84.02</v>
      </c>
      <c r="BB412" s="772">
        <v>-74.174999999999997</v>
      </c>
      <c r="BC412" s="772">
        <v>-76.048000000000002</v>
      </c>
    </row>
    <row r="413" spans="1:55" x14ac:dyDescent="0.25">
      <c r="A413" s="760" t="str">
        <f>+Canalyst!A346</f>
        <v>Payment of principal portion of lease liabilities</v>
      </c>
      <c r="C413" s="772">
        <v>0</v>
      </c>
      <c r="D413" s="772">
        <v>0</v>
      </c>
      <c r="E413" s="773">
        <v>0</v>
      </c>
      <c r="F413" s="772">
        <v>0</v>
      </c>
      <c r="G413" s="772">
        <v>0</v>
      </c>
      <c r="H413" s="774">
        <v>0</v>
      </c>
      <c r="I413" s="772">
        <v>0</v>
      </c>
      <c r="J413" s="774">
        <f>+Canalyst!F346</f>
        <v>0</v>
      </c>
      <c r="K413" s="772">
        <f>+Canalyst!G346</f>
        <v>0</v>
      </c>
      <c r="L413" s="774">
        <f>+Canalyst!H346</f>
        <v>0</v>
      </c>
      <c r="M413" s="772">
        <f>+Canalyst!I346</f>
        <v>-0.48499999999999999</v>
      </c>
      <c r="N413" s="774">
        <f>+Canalyst!J346</f>
        <v>-1.3969999999999998</v>
      </c>
      <c r="O413" s="772">
        <f>+Canalyst!K346</f>
        <v>-1.1459999999999999</v>
      </c>
      <c r="P413" s="774">
        <f>+Canalyst!L346</f>
        <v>-0.97900000000000009</v>
      </c>
      <c r="Q413" s="772">
        <f>+Canalyst!M346</f>
        <v>-1.206</v>
      </c>
      <c r="R413" s="774">
        <f>+Canalyst!N346</f>
        <v>-1.1630000000000003</v>
      </c>
      <c r="S413" s="772">
        <f>+Canalyst!O346</f>
        <v>-0.98299999999999998</v>
      </c>
      <c r="T413" s="774">
        <f t="shared" si="1476"/>
        <v>-1.8559999999999999</v>
      </c>
      <c r="U413" s="772">
        <v>-0.98499999999999999</v>
      </c>
      <c r="V413" s="774">
        <f t="shared" si="1441"/>
        <v>-0.94400000000000006</v>
      </c>
      <c r="W413" s="772">
        <v>-0.11</v>
      </c>
      <c r="AE413" s="772">
        <v>0</v>
      </c>
      <c r="AF413" s="772">
        <v>0</v>
      </c>
      <c r="AG413" s="772">
        <v>0</v>
      </c>
      <c r="AH413" s="772">
        <v>0</v>
      </c>
      <c r="AI413" s="772">
        <v>0</v>
      </c>
      <c r="AJ413" s="772">
        <v>0</v>
      </c>
      <c r="AK413" s="772">
        <v>0</v>
      </c>
      <c r="AL413" s="772">
        <v>0</v>
      </c>
      <c r="AM413" s="772">
        <v>0</v>
      </c>
      <c r="AN413" s="772">
        <v>0</v>
      </c>
      <c r="AO413" s="772">
        <v>0</v>
      </c>
      <c r="AP413" s="772">
        <v>0</v>
      </c>
      <c r="AQ413" s="772">
        <v>0</v>
      </c>
      <c r="AR413" s="772">
        <v>0</v>
      </c>
      <c r="AS413" s="772">
        <v>0</v>
      </c>
      <c r="AT413" s="772">
        <v>0</v>
      </c>
      <c r="AU413" s="772">
        <v>0</v>
      </c>
      <c r="AV413" s="772">
        <v>0</v>
      </c>
      <c r="AW413" s="772">
        <f>+Canalyst!AI346</f>
        <v>0</v>
      </c>
      <c r="AX413" s="772">
        <f>+Canalyst!AJ346</f>
        <v>0</v>
      </c>
      <c r="AY413" s="772">
        <f>+Canalyst!AK346</f>
        <v>-1.8819999999999999</v>
      </c>
      <c r="AZ413" s="772">
        <f>+Canalyst!AL346</f>
        <v>-2.125</v>
      </c>
      <c r="BA413" s="772">
        <f>+Canalyst!AM346</f>
        <v>-2.3690000000000002</v>
      </c>
      <c r="BB413" s="772">
        <v>-2.839</v>
      </c>
      <c r="BC413" s="772">
        <v>-1.929</v>
      </c>
    </row>
    <row r="414" spans="1:55" x14ac:dyDescent="0.25">
      <c r="A414" s="760" t="str">
        <f>+Canalyst!A347</f>
        <v>Payment of interest portion of lease liabilities</v>
      </c>
      <c r="C414" s="772">
        <v>0</v>
      </c>
      <c r="D414" s="772">
        <v>0</v>
      </c>
      <c r="E414" s="773">
        <v>0</v>
      </c>
      <c r="F414" s="772">
        <v>0</v>
      </c>
      <c r="G414" s="772">
        <v>0</v>
      </c>
      <c r="H414" s="774">
        <v>0</v>
      </c>
      <c r="I414" s="772">
        <v>0</v>
      </c>
      <c r="J414" s="774">
        <f>+Canalyst!F347</f>
        <v>0</v>
      </c>
      <c r="K414" s="772">
        <f>+Canalyst!G347</f>
        <v>0</v>
      </c>
      <c r="L414" s="774">
        <f>+Canalyst!H347</f>
        <v>0</v>
      </c>
      <c r="M414" s="772">
        <f>+Canalyst!I347</f>
        <v>-0.109</v>
      </c>
      <c r="N414" s="774">
        <f>+Canalyst!J347</f>
        <v>-0.20700000000000002</v>
      </c>
      <c r="O414" s="772">
        <f>+Canalyst!K347</f>
        <v>-0.13800000000000001</v>
      </c>
      <c r="P414" s="774">
        <f>+Canalyst!L347</f>
        <v>-0.15299999999999997</v>
      </c>
      <c r="Q414" s="772">
        <f>+Canalyst!M347</f>
        <v>-0.126</v>
      </c>
      <c r="R414" s="774">
        <f>+Canalyst!N347</f>
        <v>-0.127</v>
      </c>
      <c r="S414" s="772">
        <f>+Canalyst!O347</f>
        <v>-9.9000000000000005E-2</v>
      </c>
      <c r="T414" s="774">
        <f t="shared" si="1476"/>
        <v>-0.10599999999999998</v>
      </c>
      <c r="U414" s="772">
        <v>-0.16500000000000001</v>
      </c>
      <c r="V414" s="774">
        <f t="shared" si="1441"/>
        <v>-0.27800000000000002</v>
      </c>
      <c r="W414" s="772">
        <v>-0.629</v>
      </c>
      <c r="AE414" s="772">
        <v>0</v>
      </c>
      <c r="AF414" s="772">
        <v>0</v>
      </c>
      <c r="AG414" s="772">
        <v>0</v>
      </c>
      <c r="AH414" s="772">
        <v>0</v>
      </c>
      <c r="AI414" s="772">
        <v>0</v>
      </c>
      <c r="AJ414" s="772">
        <v>0</v>
      </c>
      <c r="AK414" s="772">
        <v>0</v>
      </c>
      <c r="AL414" s="772">
        <v>0</v>
      </c>
      <c r="AM414" s="772">
        <v>0</v>
      </c>
      <c r="AN414" s="772">
        <v>0</v>
      </c>
      <c r="AO414" s="772">
        <v>0</v>
      </c>
      <c r="AP414" s="772">
        <v>0</v>
      </c>
      <c r="AQ414" s="772">
        <v>0</v>
      </c>
      <c r="AR414" s="772">
        <v>0</v>
      </c>
      <c r="AS414" s="772">
        <v>0</v>
      </c>
      <c r="AT414" s="772">
        <v>0</v>
      </c>
      <c r="AU414" s="772">
        <v>0</v>
      </c>
      <c r="AV414" s="772">
        <v>0</v>
      </c>
      <c r="AW414" s="772">
        <f>+Canalyst!AI347</f>
        <v>0</v>
      </c>
      <c r="AX414" s="772">
        <f>+Canalyst!AJ347</f>
        <v>0</v>
      </c>
      <c r="AY414" s="772">
        <f>+Canalyst!AK347</f>
        <v>-0.316</v>
      </c>
      <c r="AZ414" s="772">
        <f>+Canalyst!AL347</f>
        <v>-0.29099999999999998</v>
      </c>
      <c r="BA414" s="772">
        <f>+Canalyst!AM347</f>
        <v>-0.253</v>
      </c>
      <c r="BB414" s="772">
        <v>-0.20499999999999999</v>
      </c>
      <c r="BC414" s="772">
        <v>-0.443</v>
      </c>
    </row>
    <row r="415" spans="1:55" ht="13" x14ac:dyDescent="0.25">
      <c r="A415" s="760" t="s">
        <v>356</v>
      </c>
      <c r="C415" s="780">
        <f>('CapIQ - as disclosed'!Y133+'CapIQ - as disclosed'!Y135)/1000</f>
        <v>-2.5499999999999998</v>
      </c>
      <c r="D415" s="780">
        <f>('CapIQ - as disclosed'!Z133+'CapIQ - as disclosed'!Z135)/1000</f>
        <v>2.5000000000000001E-2</v>
      </c>
      <c r="E415" s="781">
        <f>('CapIQ - as disclosed'!AA133+'CapIQ - as disclosed'!AA135)/1000</f>
        <v>0.46400000000000002</v>
      </c>
      <c r="F415" s="780">
        <f>AU415-E415</f>
        <v>-1.0000000000000009E-3</v>
      </c>
      <c r="G415" s="780">
        <v>0.108</v>
      </c>
      <c r="H415" s="782">
        <f>AV415-G415</f>
        <v>0.20900000000000002</v>
      </c>
      <c r="I415" s="780">
        <v>0.108</v>
      </c>
      <c r="J415" s="782">
        <f>+Canalyst!F348</f>
        <v>0</v>
      </c>
      <c r="K415" s="780">
        <f>+Canalyst!G348</f>
        <v>0</v>
      </c>
      <c r="L415" s="782">
        <f>+Canalyst!H348</f>
        <v>0</v>
      </c>
      <c r="M415" s="780">
        <f>+Canalyst!I348</f>
        <v>0</v>
      </c>
      <c r="N415" s="782">
        <f>+Canalyst!J348</f>
        <v>0</v>
      </c>
      <c r="O415" s="780">
        <f>+Canalyst!K348</f>
        <v>0</v>
      </c>
      <c r="P415" s="782">
        <f>+Canalyst!L348</f>
        <v>0</v>
      </c>
      <c r="Q415" s="780">
        <f>+Canalyst!M348</f>
        <v>0</v>
      </c>
      <c r="R415" s="782">
        <f>+Canalyst!N348</f>
        <v>0</v>
      </c>
      <c r="S415" s="780">
        <f>+Canalyst!O348</f>
        <v>0</v>
      </c>
      <c r="T415" s="782">
        <f t="shared" si="1476"/>
        <v>0</v>
      </c>
      <c r="U415" s="780">
        <v>0</v>
      </c>
      <c r="V415" s="782">
        <f t="shared" si="1441"/>
        <v>0</v>
      </c>
      <c r="W415" s="780">
        <v>0</v>
      </c>
      <c r="X415" s="780"/>
      <c r="Y415" s="780"/>
      <c r="Z415" s="780"/>
      <c r="AA415" s="780"/>
      <c r="AB415" s="780"/>
      <c r="AC415" s="780"/>
      <c r="AD415" s="780"/>
      <c r="AE415" s="780">
        <f>'CapIQ - as disclosed'!G134/1000000</f>
        <v>0</v>
      </c>
      <c r="AF415" s="780">
        <f>'CapIQ - as disclosed'!H134/1000000</f>
        <v>0</v>
      </c>
      <c r="AG415" s="780">
        <f>'CapIQ - as disclosed'!I134/1000000</f>
        <v>0</v>
      </c>
      <c r="AH415" s="780">
        <f>'CapIQ - as disclosed'!J134/1000000</f>
        <v>0</v>
      </c>
      <c r="AI415" s="780">
        <f>'CapIQ - as disclosed'!K134/1000000</f>
        <v>0</v>
      </c>
      <c r="AJ415" s="780">
        <f>'CapIQ - as disclosed'!L134/1000000</f>
        <v>0</v>
      </c>
      <c r="AK415" s="780">
        <f>'CapIQ - as disclosed'!M134/1000000</f>
        <v>0</v>
      </c>
      <c r="AL415" s="780">
        <f>'CapIQ - as disclosed'!N134/1000000</f>
        <v>0</v>
      </c>
      <c r="AM415" s="780">
        <f>'CapIQ - as disclosed'!O134/1000000</f>
        <v>0</v>
      </c>
      <c r="AN415" s="780">
        <f>'CapIQ - as disclosed'!P134/1000000</f>
        <v>0</v>
      </c>
      <c r="AO415" s="780">
        <f>'CapIQ - as disclosed'!Q134/1000000</f>
        <v>0</v>
      </c>
      <c r="AP415" s="780">
        <f>'CapIQ - as disclosed'!R134/1000000</f>
        <v>0.17638599999999999</v>
      </c>
      <c r="AQ415" s="780">
        <f>'CapIQ - as disclosed'!S134/1000000</f>
        <v>0.20542299999999999</v>
      </c>
      <c r="AR415" s="780">
        <v>1.198</v>
      </c>
      <c r="AS415" s="780">
        <v>1.2999999999999999E-2</v>
      </c>
      <c r="AT415" s="780">
        <v>-2.5249999999999999</v>
      </c>
      <c r="AU415" s="780">
        <v>0.46300000000000002</v>
      </c>
      <c r="AV415" s="780">
        <v>0.317</v>
      </c>
      <c r="AW415" s="780">
        <f>+Canalyst!AI348</f>
        <v>0.11</v>
      </c>
      <c r="AX415" s="780">
        <f>+Canalyst!AJ348</f>
        <v>0</v>
      </c>
      <c r="AY415" s="780">
        <f>+Canalyst!AK348</f>
        <v>0</v>
      </c>
      <c r="AZ415" s="780">
        <f>+Canalyst!AL348</f>
        <v>0</v>
      </c>
      <c r="BA415" s="780">
        <f>+Canalyst!AM348</f>
        <v>0</v>
      </c>
      <c r="BB415" s="780">
        <v>0</v>
      </c>
      <c r="BC415" s="780">
        <v>0</v>
      </c>
    </row>
    <row r="416" spans="1:55" s="763" customFormat="1" x14ac:dyDescent="0.25">
      <c r="A416" s="786" t="s">
        <v>357</v>
      </c>
      <c r="C416" s="787">
        <f t="shared" ref="C416:I416" si="1477">SUM(C409:C415)</f>
        <v>-8.59</v>
      </c>
      <c r="D416" s="787">
        <f t="shared" si="1477"/>
        <v>0.40700000000000003</v>
      </c>
      <c r="E416" s="788">
        <f t="shared" si="1477"/>
        <v>-37.349000000000004</v>
      </c>
      <c r="F416" s="787">
        <f t="shared" si="1477"/>
        <v>-3.355000000000004</v>
      </c>
      <c r="G416" s="787">
        <f t="shared" si="1477"/>
        <v>-34.856000000000002</v>
      </c>
      <c r="H416" s="789">
        <f t="shared" si="1477"/>
        <v>-5.5210000000000043</v>
      </c>
      <c r="I416" s="787">
        <f t="shared" si="1477"/>
        <v>-38.367000000000004</v>
      </c>
      <c r="J416" s="789">
        <f t="shared" ref="J416:R416" si="1478">SUM(J409:J415)</f>
        <v>-6.5309999999999988</v>
      </c>
      <c r="K416" s="787">
        <f t="shared" si="1478"/>
        <v>-47.31</v>
      </c>
      <c r="L416" s="789">
        <f t="shared" si="1478"/>
        <v>-8.9209999999999994</v>
      </c>
      <c r="M416" s="787">
        <f t="shared" si="1478"/>
        <v>-52.932000000000002</v>
      </c>
      <c r="N416" s="789">
        <f t="shared" si="1478"/>
        <v>-1.6049999999999998</v>
      </c>
      <c r="O416" s="787">
        <f t="shared" si="1478"/>
        <v>-49.365000000000002</v>
      </c>
      <c r="P416" s="789">
        <f t="shared" si="1478"/>
        <v>-13.865999999999994</v>
      </c>
      <c r="Q416" s="787">
        <f t="shared" si="1478"/>
        <v>-70.801000000000002</v>
      </c>
      <c r="R416" s="789">
        <f t="shared" si="1478"/>
        <v>-15.841000000000003</v>
      </c>
      <c r="S416" s="787">
        <f>SUM(S409:S415)</f>
        <v>-59.301999999999992</v>
      </c>
      <c r="T416" s="789">
        <f t="shared" si="1476"/>
        <v>-17.917000000000002</v>
      </c>
      <c r="U416" s="787">
        <f>SUM(U409:U415)</f>
        <v>-60.219000000000001</v>
      </c>
      <c r="V416" s="789">
        <f t="shared" si="1441"/>
        <v>-18.201000000000001</v>
      </c>
      <c r="W416" s="787">
        <f>SUM(W409:W415)</f>
        <v>-78.646000000000001</v>
      </c>
      <c r="X416" s="787"/>
      <c r="Y416" s="787"/>
      <c r="Z416" s="787"/>
      <c r="AA416" s="787"/>
      <c r="AB416" s="787"/>
      <c r="AC416" s="787"/>
      <c r="AD416" s="787"/>
      <c r="AE416" s="787">
        <f t="shared" ref="AE416:AV416" si="1479">SUM(AE409:AE415)</f>
        <v>-2.1787999999999998E-2</v>
      </c>
      <c r="AF416" s="787">
        <f t="shared" si="1479"/>
        <v>-2.1878000000000002E-2</v>
      </c>
      <c r="AG416" s="787">
        <f t="shared" si="1479"/>
        <v>-0.23902400000000001</v>
      </c>
      <c r="AH416" s="787">
        <f t="shared" si="1479"/>
        <v>-9.4280000000000006E-3</v>
      </c>
      <c r="AI416" s="787">
        <f t="shared" si="1479"/>
        <v>-3.1419999999999998E-3</v>
      </c>
      <c r="AJ416" s="787">
        <f t="shared" si="1479"/>
        <v>0</v>
      </c>
      <c r="AK416" s="787">
        <f t="shared" si="1479"/>
        <v>0</v>
      </c>
      <c r="AL416" s="787">
        <f t="shared" si="1479"/>
        <v>0</v>
      </c>
      <c r="AM416" s="787">
        <f t="shared" si="1479"/>
        <v>0</v>
      </c>
      <c r="AN416" s="787">
        <f t="shared" si="1479"/>
        <v>-0.12</v>
      </c>
      <c r="AO416" s="787">
        <f t="shared" si="1479"/>
        <v>-8.8301490000000005</v>
      </c>
      <c r="AP416" s="787">
        <f t="shared" si="1479"/>
        <v>0.17638599999999999</v>
      </c>
      <c r="AQ416" s="787">
        <f t="shared" si="1479"/>
        <v>-1.6866919999999999</v>
      </c>
      <c r="AR416" s="787">
        <f t="shared" si="1479"/>
        <v>-16.068999999999999</v>
      </c>
      <c r="AS416" s="787">
        <f t="shared" si="1479"/>
        <v>-4.5789999999999997</v>
      </c>
      <c r="AT416" s="787">
        <f t="shared" si="1479"/>
        <v>-8.1829999999999998</v>
      </c>
      <c r="AU416" s="787">
        <f t="shared" si="1479"/>
        <v>-40.704000000000001</v>
      </c>
      <c r="AV416" s="787">
        <f t="shared" si="1479"/>
        <v>-40.377000000000002</v>
      </c>
      <c r="AW416" s="787">
        <f t="shared" ref="AW416:AZ416" si="1480">SUM(AW409:AW415)</f>
        <v>-44.896000000000001</v>
      </c>
      <c r="AX416" s="787">
        <f t="shared" si="1480"/>
        <v>-56.231000000000002</v>
      </c>
      <c r="AY416" s="787">
        <f t="shared" si="1480"/>
        <v>-54.536999999999999</v>
      </c>
      <c r="AZ416" s="787">
        <f t="shared" si="1480"/>
        <v>-63.230999999999995</v>
      </c>
      <c r="BA416" s="787">
        <f>SUM(BA409:BA415)</f>
        <v>-86.641999999999996</v>
      </c>
      <c r="BB416" s="787">
        <f>SUM(BB409:BB415)</f>
        <v>-77.218999999999994</v>
      </c>
      <c r="BC416" s="787">
        <f>SUM(BC409:BC415)</f>
        <v>-78.42</v>
      </c>
    </row>
    <row r="417" spans="1:55" x14ac:dyDescent="0.25">
      <c r="A417" s="760" t="str">
        <f>+Canalyst!A351</f>
        <v>FX</v>
      </c>
      <c r="C417" s="772">
        <v>0</v>
      </c>
      <c r="D417" s="772">
        <v>0</v>
      </c>
      <c r="E417" s="773">
        <v>0</v>
      </c>
      <c r="F417" s="772">
        <v>0</v>
      </c>
      <c r="G417" s="772">
        <v>0</v>
      </c>
      <c r="H417" s="774">
        <v>0</v>
      </c>
      <c r="I417" s="772">
        <v>0</v>
      </c>
      <c r="J417" s="774">
        <f>+Canalyst!F351</f>
        <v>0</v>
      </c>
      <c r="K417" s="772">
        <f>+Canalyst!G351</f>
        <v>0</v>
      </c>
      <c r="L417" s="774">
        <f>+Canalyst!H351</f>
        <v>0</v>
      </c>
      <c r="M417" s="772">
        <f>+Canalyst!I351</f>
        <v>0</v>
      </c>
      <c r="N417" s="774">
        <f>+Canalyst!J351</f>
        <v>0</v>
      </c>
      <c r="O417" s="772">
        <f>+Canalyst!K351</f>
        <v>0</v>
      </c>
      <c r="P417" s="774">
        <f>+Canalyst!L351</f>
        <v>0</v>
      </c>
      <c r="Q417" s="772">
        <f>+Canalyst!M351</f>
        <v>0</v>
      </c>
      <c r="R417" s="774">
        <f>+Canalyst!N351</f>
        <v>3.5619999999999998</v>
      </c>
      <c r="S417" s="772">
        <f>+Canalyst!O351</f>
        <v>-0.14799999999999999</v>
      </c>
      <c r="T417" s="774">
        <f t="shared" si="1476"/>
        <v>-5.5999999999999994E-2</v>
      </c>
      <c r="U417" s="772">
        <v>2E-3</v>
      </c>
      <c r="V417" s="774">
        <f t="shared" si="1441"/>
        <v>-3.0000000000000001E-3</v>
      </c>
      <c r="W417" s="772">
        <v>0.11899999999999999</v>
      </c>
      <c r="X417" s="772"/>
      <c r="Y417" s="772"/>
      <c r="Z417" s="772"/>
      <c r="AA417" s="772"/>
      <c r="AB417" s="772"/>
      <c r="AC417" s="772"/>
      <c r="AD417" s="772"/>
      <c r="AE417" s="772">
        <v>0</v>
      </c>
      <c r="AF417" s="772">
        <v>0</v>
      </c>
      <c r="AG417" s="772">
        <v>0</v>
      </c>
      <c r="AH417" s="772">
        <v>0</v>
      </c>
      <c r="AI417" s="772">
        <v>0</v>
      </c>
      <c r="AJ417" s="772">
        <v>0</v>
      </c>
      <c r="AK417" s="772">
        <v>0</v>
      </c>
      <c r="AL417" s="772">
        <v>0</v>
      </c>
      <c r="AM417" s="772">
        <v>0</v>
      </c>
      <c r="AN417" s="772">
        <v>0</v>
      </c>
      <c r="AO417" s="772">
        <v>0</v>
      </c>
      <c r="AP417" s="772">
        <v>0</v>
      </c>
      <c r="AQ417" s="772">
        <v>0</v>
      </c>
      <c r="AR417" s="772">
        <v>0</v>
      </c>
      <c r="AS417" s="772">
        <v>0</v>
      </c>
      <c r="AT417" s="772">
        <v>0</v>
      </c>
      <c r="AU417" s="772">
        <v>0</v>
      </c>
      <c r="AV417" s="772">
        <v>0</v>
      </c>
      <c r="AW417" s="772">
        <f>+Canalyst!AI351</f>
        <v>0</v>
      </c>
      <c r="AX417" s="772">
        <f>+Canalyst!AJ351</f>
        <v>0</v>
      </c>
      <c r="AY417" s="772">
        <f>+Canalyst!AK351</f>
        <v>0</v>
      </c>
      <c r="AZ417" s="772">
        <f>+Canalyst!AL351</f>
        <v>0</v>
      </c>
      <c r="BA417" s="772">
        <f>+Canalyst!AM351</f>
        <v>3.5619999999999998</v>
      </c>
      <c r="BB417" s="772">
        <v>-0.20399999999999999</v>
      </c>
      <c r="BC417" s="772">
        <v>-1E-3</v>
      </c>
    </row>
    <row r="418" spans="1:55" x14ac:dyDescent="0.25">
      <c r="A418" s="760" t="s">
        <v>226</v>
      </c>
      <c r="C418" s="772">
        <f t="shared" ref="C418:I418" si="1481">+C397+C406+C416</f>
        <v>-0.31299999999999883</v>
      </c>
      <c r="D418" s="772">
        <f t="shared" si="1481"/>
        <v>37.234999999999999</v>
      </c>
      <c r="E418" s="773">
        <f t="shared" si="1481"/>
        <v>-19.760999999999999</v>
      </c>
      <c r="F418" s="772">
        <f t="shared" si="1481"/>
        <v>7.4799999999999969</v>
      </c>
      <c r="G418" s="772">
        <f t="shared" si="1481"/>
        <v>-15.741</v>
      </c>
      <c r="H418" s="774">
        <f t="shared" si="1481"/>
        <v>15.023000000000003</v>
      </c>
      <c r="I418" s="772">
        <f t="shared" si="1481"/>
        <v>-18.327000000000005</v>
      </c>
      <c r="J418" s="774">
        <f t="shared" ref="J418" si="1482">+J397+J406+J416</f>
        <v>29.513000000000012</v>
      </c>
      <c r="K418" s="772">
        <f t="shared" ref="K418" si="1483">+K397+K406+K416</f>
        <v>-20.056999999999995</v>
      </c>
      <c r="L418" s="774">
        <f t="shared" ref="L418" si="1484">+L397+L406+L416</f>
        <v>26.489000000000019</v>
      </c>
      <c r="M418" s="772">
        <f t="shared" ref="M418" si="1485">+M397+M406+M416</f>
        <v>-29.83</v>
      </c>
      <c r="N418" s="774">
        <f t="shared" ref="N418" si="1486">+N397+N406+N416</f>
        <v>30.706</v>
      </c>
      <c r="O418" s="772">
        <f t="shared" ref="O418" si="1487">+O397+O406+O416</f>
        <v>-8.8940000000000126</v>
      </c>
      <c r="P418" s="774">
        <f t="shared" ref="P418" si="1488">+P397+P406+P416</f>
        <v>30.478999999999992</v>
      </c>
      <c r="Q418" s="772">
        <f t="shared" ref="Q418" si="1489">+Q397+Q406+Q416</f>
        <v>-27.440999999999995</v>
      </c>
      <c r="R418" s="774">
        <f t="shared" ref="R418" si="1490">+R397+R406+R416</f>
        <v>19.471000000000018</v>
      </c>
      <c r="S418" s="772">
        <f t="shared" ref="S418:U418" si="1491">+S397+S406+S416</f>
        <v>0.55400000000000915</v>
      </c>
      <c r="T418" s="774">
        <f t="shared" si="1476"/>
        <v>24.95500000000002</v>
      </c>
      <c r="U418" s="772">
        <f t="shared" si="1491"/>
        <v>-10.168000000000013</v>
      </c>
      <c r="V418" s="774">
        <f t="shared" ref="V418:W418" si="1492">+V397+V406+V416</f>
        <v>46.002000000000031</v>
      </c>
      <c r="W418" s="772">
        <f t="shared" si="1492"/>
        <v>-17.527999999999992</v>
      </c>
      <c r="X418" s="772"/>
      <c r="Y418" s="772"/>
      <c r="Z418" s="772"/>
      <c r="AA418" s="772"/>
      <c r="AB418" s="772"/>
      <c r="AC418" s="772"/>
      <c r="AD418" s="772"/>
      <c r="AE418" s="772">
        <f t="shared" ref="AE418:AV418" si="1493">AE435+AE429+AE423</f>
        <v>-0.98367300000000013</v>
      </c>
      <c r="AF418" s="772">
        <f t="shared" si="1493"/>
        <v>0.25515800000000011</v>
      </c>
      <c r="AG418" s="772">
        <f t="shared" si="1493"/>
        <v>-1.1845459999999992</v>
      </c>
      <c r="AH418" s="772">
        <f t="shared" si="1493"/>
        <v>4.7633029999999996</v>
      </c>
      <c r="AI418" s="772">
        <f t="shared" si="1493"/>
        <v>0.41561600000000043</v>
      </c>
      <c r="AJ418" s="772">
        <f t="shared" si="1493"/>
        <v>-3.5711459999999997</v>
      </c>
      <c r="AK418" s="772">
        <f t="shared" si="1493"/>
        <v>0.14699700000000018</v>
      </c>
      <c r="AL418" s="772">
        <f t="shared" si="1493"/>
        <v>2.4963949999999997</v>
      </c>
      <c r="AM418" s="772">
        <f t="shared" si="1493"/>
        <v>4.6342270000000019</v>
      </c>
      <c r="AN418" s="772">
        <f t="shared" si="1493"/>
        <v>5.0420049999999987</v>
      </c>
      <c r="AO418" s="772">
        <f t="shared" si="1493"/>
        <v>-2.2970330000000034</v>
      </c>
      <c r="AP418" s="772">
        <f t="shared" si="1493"/>
        <v>-2.3488740000000004</v>
      </c>
      <c r="AQ418" s="772">
        <f t="shared" si="1493"/>
        <v>4.161990999999996</v>
      </c>
      <c r="AR418" s="772">
        <f t="shared" si="1493"/>
        <v>-1.4280000000000008</v>
      </c>
      <c r="AS418" s="772">
        <f t="shared" si="1493"/>
        <v>29.044000000000004</v>
      </c>
      <c r="AT418" s="772">
        <f t="shared" si="1493"/>
        <v>36.921999999999997</v>
      </c>
      <c r="AU418" s="772">
        <f t="shared" si="1493"/>
        <v>-12.281000000000006</v>
      </c>
      <c r="AV418" s="772">
        <f t="shared" si="1493"/>
        <v>-0.71900000000000119</v>
      </c>
      <c r="AW418" s="772">
        <f t="shared" ref="AW418" si="1494">+AW397+AW406+AW416</f>
        <v>11.188000000000002</v>
      </c>
      <c r="AX418" s="772">
        <f t="shared" ref="AX418" si="1495">+AX397+AX406+AX416</f>
        <v>6.4320000000000164</v>
      </c>
      <c r="AY418" s="772">
        <f t="shared" ref="AY418" si="1496">+AY397+AY406+AY416</f>
        <v>0.87600000000000477</v>
      </c>
      <c r="AZ418" s="772">
        <f t="shared" ref="AZ418" si="1497">+AZ397+AZ406+AZ416</f>
        <v>21.58499999999998</v>
      </c>
      <c r="BA418" s="772">
        <f t="shared" ref="BA418:BB418" si="1498">+BA397+BA406+BA416</f>
        <v>-7.9699999999999847</v>
      </c>
      <c r="BB418" s="772">
        <f t="shared" si="1498"/>
        <v>25.509000000000029</v>
      </c>
      <c r="BC418" s="772">
        <f t="shared" ref="BC418" si="1499">+BC397+BC406+BC416</f>
        <v>35.834000000000003</v>
      </c>
    </row>
    <row r="419" spans="1:55" ht="13" x14ac:dyDescent="0.25">
      <c r="A419" s="760" t="s">
        <v>358</v>
      </c>
      <c r="C419" s="780">
        <f>AT419</f>
        <v>37.72</v>
      </c>
      <c r="D419" s="780">
        <f>+C420</f>
        <v>37.406999999999996</v>
      </c>
      <c r="E419" s="781">
        <f t="shared" ref="E419:W419" si="1500">+D420</f>
        <v>74.641999999999996</v>
      </c>
      <c r="F419" s="780">
        <f t="shared" si="1500"/>
        <v>54.881</v>
      </c>
      <c r="G419" s="780">
        <f t="shared" si="1500"/>
        <v>62.360999999999997</v>
      </c>
      <c r="H419" s="782">
        <f t="shared" si="1500"/>
        <v>46.62</v>
      </c>
      <c r="I419" s="780">
        <f t="shared" si="1500"/>
        <v>61.643000000000001</v>
      </c>
      <c r="J419" s="782">
        <f t="shared" si="1500"/>
        <v>43.315999999999995</v>
      </c>
      <c r="K419" s="780">
        <f t="shared" si="1500"/>
        <v>72.829000000000008</v>
      </c>
      <c r="L419" s="782">
        <f t="shared" si="1500"/>
        <v>52.772000000000013</v>
      </c>
      <c r="M419" s="780">
        <f t="shared" si="1500"/>
        <v>79.261000000000024</v>
      </c>
      <c r="N419" s="782">
        <f t="shared" si="1500"/>
        <v>49.431000000000026</v>
      </c>
      <c r="O419" s="780">
        <f t="shared" si="1500"/>
        <v>80.137000000000029</v>
      </c>
      <c r="P419" s="782">
        <f t="shared" si="1500"/>
        <v>71.243000000000023</v>
      </c>
      <c r="Q419" s="780">
        <f t="shared" si="1500"/>
        <v>101.72200000000001</v>
      </c>
      <c r="R419" s="782">
        <f t="shared" si="1500"/>
        <v>74.281000000000006</v>
      </c>
      <c r="S419" s="780">
        <f t="shared" si="1500"/>
        <v>97.314000000000021</v>
      </c>
      <c r="T419" s="782">
        <f t="shared" ref="T419" si="1501">+S420</f>
        <v>97.720000000000027</v>
      </c>
      <c r="U419" s="780">
        <f t="shared" si="1500"/>
        <v>122.62100000000004</v>
      </c>
      <c r="V419" s="782">
        <f t="shared" ref="V419" si="1502">+U420</f>
        <v>112.45500000000003</v>
      </c>
      <c r="W419" s="780">
        <f t="shared" si="1500"/>
        <v>158.45400000000006</v>
      </c>
      <c r="X419" s="780"/>
      <c r="Y419" s="780"/>
      <c r="Z419" s="780"/>
      <c r="AA419" s="780"/>
      <c r="AB419" s="780"/>
      <c r="AC419" s="780"/>
      <c r="AD419" s="780"/>
      <c r="AE419" s="780"/>
      <c r="AF419" s="780"/>
      <c r="AG419" s="780"/>
      <c r="AH419" s="780"/>
      <c r="AI419" s="780"/>
      <c r="AJ419" s="780"/>
      <c r="AK419" s="780"/>
      <c r="AL419" s="780"/>
      <c r="AM419" s="780"/>
      <c r="AN419" s="780"/>
      <c r="AO419" s="780"/>
      <c r="AP419" s="780"/>
      <c r="AQ419" s="780"/>
      <c r="AR419" s="780">
        <v>10.103999999999999</v>
      </c>
      <c r="AS419" s="780">
        <f>AR420</f>
        <v>8.6759999999999984</v>
      </c>
      <c r="AT419" s="780">
        <f t="shared" ref="AT419" si="1503">AS420</f>
        <v>37.72</v>
      </c>
      <c r="AU419" s="780">
        <f>AT420</f>
        <v>74.641999999999996</v>
      </c>
      <c r="AV419" s="780">
        <f t="shared" ref="AV419" si="1504">AU420</f>
        <v>62.36099999999999</v>
      </c>
      <c r="AW419" s="780">
        <f t="shared" ref="AW419:AZ419" si="1505">+AV420</f>
        <v>61.641999999999989</v>
      </c>
      <c r="AX419" s="780">
        <f t="shared" si="1505"/>
        <v>72.829999999999984</v>
      </c>
      <c r="AY419" s="780">
        <f t="shared" si="1505"/>
        <v>79.262</v>
      </c>
      <c r="AZ419" s="780">
        <f t="shared" si="1505"/>
        <v>80.138000000000005</v>
      </c>
      <c r="BA419" s="780">
        <f t="shared" ref="BA419" si="1506">+AZ420</f>
        <v>101.72299999999998</v>
      </c>
      <c r="BB419" s="780">
        <f t="shared" ref="BB419:BC419" si="1507">+BA420</f>
        <v>97.314999999999998</v>
      </c>
      <c r="BC419" s="780">
        <f t="shared" si="1507"/>
        <v>122.62000000000003</v>
      </c>
    </row>
    <row r="420" spans="1:55" s="763" customFormat="1" x14ac:dyDescent="0.25">
      <c r="A420" s="786" t="s">
        <v>229</v>
      </c>
      <c r="C420" s="787">
        <f>SUM(C417:C419)</f>
        <v>37.406999999999996</v>
      </c>
      <c r="D420" s="787">
        <f t="shared" ref="D420:S420" si="1508">SUM(D417:D419)</f>
        <v>74.641999999999996</v>
      </c>
      <c r="E420" s="788">
        <f t="shared" si="1508"/>
        <v>54.881</v>
      </c>
      <c r="F420" s="787">
        <f t="shared" si="1508"/>
        <v>62.360999999999997</v>
      </c>
      <c r="G420" s="787">
        <f t="shared" si="1508"/>
        <v>46.62</v>
      </c>
      <c r="H420" s="789">
        <f t="shared" si="1508"/>
        <v>61.643000000000001</v>
      </c>
      <c r="I420" s="787">
        <f t="shared" si="1508"/>
        <v>43.315999999999995</v>
      </c>
      <c r="J420" s="789">
        <f t="shared" si="1508"/>
        <v>72.829000000000008</v>
      </c>
      <c r="K420" s="787">
        <f t="shared" si="1508"/>
        <v>52.772000000000013</v>
      </c>
      <c r="L420" s="789">
        <f t="shared" si="1508"/>
        <v>79.261000000000024</v>
      </c>
      <c r="M420" s="787">
        <f t="shared" si="1508"/>
        <v>49.431000000000026</v>
      </c>
      <c r="N420" s="789">
        <f t="shared" si="1508"/>
        <v>80.137000000000029</v>
      </c>
      <c r="O420" s="787">
        <f t="shared" si="1508"/>
        <v>71.243000000000023</v>
      </c>
      <c r="P420" s="789">
        <f t="shared" si="1508"/>
        <v>101.72200000000001</v>
      </c>
      <c r="Q420" s="787">
        <f t="shared" si="1508"/>
        <v>74.281000000000006</v>
      </c>
      <c r="R420" s="789">
        <f t="shared" si="1508"/>
        <v>97.314000000000021</v>
      </c>
      <c r="S420" s="787">
        <f t="shared" si="1508"/>
        <v>97.720000000000027</v>
      </c>
      <c r="T420" s="789">
        <f>SUM(T417:T419)+0.002</f>
        <v>122.62100000000004</v>
      </c>
      <c r="U420" s="787">
        <f t="shared" ref="U420:V420" si="1509">SUM(U417:U419)</f>
        <v>112.45500000000003</v>
      </c>
      <c r="V420" s="789">
        <f t="shared" si="1509"/>
        <v>158.45400000000006</v>
      </c>
      <c r="W420" s="787">
        <f t="shared" ref="W420" si="1510">SUM(W417:W419)</f>
        <v>141.04500000000007</v>
      </c>
      <c r="X420" s="787"/>
      <c r="Y420" s="787"/>
      <c r="Z420" s="787"/>
      <c r="AA420" s="787"/>
      <c r="AB420" s="787"/>
      <c r="AC420" s="787"/>
      <c r="AD420" s="787"/>
      <c r="AE420" s="787"/>
      <c r="AF420" s="787"/>
      <c r="AG420" s="787"/>
      <c r="AH420" s="787"/>
      <c r="AI420" s="787"/>
      <c r="AJ420" s="787"/>
      <c r="AK420" s="787"/>
      <c r="AL420" s="787"/>
      <c r="AM420" s="787"/>
      <c r="AN420" s="787"/>
      <c r="AO420" s="787"/>
      <c r="AP420" s="787"/>
      <c r="AQ420" s="787"/>
      <c r="AR420" s="787">
        <f>SUM(AR418:AR419)</f>
        <v>8.6759999999999984</v>
      </c>
      <c r="AS420" s="787">
        <f>SUM(AS418:AS419)</f>
        <v>37.72</v>
      </c>
      <c r="AT420" s="787">
        <f>SUM(AT418:AT419)</f>
        <v>74.641999999999996</v>
      </c>
      <c r="AU420" s="787">
        <f>SUM(AU418:AU419)</f>
        <v>62.36099999999999</v>
      </c>
      <c r="AV420" s="787">
        <f>SUM(AV418:AV419)</f>
        <v>61.641999999999989</v>
      </c>
      <c r="AW420" s="787">
        <f t="shared" ref="AW420" si="1511">SUM(AW417:AW419)</f>
        <v>72.829999999999984</v>
      </c>
      <c r="AX420" s="787">
        <f t="shared" ref="AX420" si="1512">SUM(AX417:AX419)</f>
        <v>79.262</v>
      </c>
      <c r="AY420" s="787">
        <f t="shared" ref="AY420" si="1513">SUM(AY417:AY419)</f>
        <v>80.138000000000005</v>
      </c>
      <c r="AZ420" s="787">
        <f t="shared" ref="AZ420" si="1514">SUM(AZ417:AZ419)</f>
        <v>101.72299999999998</v>
      </c>
      <c r="BA420" s="787">
        <f t="shared" ref="BA420:BB420" si="1515">SUM(BA417:BA419)</f>
        <v>97.314999999999998</v>
      </c>
      <c r="BB420" s="787">
        <f t="shared" si="1515"/>
        <v>122.62000000000003</v>
      </c>
      <c r="BC420" s="787">
        <f t="shared" ref="BC420" si="1516">SUM(BC417:BC419)</f>
        <v>158.45300000000003</v>
      </c>
    </row>
    <row r="421" spans="1:55" x14ac:dyDescent="0.25">
      <c r="E421" s="790"/>
      <c r="H421" s="791"/>
      <c r="J421" s="791"/>
      <c r="L421" s="791"/>
      <c r="N421" s="791"/>
      <c r="P421" s="791"/>
      <c r="R421" s="791"/>
      <c r="T421" s="791"/>
      <c r="V421" s="791"/>
    </row>
    <row r="422" spans="1:55" hidden="1" outlineLevel="1" x14ac:dyDescent="0.25">
      <c r="A422" s="771" t="s">
        <v>359</v>
      </c>
      <c r="E422" s="790"/>
      <c r="H422" s="791"/>
      <c r="J422" s="791"/>
      <c r="L422" s="791"/>
      <c r="N422" s="791"/>
      <c r="P422" s="791"/>
      <c r="R422" s="791"/>
      <c r="T422" s="791"/>
      <c r="V422" s="791"/>
    </row>
    <row r="423" spans="1:55" s="763" customFormat="1" hidden="1" outlineLevel="1" x14ac:dyDescent="0.25">
      <c r="A423" s="763" t="s">
        <v>223</v>
      </c>
      <c r="C423" s="787">
        <f t="shared" ref="C423:J423" si="1517">C397</f>
        <v>9.5550000000000015</v>
      </c>
      <c r="D423" s="787">
        <f t="shared" si="1517"/>
        <v>37.856000000000002</v>
      </c>
      <c r="E423" s="788">
        <f t="shared" si="1517"/>
        <v>18.497000000000003</v>
      </c>
      <c r="F423" s="787">
        <f t="shared" si="1517"/>
        <v>11.428000000000001</v>
      </c>
      <c r="G423" s="787">
        <f t="shared" si="1517"/>
        <v>20.12</v>
      </c>
      <c r="H423" s="789">
        <f t="shared" si="1517"/>
        <v>20.851000000000006</v>
      </c>
      <c r="I423" s="787">
        <f t="shared" si="1517"/>
        <v>20.591999999999999</v>
      </c>
      <c r="J423" s="789">
        <f t="shared" si="1517"/>
        <v>36.45900000000001</v>
      </c>
      <c r="K423" s="787"/>
      <c r="L423" s="789"/>
      <c r="M423" s="787"/>
      <c r="N423" s="789"/>
      <c r="O423" s="787"/>
      <c r="P423" s="789"/>
      <c r="Q423" s="787"/>
      <c r="R423" s="789"/>
      <c r="S423" s="787"/>
      <c r="T423" s="789"/>
      <c r="U423" s="787"/>
      <c r="V423" s="789"/>
      <c r="W423" s="787"/>
      <c r="AE423" s="787">
        <f t="shared" ref="AE423:AQ423" si="1518">AE397</f>
        <v>-0.88367300000000015</v>
      </c>
      <c r="AF423" s="787">
        <f t="shared" si="1518"/>
        <v>0.35515800000000014</v>
      </c>
      <c r="AG423" s="787">
        <f t="shared" si="1518"/>
        <v>-0.96362799999999926</v>
      </c>
      <c r="AH423" s="787">
        <f t="shared" si="1518"/>
        <v>4.8809289999999992</v>
      </c>
      <c r="AI423" s="787">
        <f t="shared" si="1518"/>
        <v>-0.66465499999999977</v>
      </c>
      <c r="AJ423" s="787">
        <f t="shared" si="1518"/>
        <v>-3.5072749999999999</v>
      </c>
      <c r="AK423" s="787">
        <f t="shared" si="1518"/>
        <v>5.1696000000000186E-2</v>
      </c>
      <c r="AL423" s="787">
        <f t="shared" si="1518"/>
        <v>2.5019749999999998</v>
      </c>
      <c r="AM423" s="787">
        <f t="shared" si="1518"/>
        <v>4.5644050000000016</v>
      </c>
      <c r="AN423" s="787">
        <f t="shared" si="1518"/>
        <v>5.097370999999999</v>
      </c>
      <c r="AO423" s="787">
        <f t="shared" si="1518"/>
        <v>6.6843379999999977</v>
      </c>
      <c r="AP423" s="787">
        <f t="shared" si="1518"/>
        <v>-2.0147350000000004</v>
      </c>
      <c r="AQ423" s="787">
        <f t="shared" si="1518"/>
        <v>10.206941999999996</v>
      </c>
      <c r="AR423" s="787">
        <v>17.657</v>
      </c>
      <c r="AS423" s="787">
        <v>35.673000000000002</v>
      </c>
      <c r="AT423" s="787">
        <v>47.411000000000001</v>
      </c>
      <c r="AU423" s="787">
        <f>AU397</f>
        <v>29.924999999999997</v>
      </c>
      <c r="AV423" s="787">
        <v>40.97</v>
      </c>
      <c r="AW423" s="787">
        <f>+AW397</f>
        <v>57.051000000000002</v>
      </c>
      <c r="AX423" s="787"/>
      <c r="AY423" s="787"/>
      <c r="AZ423" s="787"/>
      <c r="BA423" s="787"/>
      <c r="BB423" s="787"/>
      <c r="BC423" s="787"/>
    </row>
    <row r="424" spans="1:55" s="763" customFormat="1" hidden="1" outlineLevel="1" x14ac:dyDescent="0.25">
      <c r="A424" s="763" t="s">
        <v>360</v>
      </c>
      <c r="E424" s="849"/>
      <c r="H424" s="850"/>
      <c r="J424" s="850"/>
      <c r="L424" s="850"/>
      <c r="N424" s="850"/>
      <c r="P424" s="850"/>
      <c r="R424" s="850"/>
      <c r="T424" s="850"/>
      <c r="V424" s="850"/>
    </row>
    <row r="425" spans="1:55" hidden="1" outlineLevel="1" x14ac:dyDescent="0.25">
      <c r="A425" s="760" t="s">
        <v>361</v>
      </c>
      <c r="C425" s="772">
        <f t="shared" ref="C425:J425" si="1519">C223</f>
        <v>8.1000000000000003E-2</v>
      </c>
      <c r="D425" s="772">
        <f t="shared" si="1519"/>
        <v>0.114</v>
      </c>
      <c r="E425" s="773">
        <f t="shared" si="1519"/>
        <v>0.106</v>
      </c>
      <c r="F425" s="772">
        <f t="shared" si="1519"/>
        <v>0.106</v>
      </c>
      <c r="G425" s="772">
        <f t="shared" si="1519"/>
        <v>8.7999999999999995E-2</v>
      </c>
      <c r="H425" s="774">
        <f t="shared" si="1519"/>
        <v>5.3999999999999992E-2</v>
      </c>
      <c r="I425" s="772">
        <f t="shared" si="1519"/>
        <v>3.8E-3</v>
      </c>
      <c r="J425" s="774">
        <f t="shared" si="1519"/>
        <v>0.11320000000000001</v>
      </c>
      <c r="K425" s="772"/>
      <c r="L425" s="774"/>
      <c r="M425" s="772"/>
      <c r="N425" s="774"/>
      <c r="O425" s="772"/>
      <c r="P425" s="774"/>
      <c r="Q425" s="772"/>
      <c r="R425" s="774"/>
      <c r="S425" s="772"/>
      <c r="T425" s="774"/>
      <c r="U425" s="772"/>
      <c r="V425" s="774"/>
      <c r="W425" s="772"/>
      <c r="AE425" s="772">
        <f t="shared" ref="AE425:AQ425" si="1520">AE223</f>
        <v>-0.1</v>
      </c>
      <c r="AF425" s="772">
        <f t="shared" si="1520"/>
        <v>-0.1</v>
      </c>
      <c r="AG425" s="772">
        <f t="shared" si="1520"/>
        <v>0</v>
      </c>
      <c r="AH425" s="772">
        <f t="shared" si="1520"/>
        <v>2.6848E-2</v>
      </c>
      <c r="AI425" s="772">
        <f t="shared" si="1520"/>
        <v>1.5863970000000001</v>
      </c>
      <c r="AJ425" s="772">
        <f t="shared" si="1520"/>
        <v>6.6298999999999997E-2</v>
      </c>
      <c r="AK425" s="772">
        <f t="shared" si="1520"/>
        <v>4.6339999999999999E-2</v>
      </c>
      <c r="AL425" s="772">
        <f t="shared" si="1520"/>
        <v>0.14118900000000001</v>
      </c>
      <c r="AM425" s="772">
        <f t="shared" si="1520"/>
        <v>0.299564</v>
      </c>
      <c r="AN425" s="772">
        <f t="shared" si="1520"/>
        <v>0.21337100000000001</v>
      </c>
      <c r="AO425" s="772">
        <f t="shared" si="1520"/>
        <v>0</v>
      </c>
      <c r="AP425" s="772">
        <f t="shared" si="1520"/>
        <v>5.8015999999999998E-2</v>
      </c>
      <c r="AQ425" s="772">
        <f t="shared" si="1520"/>
        <v>0.13525999999999999</v>
      </c>
      <c r="AR425" s="772">
        <v>8.1000000000000003E-2</v>
      </c>
      <c r="AS425" s="772">
        <v>0.10199999999999999</v>
      </c>
      <c r="AT425" s="772">
        <v>0.19500000000000001</v>
      </c>
      <c r="AU425" s="772">
        <v>0.21299999999999999</v>
      </c>
      <c r="AV425" s="772">
        <v>0.14199999999999999</v>
      </c>
      <c r="AW425" s="772">
        <f>+AW223</f>
        <v>0.11700000000000001</v>
      </c>
      <c r="AX425" s="772"/>
      <c r="AY425" s="772"/>
      <c r="AZ425" s="772"/>
      <c r="BA425" s="772"/>
      <c r="BB425" s="772"/>
      <c r="BC425" s="772"/>
    </row>
    <row r="426" spans="1:55" hidden="1" outlineLevel="1" x14ac:dyDescent="0.25">
      <c r="A426" s="760" t="s">
        <v>348</v>
      </c>
      <c r="C426" s="772">
        <f t="shared" ref="C426:J427" si="1521">C401</f>
        <v>-1.2509999999999999</v>
      </c>
      <c r="D426" s="772">
        <f t="shared" si="1521"/>
        <v>-0.96599999999999997</v>
      </c>
      <c r="E426" s="773">
        <f t="shared" si="1521"/>
        <v>-0.68600000000000005</v>
      </c>
      <c r="F426" s="772">
        <f t="shared" si="1521"/>
        <v>-0.50399999999999989</v>
      </c>
      <c r="G426" s="772">
        <f t="shared" si="1521"/>
        <v>-0.65700000000000003</v>
      </c>
      <c r="H426" s="774">
        <f t="shared" si="1521"/>
        <v>-0.28799999999999992</v>
      </c>
      <c r="I426" s="772">
        <f t="shared" si="1521"/>
        <v>-0.55300000000000005</v>
      </c>
      <c r="J426" s="774">
        <f t="shared" si="1521"/>
        <v>-0.41199999999999992</v>
      </c>
      <c r="K426" s="772"/>
      <c r="L426" s="774"/>
      <c r="M426" s="772"/>
      <c r="N426" s="774"/>
      <c r="O426" s="772"/>
      <c r="P426" s="774"/>
      <c r="Q426" s="772"/>
      <c r="R426" s="774"/>
      <c r="S426" s="772"/>
      <c r="T426" s="774"/>
      <c r="U426" s="772"/>
      <c r="V426" s="774"/>
      <c r="W426" s="772"/>
      <c r="AE426" s="772">
        <f t="shared" ref="AE426:AQ426" si="1522">AE401</f>
        <v>0</v>
      </c>
      <c r="AF426" s="772">
        <f t="shared" si="1522"/>
        <v>0</v>
      </c>
      <c r="AG426" s="772">
        <f t="shared" si="1522"/>
        <v>0</v>
      </c>
      <c r="AH426" s="772">
        <f t="shared" si="1522"/>
        <v>-0.149474</v>
      </c>
      <c r="AI426" s="772">
        <f t="shared" si="1522"/>
        <v>-0.50612599999999996</v>
      </c>
      <c r="AJ426" s="772">
        <f t="shared" si="1522"/>
        <v>-0.25996999999999998</v>
      </c>
      <c r="AK426" s="772">
        <f t="shared" si="1522"/>
        <v>-0.104352</v>
      </c>
      <c r="AL426" s="772">
        <f t="shared" si="1522"/>
        <v>-0.14676900000000001</v>
      </c>
      <c r="AM426" s="772">
        <f t="shared" si="1522"/>
        <v>-0.229742</v>
      </c>
      <c r="AN426" s="772">
        <f t="shared" si="1522"/>
        <v>-0.16253699999999999</v>
      </c>
      <c r="AO426" s="772">
        <f t="shared" si="1522"/>
        <v>-0.23166900000000001</v>
      </c>
      <c r="AP426" s="772">
        <f t="shared" si="1522"/>
        <v>-0.57602100000000001</v>
      </c>
      <c r="AQ426" s="772">
        <f t="shared" si="1522"/>
        <v>-4.500019</v>
      </c>
      <c r="AR426" s="772">
        <v>-2.722</v>
      </c>
      <c r="AS426" s="772">
        <v>-1.8220000000000001</v>
      </c>
      <c r="AT426" s="772">
        <v>-2.2170000000000001</v>
      </c>
      <c r="AU426" s="772">
        <v>-1.19</v>
      </c>
      <c r="AV426" s="772">
        <v>-0.94499999999999995</v>
      </c>
      <c r="AW426" s="772">
        <f>+AW401</f>
        <v>-0.96499999999999997</v>
      </c>
      <c r="AX426" s="772"/>
      <c r="AY426" s="772"/>
      <c r="AZ426" s="772"/>
      <c r="BA426" s="772"/>
      <c r="BB426" s="772"/>
      <c r="BC426" s="772"/>
    </row>
    <row r="427" spans="1:55" hidden="1" outlineLevel="1" x14ac:dyDescent="0.25">
      <c r="A427" s="760" t="s">
        <v>349</v>
      </c>
      <c r="C427" s="772">
        <f t="shared" si="1521"/>
        <v>-0.108</v>
      </c>
      <c r="D427" s="772">
        <f t="shared" si="1521"/>
        <v>-0.18</v>
      </c>
      <c r="E427" s="773">
        <f t="shared" si="1521"/>
        <v>-0.33500000000000002</v>
      </c>
      <c r="F427" s="772">
        <f t="shared" si="1521"/>
        <v>-0.20100000000000001</v>
      </c>
      <c r="G427" s="772">
        <f t="shared" si="1521"/>
        <v>-0.443</v>
      </c>
      <c r="H427" s="774">
        <f t="shared" si="1521"/>
        <v>-7.3000000000000009E-2</v>
      </c>
      <c r="I427" s="772">
        <f t="shared" si="1521"/>
        <v>-3.6999999999999998E-2</v>
      </c>
      <c r="J427" s="774">
        <f t="shared" si="1521"/>
        <v>-8.199999999999999E-2</v>
      </c>
      <c r="K427" s="772"/>
      <c r="L427" s="774"/>
      <c r="M427" s="772"/>
      <c r="N427" s="774"/>
      <c r="O427" s="772"/>
      <c r="P427" s="774"/>
      <c r="Q427" s="772"/>
      <c r="R427" s="774"/>
      <c r="S427" s="772"/>
      <c r="T427" s="774"/>
      <c r="U427" s="772"/>
      <c r="V427" s="774"/>
      <c r="W427" s="772"/>
      <c r="AE427" s="772">
        <f t="shared" ref="AE427:AQ427" si="1523">AE402</f>
        <v>0</v>
      </c>
      <c r="AF427" s="772">
        <f t="shared" si="1523"/>
        <v>0</v>
      </c>
      <c r="AG427" s="772">
        <f t="shared" si="1523"/>
        <v>0</v>
      </c>
      <c r="AH427" s="772">
        <f t="shared" si="1523"/>
        <v>0</v>
      </c>
      <c r="AI427" s="772">
        <f t="shared" si="1523"/>
        <v>0</v>
      </c>
      <c r="AJ427" s="772">
        <f t="shared" si="1523"/>
        <v>0</v>
      </c>
      <c r="AK427" s="772">
        <f t="shared" si="1523"/>
        <v>0</v>
      </c>
      <c r="AL427" s="772">
        <f t="shared" si="1523"/>
        <v>0</v>
      </c>
      <c r="AM427" s="772">
        <f t="shared" si="1523"/>
        <v>0</v>
      </c>
      <c r="AN427" s="772">
        <f t="shared" si="1523"/>
        <v>0</v>
      </c>
      <c r="AO427" s="772">
        <f t="shared" si="1523"/>
        <v>0</v>
      </c>
      <c r="AP427" s="772">
        <f t="shared" si="1523"/>
        <v>0</v>
      </c>
      <c r="AQ427" s="772">
        <f t="shared" si="1523"/>
        <v>0</v>
      </c>
      <c r="AR427" s="772">
        <v>-0.375</v>
      </c>
      <c r="AS427" s="772">
        <v>-0.33</v>
      </c>
      <c r="AT427" s="772">
        <v>-0.28799999999999998</v>
      </c>
      <c r="AU427" s="772">
        <v>-0.53600000000000003</v>
      </c>
      <c r="AV427" s="772">
        <v>-0.51600000000000001</v>
      </c>
      <c r="AW427" s="772">
        <f>+AW402</f>
        <v>-0.11899999999999999</v>
      </c>
      <c r="AX427" s="772"/>
      <c r="AY427" s="772"/>
      <c r="AZ427" s="772"/>
      <c r="BA427" s="772"/>
      <c r="BB427" s="772"/>
      <c r="BC427" s="772"/>
    </row>
    <row r="428" spans="1:55" ht="13" hidden="1" outlineLevel="1" x14ac:dyDescent="0.25">
      <c r="A428" s="760" t="s">
        <v>351</v>
      </c>
      <c r="C428" s="780">
        <f t="shared" ref="C428:J428" si="1524">C405</f>
        <v>0</v>
      </c>
      <c r="D428" s="780">
        <f t="shared" si="1524"/>
        <v>4.0000000000000001E-3</v>
      </c>
      <c r="E428" s="781">
        <f t="shared" si="1524"/>
        <v>6.0000000000000001E-3</v>
      </c>
      <c r="F428" s="780">
        <f t="shared" si="1524"/>
        <v>4.9999999999999992E-3</v>
      </c>
      <c r="G428" s="780">
        <f t="shared" si="1524"/>
        <v>7.0000000000000001E-3</v>
      </c>
      <c r="H428" s="782">
        <f t="shared" si="1524"/>
        <v>0</v>
      </c>
      <c r="I428" s="780">
        <f t="shared" si="1524"/>
        <v>0</v>
      </c>
      <c r="J428" s="782">
        <f t="shared" si="1524"/>
        <v>0</v>
      </c>
      <c r="K428" s="780"/>
      <c r="L428" s="782"/>
      <c r="M428" s="780"/>
      <c r="N428" s="782"/>
      <c r="O428" s="780"/>
      <c r="P428" s="782"/>
      <c r="Q428" s="780"/>
      <c r="R428" s="782"/>
      <c r="S428" s="780"/>
      <c r="T428" s="782"/>
      <c r="U428" s="780"/>
      <c r="V428" s="782"/>
      <c r="W428" s="780"/>
      <c r="AE428" s="780">
        <f t="shared" ref="AE428:AQ428" si="1525">AE405</f>
        <v>0</v>
      </c>
      <c r="AF428" s="780">
        <f t="shared" si="1525"/>
        <v>0</v>
      </c>
      <c r="AG428" s="780">
        <f t="shared" si="1525"/>
        <v>0</v>
      </c>
      <c r="AH428" s="780">
        <f t="shared" si="1525"/>
        <v>5.0000000000000001E-3</v>
      </c>
      <c r="AI428" s="780">
        <f t="shared" si="1525"/>
        <v>0</v>
      </c>
      <c r="AJ428" s="780">
        <f t="shared" si="1525"/>
        <v>0.1298</v>
      </c>
      <c r="AK428" s="780">
        <f t="shared" si="1525"/>
        <v>0.153313</v>
      </c>
      <c r="AL428" s="780">
        <f t="shared" si="1525"/>
        <v>0</v>
      </c>
      <c r="AM428" s="780">
        <f t="shared" si="1525"/>
        <v>0</v>
      </c>
      <c r="AN428" s="780">
        <f t="shared" si="1525"/>
        <v>1.38E-2</v>
      </c>
      <c r="AO428" s="780">
        <f t="shared" si="1525"/>
        <v>8.0447000000000005E-2</v>
      </c>
      <c r="AP428" s="780">
        <f t="shared" si="1525"/>
        <v>7.4799999999999997E-3</v>
      </c>
      <c r="AQ428" s="780">
        <f t="shared" si="1525"/>
        <v>6.4999999999999997E-3</v>
      </c>
      <c r="AR428" s="780">
        <v>0</v>
      </c>
      <c r="AS428" s="780">
        <v>0</v>
      </c>
      <c r="AT428" s="780">
        <v>4.0000000000000001E-3</v>
      </c>
      <c r="AU428" s="780">
        <v>1.0999999999999999E-2</v>
      </c>
      <c r="AV428" s="780">
        <v>7.0000000000000001E-3</v>
      </c>
      <c r="AW428" s="780">
        <f>+AW405</f>
        <v>0</v>
      </c>
      <c r="AX428" s="780"/>
      <c r="AY428" s="780"/>
      <c r="AZ428" s="780"/>
      <c r="BA428" s="780"/>
      <c r="BB428" s="780"/>
      <c r="BC428" s="780"/>
    </row>
    <row r="429" spans="1:55" s="763" customFormat="1" hidden="1" outlineLevel="1" x14ac:dyDescent="0.25">
      <c r="A429" s="786" t="s">
        <v>224</v>
      </c>
      <c r="C429" s="787">
        <f t="shared" ref="C429" si="1526">SUM(C425:C428)</f>
        <v>-1.278</v>
      </c>
      <c r="D429" s="787">
        <f t="shared" ref="D429" si="1527">SUM(D425:D428)</f>
        <v>-1.028</v>
      </c>
      <c r="E429" s="788">
        <f t="shared" ref="E429:F429" si="1528">SUM(E425:E428)</f>
        <v>-0.90900000000000003</v>
      </c>
      <c r="F429" s="787">
        <f t="shared" si="1528"/>
        <v>-0.59399999999999997</v>
      </c>
      <c r="G429" s="787">
        <f t="shared" ref="G429:H429" si="1529">SUM(G425:G428)</f>
        <v>-1.0050000000000001</v>
      </c>
      <c r="H429" s="789">
        <f t="shared" si="1529"/>
        <v>-0.30699999999999994</v>
      </c>
      <c r="I429" s="787">
        <f t="shared" ref="I429:J429" si="1530">SUM(I425:I428)</f>
        <v>-0.58620000000000005</v>
      </c>
      <c r="J429" s="789">
        <f t="shared" si="1530"/>
        <v>-0.38079999999999992</v>
      </c>
      <c r="K429" s="787"/>
      <c r="L429" s="789"/>
      <c r="M429" s="787"/>
      <c r="N429" s="789"/>
      <c r="O429" s="787"/>
      <c r="P429" s="789"/>
      <c r="Q429" s="787"/>
      <c r="R429" s="789"/>
      <c r="S429" s="787"/>
      <c r="T429" s="789"/>
      <c r="U429" s="787"/>
      <c r="V429" s="789"/>
      <c r="W429" s="787"/>
      <c r="AE429" s="787">
        <f t="shared" ref="AE429:AQ429" si="1531">SUM(AE425:AE428)</f>
        <v>-0.1</v>
      </c>
      <c r="AF429" s="787">
        <f t="shared" si="1531"/>
        <v>-0.1</v>
      </c>
      <c r="AG429" s="787">
        <f t="shared" si="1531"/>
        <v>0</v>
      </c>
      <c r="AH429" s="787">
        <f t="shared" si="1531"/>
        <v>-0.11762599999999999</v>
      </c>
      <c r="AI429" s="787">
        <f t="shared" si="1531"/>
        <v>1.0802710000000002</v>
      </c>
      <c r="AJ429" s="787">
        <f t="shared" si="1531"/>
        <v>-6.3870999999999983E-2</v>
      </c>
      <c r="AK429" s="787">
        <f t="shared" si="1531"/>
        <v>9.5300999999999997E-2</v>
      </c>
      <c r="AL429" s="787">
        <f t="shared" si="1531"/>
        <v>-5.5800000000000016E-3</v>
      </c>
      <c r="AM429" s="787">
        <f t="shared" si="1531"/>
        <v>6.9821999999999995E-2</v>
      </c>
      <c r="AN429" s="787">
        <f t="shared" si="1531"/>
        <v>6.4634000000000025E-2</v>
      </c>
      <c r="AO429" s="787">
        <f t="shared" si="1531"/>
        <v>-0.15122200000000002</v>
      </c>
      <c r="AP429" s="787">
        <f t="shared" si="1531"/>
        <v>-0.51052500000000001</v>
      </c>
      <c r="AQ429" s="787">
        <f t="shared" si="1531"/>
        <v>-4.3582590000000003</v>
      </c>
      <c r="AR429" s="787">
        <f>SUM(AR425:AR428)</f>
        <v>-3.016</v>
      </c>
      <c r="AS429" s="787">
        <f t="shared" ref="AS429:AT429" si="1532">SUM(AS425:AS428)</f>
        <v>-2.0499999999999998</v>
      </c>
      <c r="AT429" s="787">
        <f t="shared" si="1532"/>
        <v>-2.306</v>
      </c>
      <c r="AU429" s="787">
        <f>AU406</f>
        <v>-1.502</v>
      </c>
      <c r="AV429" s="787">
        <f>AV406</f>
        <v>-1.3120000000000001</v>
      </c>
      <c r="AW429" s="787">
        <f>AW406</f>
        <v>-0.96699999999999997</v>
      </c>
      <c r="AX429" s="787"/>
      <c r="AY429" s="787"/>
      <c r="AZ429" s="787"/>
      <c r="BA429" s="787"/>
      <c r="BB429" s="787"/>
      <c r="BC429" s="787"/>
    </row>
    <row r="430" spans="1:55" s="763" customFormat="1" hidden="1" outlineLevel="1" x14ac:dyDescent="0.25">
      <c r="A430" s="763" t="s">
        <v>362</v>
      </c>
      <c r="E430" s="849"/>
      <c r="H430" s="850"/>
      <c r="J430" s="850"/>
      <c r="L430" s="850"/>
      <c r="N430" s="850"/>
      <c r="P430" s="850"/>
      <c r="R430" s="850"/>
      <c r="T430" s="850"/>
      <c r="V430" s="850"/>
    </row>
    <row r="431" spans="1:55" hidden="1" outlineLevel="1" x14ac:dyDescent="0.25">
      <c r="A431" s="760" t="s">
        <v>353</v>
      </c>
      <c r="C431" s="772">
        <f t="shared" ref="C431:J431" si="1533">C409</f>
        <v>0.97699999999999998</v>
      </c>
      <c r="D431" s="772">
        <f t="shared" si="1533"/>
        <v>0</v>
      </c>
      <c r="E431" s="773">
        <f t="shared" si="1533"/>
        <v>0.51300000000000001</v>
      </c>
      <c r="F431" s="772">
        <f t="shared" si="1533"/>
        <v>0</v>
      </c>
      <c r="G431" s="772">
        <f t="shared" si="1533"/>
        <v>0.21</v>
      </c>
      <c r="H431" s="774">
        <f t="shared" si="1533"/>
        <v>0</v>
      </c>
      <c r="I431" s="772">
        <f t="shared" si="1533"/>
        <v>0.315</v>
      </c>
      <c r="J431" s="774">
        <f t="shared" si="1533"/>
        <v>0</v>
      </c>
      <c r="K431" s="772"/>
      <c r="L431" s="774"/>
      <c r="M431" s="772"/>
      <c r="N431" s="774"/>
      <c r="O431" s="772"/>
      <c r="P431" s="774"/>
      <c r="Q431" s="772"/>
      <c r="R431" s="774"/>
      <c r="S431" s="772"/>
      <c r="T431" s="774"/>
      <c r="U431" s="772"/>
      <c r="V431" s="774"/>
      <c r="W431" s="772"/>
      <c r="AE431" s="772">
        <f t="shared" ref="AE431:AQ431" si="1534">AE409</f>
        <v>0</v>
      </c>
      <c r="AF431" s="772">
        <f t="shared" si="1534"/>
        <v>0</v>
      </c>
      <c r="AG431" s="772">
        <f t="shared" si="1534"/>
        <v>0</v>
      </c>
      <c r="AH431" s="772">
        <f t="shared" si="1534"/>
        <v>0</v>
      </c>
      <c r="AI431" s="772">
        <f t="shared" si="1534"/>
        <v>0</v>
      </c>
      <c r="AJ431" s="772">
        <f t="shared" si="1534"/>
        <v>0</v>
      </c>
      <c r="AK431" s="772">
        <f t="shared" si="1534"/>
        <v>0</v>
      </c>
      <c r="AL431" s="772">
        <f t="shared" si="1534"/>
        <v>0</v>
      </c>
      <c r="AM431" s="772">
        <f t="shared" si="1534"/>
        <v>0</v>
      </c>
      <c r="AN431" s="772">
        <f t="shared" si="1534"/>
        <v>0</v>
      </c>
      <c r="AO431" s="772">
        <f t="shared" si="1534"/>
        <v>0</v>
      </c>
      <c r="AP431" s="772">
        <f t="shared" si="1534"/>
        <v>0</v>
      </c>
      <c r="AQ431" s="772">
        <f t="shared" si="1534"/>
        <v>0.17371</v>
      </c>
      <c r="AR431" s="772">
        <v>0</v>
      </c>
      <c r="AS431" s="772">
        <v>0.17399999999999999</v>
      </c>
      <c r="AT431" s="772">
        <v>0.97699999999999998</v>
      </c>
      <c r="AU431" s="772">
        <v>0.51300000000000001</v>
      </c>
      <c r="AV431" s="772">
        <v>0.21</v>
      </c>
      <c r="AW431" s="772">
        <f>+AW409</f>
        <v>0.315</v>
      </c>
      <c r="AX431" s="772"/>
      <c r="AY431" s="772"/>
      <c r="AZ431" s="772"/>
      <c r="BA431" s="772"/>
      <c r="BB431" s="772"/>
      <c r="BC431" s="772"/>
    </row>
    <row r="432" spans="1:55" hidden="1" outlineLevel="1" x14ac:dyDescent="0.25">
      <c r="A432" s="760" t="s">
        <v>354</v>
      </c>
      <c r="C432" s="772">
        <f t="shared" ref="C432:J433" si="1535">C411</f>
        <v>0.312</v>
      </c>
      <c r="D432" s="772">
        <f t="shared" si="1535"/>
        <v>0.36399999999999999</v>
      </c>
      <c r="E432" s="773">
        <f t="shared" si="1535"/>
        <v>1.772</v>
      </c>
      <c r="F432" s="772">
        <f t="shared" si="1535"/>
        <v>9.9999999999988987E-4</v>
      </c>
      <c r="G432" s="772">
        <f t="shared" si="1535"/>
        <v>0</v>
      </c>
      <c r="H432" s="774">
        <f t="shared" si="1535"/>
        <v>0</v>
      </c>
      <c r="I432" s="772">
        <f t="shared" si="1535"/>
        <v>0</v>
      </c>
      <c r="J432" s="774">
        <f t="shared" si="1535"/>
        <v>0</v>
      </c>
      <c r="K432" s="772"/>
      <c r="L432" s="774"/>
      <c r="M432" s="772"/>
      <c r="N432" s="774"/>
      <c r="O432" s="772"/>
      <c r="P432" s="774"/>
      <c r="Q432" s="772"/>
      <c r="R432" s="774"/>
      <c r="S432" s="772"/>
      <c r="T432" s="774"/>
      <c r="U432" s="772"/>
      <c r="V432" s="774"/>
      <c r="W432" s="772"/>
      <c r="AE432" s="772">
        <f t="shared" ref="AE432:AQ432" si="1536">AE411</f>
        <v>0</v>
      </c>
      <c r="AF432" s="772">
        <f t="shared" si="1536"/>
        <v>0</v>
      </c>
      <c r="AG432" s="772">
        <f t="shared" si="1536"/>
        <v>0</v>
      </c>
      <c r="AH432" s="772">
        <f t="shared" si="1536"/>
        <v>0</v>
      </c>
      <c r="AI432" s="772">
        <f t="shared" si="1536"/>
        <v>0</v>
      </c>
      <c r="AJ432" s="772">
        <f t="shared" si="1536"/>
        <v>0</v>
      </c>
      <c r="AK432" s="772">
        <f t="shared" si="1536"/>
        <v>0</v>
      </c>
      <c r="AL432" s="772">
        <f t="shared" si="1536"/>
        <v>0</v>
      </c>
      <c r="AM432" s="772">
        <f t="shared" si="1536"/>
        <v>0</v>
      </c>
      <c r="AN432" s="772">
        <f t="shared" si="1536"/>
        <v>0</v>
      </c>
      <c r="AO432" s="772">
        <f t="shared" si="1536"/>
        <v>0.17055300000000001</v>
      </c>
      <c r="AP432" s="772">
        <f t="shared" si="1536"/>
        <v>0</v>
      </c>
      <c r="AQ432" s="772">
        <f t="shared" si="1536"/>
        <v>0</v>
      </c>
      <c r="AR432" s="772">
        <v>0</v>
      </c>
      <c r="AS432" s="772">
        <v>0</v>
      </c>
      <c r="AT432" s="772">
        <v>0.67600000000000005</v>
      </c>
      <c r="AU432" s="772">
        <v>1.7729999999999999</v>
      </c>
      <c r="AV432" s="772">
        <v>0</v>
      </c>
      <c r="AW432" s="772">
        <f>+AW411</f>
        <v>0</v>
      </c>
      <c r="AX432" s="772"/>
      <c r="AY432" s="772"/>
      <c r="AZ432" s="772"/>
      <c r="BA432" s="772"/>
      <c r="BB432" s="772"/>
      <c r="BC432" s="772"/>
    </row>
    <row r="433" spans="1:55" hidden="1" outlineLevel="1" x14ac:dyDescent="0.25">
      <c r="A433" s="760" t="s">
        <v>355</v>
      </c>
      <c r="C433" s="772">
        <f t="shared" si="1535"/>
        <v>-7.3289999999999997</v>
      </c>
      <c r="D433" s="772">
        <f t="shared" si="1535"/>
        <v>1.7999999999999999E-2</v>
      </c>
      <c r="E433" s="773">
        <f t="shared" si="1535"/>
        <v>-40.097999999999999</v>
      </c>
      <c r="F433" s="772">
        <f t="shared" si="1535"/>
        <v>-3.355000000000004</v>
      </c>
      <c r="G433" s="772">
        <f t="shared" si="1535"/>
        <v>-35.173999999999999</v>
      </c>
      <c r="H433" s="774">
        <f t="shared" si="1535"/>
        <v>-5.730000000000004</v>
      </c>
      <c r="I433" s="772">
        <f t="shared" si="1535"/>
        <v>-38.79</v>
      </c>
      <c r="J433" s="774">
        <f t="shared" si="1535"/>
        <v>-6.5309999999999988</v>
      </c>
      <c r="K433" s="772"/>
      <c r="L433" s="774"/>
      <c r="M433" s="772"/>
      <c r="N433" s="774"/>
      <c r="O433" s="772"/>
      <c r="P433" s="774"/>
      <c r="Q433" s="772"/>
      <c r="R433" s="774"/>
      <c r="S433" s="772"/>
      <c r="T433" s="774"/>
      <c r="U433" s="772"/>
      <c r="V433" s="774"/>
      <c r="W433" s="772"/>
      <c r="AE433" s="772">
        <f t="shared" ref="AE433:AQ433" si="1537">AE412</f>
        <v>0</v>
      </c>
      <c r="AF433" s="772">
        <f t="shared" si="1537"/>
        <v>0</v>
      </c>
      <c r="AG433" s="772">
        <f t="shared" si="1537"/>
        <v>-0.220918</v>
      </c>
      <c r="AH433" s="772">
        <f t="shared" si="1537"/>
        <v>0</v>
      </c>
      <c r="AI433" s="772">
        <f t="shared" si="1537"/>
        <v>0</v>
      </c>
      <c r="AJ433" s="772">
        <f t="shared" si="1537"/>
        <v>0</v>
      </c>
      <c r="AK433" s="772">
        <f t="shared" si="1537"/>
        <v>0</v>
      </c>
      <c r="AL433" s="772">
        <f t="shared" si="1537"/>
        <v>0</v>
      </c>
      <c r="AM433" s="772">
        <f t="shared" si="1537"/>
        <v>0</v>
      </c>
      <c r="AN433" s="772">
        <f t="shared" si="1537"/>
        <v>-0.12</v>
      </c>
      <c r="AO433" s="772">
        <f t="shared" si="1537"/>
        <v>-9.0007020000000004</v>
      </c>
      <c r="AP433" s="772">
        <f t="shared" si="1537"/>
        <v>0</v>
      </c>
      <c r="AQ433" s="772">
        <f t="shared" si="1537"/>
        <v>-2.0658249999999998</v>
      </c>
      <c r="AR433" s="772">
        <v>-17.266999999999999</v>
      </c>
      <c r="AS433" s="772">
        <v>-4.766</v>
      </c>
      <c r="AT433" s="772">
        <v>-7.3109999999999999</v>
      </c>
      <c r="AU433" s="772">
        <v>-43.453000000000003</v>
      </c>
      <c r="AV433" s="772">
        <v>-40.904000000000003</v>
      </c>
      <c r="AW433" s="772">
        <f>+AW412</f>
        <v>-45.320999999999998</v>
      </c>
      <c r="AX433" s="772"/>
      <c r="AY433" s="772"/>
      <c r="AZ433" s="772"/>
      <c r="BA433" s="772"/>
      <c r="BB433" s="772"/>
      <c r="BC433" s="772"/>
    </row>
    <row r="434" spans="1:55" ht="13" hidden="1" outlineLevel="1" x14ac:dyDescent="0.25">
      <c r="A434" s="760" t="s">
        <v>356</v>
      </c>
      <c r="C434" s="780">
        <f t="shared" ref="C434:J434" si="1538">C415</f>
        <v>-2.5499999999999998</v>
      </c>
      <c r="D434" s="780">
        <f t="shared" si="1538"/>
        <v>2.5000000000000001E-2</v>
      </c>
      <c r="E434" s="781">
        <f t="shared" si="1538"/>
        <v>0.46400000000000002</v>
      </c>
      <c r="F434" s="780">
        <f t="shared" si="1538"/>
        <v>-1.0000000000000009E-3</v>
      </c>
      <c r="G434" s="780">
        <f t="shared" si="1538"/>
        <v>0.108</v>
      </c>
      <c r="H434" s="782">
        <f t="shared" si="1538"/>
        <v>0.20900000000000002</v>
      </c>
      <c r="I434" s="780">
        <f t="shared" si="1538"/>
        <v>0.108</v>
      </c>
      <c r="J434" s="782">
        <f t="shared" si="1538"/>
        <v>0</v>
      </c>
      <c r="K434" s="780"/>
      <c r="L434" s="782"/>
      <c r="M434" s="780"/>
      <c r="N434" s="782"/>
      <c r="O434" s="780"/>
      <c r="P434" s="782"/>
      <c r="Q434" s="780"/>
      <c r="R434" s="782"/>
      <c r="S434" s="780"/>
      <c r="T434" s="782"/>
      <c r="U434" s="780"/>
      <c r="V434" s="782"/>
      <c r="W434" s="780"/>
      <c r="AE434" s="780">
        <f t="shared" ref="AE434:AQ434" si="1539">AE415</f>
        <v>0</v>
      </c>
      <c r="AF434" s="780">
        <f t="shared" si="1539"/>
        <v>0</v>
      </c>
      <c r="AG434" s="780">
        <f t="shared" si="1539"/>
        <v>0</v>
      </c>
      <c r="AH434" s="780">
        <f t="shared" si="1539"/>
        <v>0</v>
      </c>
      <c r="AI434" s="780">
        <f t="shared" si="1539"/>
        <v>0</v>
      </c>
      <c r="AJ434" s="780">
        <f t="shared" si="1539"/>
        <v>0</v>
      </c>
      <c r="AK434" s="780">
        <f t="shared" si="1539"/>
        <v>0</v>
      </c>
      <c r="AL434" s="780">
        <f t="shared" si="1539"/>
        <v>0</v>
      </c>
      <c r="AM434" s="780">
        <f t="shared" si="1539"/>
        <v>0</v>
      </c>
      <c r="AN434" s="780">
        <f t="shared" si="1539"/>
        <v>0</v>
      </c>
      <c r="AO434" s="780">
        <f t="shared" si="1539"/>
        <v>0</v>
      </c>
      <c r="AP434" s="780">
        <f t="shared" si="1539"/>
        <v>0.17638599999999999</v>
      </c>
      <c r="AQ434" s="780">
        <f t="shared" si="1539"/>
        <v>0.20542299999999999</v>
      </c>
      <c r="AR434" s="780">
        <v>1.198</v>
      </c>
      <c r="AS434" s="780">
        <v>1.2999999999999999E-2</v>
      </c>
      <c r="AT434" s="780">
        <v>-2.5249999999999999</v>
      </c>
      <c r="AU434" s="780">
        <v>0.46300000000000002</v>
      </c>
      <c r="AV434" s="780">
        <v>0.317</v>
      </c>
      <c r="AW434" s="780">
        <f>+AW415</f>
        <v>0.11</v>
      </c>
      <c r="AX434" s="780"/>
      <c r="AY434" s="780"/>
      <c r="AZ434" s="780"/>
      <c r="BA434" s="780"/>
      <c r="BB434" s="780"/>
      <c r="BC434" s="780"/>
    </row>
    <row r="435" spans="1:55" s="763" customFormat="1" ht="14.5" hidden="1" outlineLevel="1" x14ac:dyDescent="0.25">
      <c r="A435" s="786" t="s">
        <v>357</v>
      </c>
      <c r="C435" s="803">
        <f t="shared" ref="C435" si="1540">SUM(C431:C434)</f>
        <v>-8.59</v>
      </c>
      <c r="D435" s="803">
        <f t="shared" ref="D435" si="1541">SUM(D431:D434)</f>
        <v>0.40700000000000003</v>
      </c>
      <c r="E435" s="804">
        <f t="shared" ref="E435:F435" si="1542">SUM(E431:E434)</f>
        <v>-37.349000000000004</v>
      </c>
      <c r="F435" s="803">
        <f t="shared" si="1542"/>
        <v>-3.355000000000004</v>
      </c>
      <c r="G435" s="803">
        <f t="shared" ref="G435:H435" si="1543">SUM(G431:G434)</f>
        <v>-34.856000000000002</v>
      </c>
      <c r="H435" s="805">
        <f t="shared" si="1543"/>
        <v>-5.5210000000000043</v>
      </c>
      <c r="I435" s="803">
        <f t="shared" ref="I435:J435" si="1544">SUM(I431:I434)</f>
        <v>-38.367000000000004</v>
      </c>
      <c r="J435" s="805">
        <f t="shared" si="1544"/>
        <v>-6.5309999999999988</v>
      </c>
      <c r="K435" s="803"/>
      <c r="L435" s="805"/>
      <c r="M435" s="803"/>
      <c r="N435" s="805"/>
      <c r="O435" s="803"/>
      <c r="P435" s="805"/>
      <c r="Q435" s="803"/>
      <c r="R435" s="805"/>
      <c r="S435" s="803"/>
      <c r="T435" s="805"/>
      <c r="U435" s="803"/>
      <c r="V435" s="805"/>
      <c r="W435" s="803"/>
      <c r="AE435" s="803">
        <f t="shared" ref="AE435:AQ435" si="1545">SUM(AE431:AE434)</f>
        <v>0</v>
      </c>
      <c r="AF435" s="803">
        <f t="shared" si="1545"/>
        <v>0</v>
      </c>
      <c r="AG435" s="803">
        <f t="shared" si="1545"/>
        <v>-0.220918</v>
      </c>
      <c r="AH435" s="803">
        <f t="shared" si="1545"/>
        <v>0</v>
      </c>
      <c r="AI435" s="803">
        <f t="shared" si="1545"/>
        <v>0</v>
      </c>
      <c r="AJ435" s="803">
        <f t="shared" si="1545"/>
        <v>0</v>
      </c>
      <c r="AK435" s="803">
        <f t="shared" si="1545"/>
        <v>0</v>
      </c>
      <c r="AL435" s="803">
        <f t="shared" si="1545"/>
        <v>0</v>
      </c>
      <c r="AM435" s="803">
        <f t="shared" si="1545"/>
        <v>0</v>
      </c>
      <c r="AN435" s="803">
        <f t="shared" si="1545"/>
        <v>-0.12</v>
      </c>
      <c r="AO435" s="803">
        <f t="shared" si="1545"/>
        <v>-8.8301490000000005</v>
      </c>
      <c r="AP435" s="803">
        <f t="shared" si="1545"/>
        <v>0.17638599999999999</v>
      </c>
      <c r="AQ435" s="803">
        <f t="shared" si="1545"/>
        <v>-1.6866919999999999</v>
      </c>
      <c r="AR435" s="803">
        <f>SUM(AR431:AR434)</f>
        <v>-16.068999999999999</v>
      </c>
      <c r="AS435" s="803">
        <f t="shared" ref="AS435:AT435" si="1546">SUM(AS431:AS434)</f>
        <v>-4.5789999999999997</v>
      </c>
      <c r="AT435" s="803">
        <f t="shared" si="1546"/>
        <v>-8.1829999999999998</v>
      </c>
      <c r="AU435" s="803">
        <f>AU416</f>
        <v>-40.704000000000001</v>
      </c>
      <c r="AV435" s="803">
        <f>AV416</f>
        <v>-40.377000000000002</v>
      </c>
      <c r="AW435" s="803">
        <f>AW416</f>
        <v>-44.896000000000001</v>
      </c>
      <c r="AX435" s="803"/>
      <c r="AY435" s="803"/>
      <c r="AZ435" s="803"/>
      <c r="BA435" s="803"/>
      <c r="BB435" s="803"/>
      <c r="BC435" s="803"/>
    </row>
    <row r="436" spans="1:55" hidden="1" outlineLevel="1" x14ac:dyDescent="0.25">
      <c r="E436" s="790"/>
      <c r="H436" s="791"/>
      <c r="J436" s="791"/>
      <c r="L436" s="791"/>
      <c r="N436" s="791"/>
      <c r="P436" s="791"/>
      <c r="R436" s="791"/>
      <c r="T436" s="791"/>
      <c r="V436" s="791"/>
    </row>
    <row r="437" spans="1:55" collapsed="1" x14ac:dyDescent="0.25">
      <c r="E437" s="790"/>
      <c r="H437" s="791"/>
      <c r="J437" s="791"/>
      <c r="L437" s="791"/>
      <c r="N437" s="791"/>
      <c r="P437" s="791"/>
      <c r="R437" s="791"/>
      <c r="T437" s="791"/>
      <c r="V437" s="791"/>
    </row>
    <row r="438" spans="1:55" x14ac:dyDescent="0.25">
      <c r="L438" s="791"/>
      <c r="N438" s="791"/>
      <c r="P438" s="791"/>
      <c r="R438" s="791"/>
      <c r="T438" s="791"/>
      <c r="V438" s="791"/>
    </row>
    <row r="439" spans="1:55" x14ac:dyDescent="0.25">
      <c r="L439" s="791"/>
      <c r="N439" s="791"/>
      <c r="P439" s="791"/>
      <c r="R439" s="791"/>
      <c r="T439" s="791"/>
      <c r="V439" s="791"/>
    </row>
    <row r="440" spans="1:55" x14ac:dyDescent="0.25">
      <c r="C440" s="793"/>
      <c r="D440" s="793"/>
      <c r="E440" s="793"/>
      <c r="F440" s="793"/>
      <c r="G440" s="793"/>
      <c r="H440" s="793"/>
      <c r="I440" s="793"/>
      <c r="J440" s="793"/>
      <c r="K440" s="793"/>
      <c r="L440" s="795"/>
      <c r="M440" s="793"/>
      <c r="N440" s="795"/>
      <c r="O440" s="793"/>
      <c r="P440" s="795"/>
      <c r="Q440" s="793"/>
      <c r="R440" s="795"/>
      <c r="S440" s="793"/>
      <c r="T440" s="795"/>
      <c r="U440" s="793"/>
      <c r="V440" s="795"/>
      <c r="W440" s="793"/>
      <c r="AE440" s="793"/>
      <c r="AF440" s="793"/>
      <c r="AG440" s="793"/>
      <c r="AH440" s="793"/>
      <c r="AI440" s="793"/>
      <c r="AJ440" s="793"/>
      <c r="AK440" s="793"/>
      <c r="AL440" s="793"/>
      <c r="AM440" s="793"/>
      <c r="AN440" s="793"/>
      <c r="AO440" s="793"/>
      <c r="AP440" s="793"/>
      <c r="AQ440" s="793"/>
      <c r="AR440" s="793"/>
      <c r="AS440" s="793"/>
      <c r="AT440" s="793"/>
      <c r="AU440" s="793"/>
      <c r="AV440" s="793"/>
      <c r="AW440" s="793"/>
      <c r="AX440" s="793"/>
      <c r="AY440" s="793"/>
      <c r="AZ440" s="793"/>
      <c r="BA440" s="793"/>
      <c r="BB440" s="793"/>
      <c r="BC440" s="793"/>
    </row>
    <row r="441" spans="1:55" x14ac:dyDescent="0.25">
      <c r="C441" s="793"/>
      <c r="D441" s="793"/>
      <c r="E441" s="793"/>
      <c r="F441" s="793"/>
      <c r="G441" s="793"/>
      <c r="H441" s="793"/>
      <c r="I441" s="793"/>
      <c r="J441" s="793"/>
      <c r="K441" s="793"/>
      <c r="L441" s="795"/>
      <c r="M441" s="793"/>
      <c r="N441" s="795"/>
      <c r="O441" s="793"/>
      <c r="P441" s="795"/>
      <c r="Q441" s="793"/>
      <c r="R441" s="795"/>
      <c r="S441" s="793"/>
      <c r="T441" s="795"/>
      <c r="U441" s="793"/>
      <c r="V441" s="795"/>
      <c r="W441" s="793"/>
      <c r="AE441" s="793"/>
      <c r="AF441" s="793"/>
      <c r="AG441" s="793"/>
      <c r="AH441" s="793"/>
      <c r="AI441" s="793"/>
      <c r="AJ441" s="793"/>
      <c r="AK441" s="793"/>
      <c r="AL441" s="793"/>
      <c r="AM441" s="793"/>
      <c r="AN441" s="793"/>
      <c r="AO441" s="793"/>
      <c r="AP441" s="793"/>
      <c r="AQ441" s="793"/>
      <c r="AR441" s="793"/>
      <c r="AS441" s="793"/>
      <c r="AT441" s="793"/>
      <c r="AU441" s="793"/>
      <c r="AV441" s="793"/>
      <c r="AW441" s="793"/>
      <c r="AX441" s="793"/>
      <c r="AY441" s="793"/>
      <c r="AZ441" s="793"/>
      <c r="BA441" s="793"/>
      <c r="BB441" s="793"/>
      <c r="BC441" s="793"/>
    </row>
    <row r="442" spans="1:55" x14ac:dyDescent="0.25">
      <c r="C442" s="793"/>
      <c r="D442" s="793"/>
      <c r="E442" s="793"/>
      <c r="F442" s="793"/>
      <c r="G442" s="793"/>
      <c r="H442" s="793"/>
      <c r="I442" s="793"/>
      <c r="J442" s="793"/>
      <c r="K442" s="793"/>
      <c r="L442" s="795"/>
      <c r="M442" s="793"/>
      <c r="N442" s="795"/>
      <c r="O442" s="793"/>
      <c r="P442" s="795"/>
      <c r="Q442" s="793"/>
      <c r="R442" s="795"/>
      <c r="S442" s="793"/>
      <c r="T442" s="795"/>
      <c r="U442" s="793"/>
      <c r="V442" s="795"/>
      <c r="W442" s="793"/>
      <c r="AE442" s="793"/>
      <c r="AF442" s="793"/>
      <c r="AG442" s="793"/>
      <c r="AH442" s="793"/>
      <c r="AI442" s="793"/>
      <c r="AJ442" s="793"/>
      <c r="AK442" s="793"/>
      <c r="AL442" s="793"/>
      <c r="AM442" s="793"/>
      <c r="AN442" s="793"/>
      <c r="AO442" s="793"/>
      <c r="AP442" s="793"/>
      <c r="AQ442" s="793"/>
      <c r="AR442" s="793"/>
      <c r="AS442" s="793"/>
      <c r="AT442" s="793"/>
      <c r="AU442" s="793"/>
      <c r="AV442" s="793"/>
      <c r="AW442" s="793"/>
      <c r="AX442" s="793"/>
      <c r="AY442" s="793"/>
      <c r="AZ442" s="793"/>
      <c r="BA442" s="793"/>
      <c r="BB442" s="793"/>
      <c r="BC442" s="793"/>
    </row>
    <row r="443" spans="1:55" x14ac:dyDescent="0.25">
      <c r="L443" s="791"/>
      <c r="N443" s="791"/>
      <c r="P443" s="791"/>
      <c r="R443" s="791"/>
      <c r="T443" s="791"/>
      <c r="V443" s="791"/>
    </row>
    <row r="444" spans="1:55" x14ac:dyDescent="0.25">
      <c r="L444" s="791"/>
      <c r="N444" s="791"/>
      <c r="P444" s="791"/>
      <c r="R444" s="791"/>
      <c r="T444" s="791"/>
      <c r="V444" s="791"/>
    </row>
    <row r="445" spans="1:55" x14ac:dyDescent="0.25">
      <c r="L445" s="791"/>
      <c r="N445" s="791"/>
      <c r="P445" s="791"/>
      <c r="R445" s="791"/>
      <c r="T445" s="791"/>
      <c r="V445" s="791"/>
    </row>
    <row r="446" spans="1:55" x14ac:dyDescent="0.25">
      <c r="L446" s="791"/>
      <c r="N446" s="791"/>
      <c r="P446" s="791"/>
      <c r="R446" s="791"/>
      <c r="T446" s="791"/>
      <c r="V446" s="791"/>
    </row>
    <row r="447" spans="1:55" x14ac:dyDescent="0.25">
      <c r="L447" s="791"/>
      <c r="N447" s="791"/>
      <c r="P447" s="791"/>
      <c r="R447" s="791"/>
      <c r="T447" s="791"/>
      <c r="V447" s="791"/>
    </row>
    <row r="448" spans="1:55" x14ac:dyDescent="0.25">
      <c r="L448" s="791"/>
      <c r="N448" s="791"/>
      <c r="P448" s="791"/>
      <c r="R448" s="791"/>
      <c r="T448" s="791"/>
      <c r="V448" s="791"/>
    </row>
    <row r="449" spans="12:22" x14ac:dyDescent="0.25">
      <c r="L449" s="791"/>
      <c r="N449" s="791"/>
      <c r="P449" s="791"/>
      <c r="R449" s="791"/>
      <c r="T449" s="791"/>
      <c r="V449" s="791"/>
    </row>
    <row r="450" spans="12:22" x14ac:dyDescent="0.25">
      <c r="L450" s="791"/>
      <c r="N450" s="791"/>
      <c r="P450" s="791"/>
      <c r="R450" s="791"/>
      <c r="T450" s="791"/>
      <c r="V450" s="791"/>
    </row>
    <row r="451" spans="12:22" x14ac:dyDescent="0.25">
      <c r="L451" s="791"/>
      <c r="N451" s="791"/>
      <c r="P451" s="791"/>
      <c r="R451" s="791"/>
      <c r="T451" s="791"/>
      <c r="V451" s="791"/>
    </row>
    <row r="452" spans="12:22" x14ac:dyDescent="0.25">
      <c r="L452" s="791"/>
      <c r="N452" s="791"/>
      <c r="P452" s="791"/>
      <c r="R452" s="791"/>
      <c r="T452" s="791"/>
      <c r="V452" s="791"/>
    </row>
    <row r="453" spans="12:22" x14ac:dyDescent="0.25">
      <c r="L453" s="791"/>
      <c r="N453" s="791"/>
      <c r="P453" s="791"/>
      <c r="R453" s="791"/>
      <c r="T453" s="791"/>
      <c r="V453" s="791"/>
    </row>
    <row r="454" spans="12:22" x14ac:dyDescent="0.25">
      <c r="L454" s="791"/>
      <c r="N454" s="791"/>
      <c r="P454" s="791"/>
      <c r="R454" s="791"/>
      <c r="T454" s="791"/>
      <c r="V454" s="791"/>
    </row>
    <row r="455" spans="12:22" x14ac:dyDescent="0.25">
      <c r="L455" s="791"/>
      <c r="N455" s="791"/>
      <c r="P455" s="791"/>
      <c r="R455" s="791"/>
      <c r="T455" s="791"/>
      <c r="V455" s="791"/>
    </row>
    <row r="456" spans="12:22" x14ac:dyDescent="0.25">
      <c r="L456" s="791"/>
      <c r="N456" s="791"/>
      <c r="P456" s="791"/>
      <c r="R456" s="791"/>
      <c r="T456" s="791"/>
      <c r="V456" s="791"/>
    </row>
    <row r="457" spans="12:22" x14ac:dyDescent="0.25">
      <c r="L457" s="791"/>
      <c r="N457" s="791"/>
      <c r="P457" s="791"/>
      <c r="R457" s="791"/>
      <c r="T457" s="791"/>
      <c r="V457" s="791"/>
    </row>
    <row r="458" spans="12:22" x14ac:dyDescent="0.25">
      <c r="L458" s="791"/>
      <c r="N458" s="791"/>
      <c r="P458" s="791"/>
      <c r="R458" s="791"/>
      <c r="T458" s="791"/>
      <c r="V458" s="791"/>
    </row>
    <row r="459" spans="12:22" x14ac:dyDescent="0.25">
      <c r="L459" s="791"/>
      <c r="N459" s="791"/>
      <c r="P459" s="791"/>
      <c r="R459" s="791"/>
      <c r="T459" s="791"/>
      <c r="V459" s="791"/>
    </row>
    <row r="460" spans="12:22" x14ac:dyDescent="0.25">
      <c r="L460" s="791"/>
      <c r="N460" s="791"/>
      <c r="P460" s="791"/>
      <c r="R460" s="791"/>
      <c r="T460" s="791"/>
      <c r="V460" s="791"/>
    </row>
    <row r="461" spans="12:22" x14ac:dyDescent="0.25">
      <c r="L461" s="791"/>
      <c r="N461" s="791"/>
      <c r="P461" s="791"/>
      <c r="R461" s="791"/>
      <c r="T461" s="791"/>
      <c r="V461" s="791"/>
    </row>
    <row r="462" spans="12:22" x14ac:dyDescent="0.25">
      <c r="L462" s="791"/>
      <c r="N462" s="791"/>
      <c r="P462" s="791"/>
      <c r="R462" s="791"/>
      <c r="T462" s="791"/>
      <c r="V462" s="791"/>
    </row>
    <row r="463" spans="12:22" x14ac:dyDescent="0.25">
      <c r="L463" s="791"/>
      <c r="N463" s="791"/>
      <c r="P463" s="791"/>
      <c r="R463" s="791"/>
      <c r="T463" s="791"/>
      <c r="V463" s="791"/>
    </row>
  </sheetData>
  <printOptions horizontalCentered="1"/>
  <pageMargins left="0.3" right="0.3" top="0.3" bottom="0.3" header="0.3" footer="0.3"/>
  <pageSetup scale="41" fitToHeight="0" orientation="landscape" r:id="rId1"/>
  <headerFooter>
    <oddFooter>Page &amp;P</oddFooter>
  </headerFooter>
  <rowBreaks count="3" manualBreakCount="3">
    <brk id="202" max="53" man="1"/>
    <brk id="299" max="53" man="1"/>
    <brk id="375" max="53" man="1"/>
  </rowBreaks>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9D69C-C6CC-477B-9570-4A85BBC72586}">
  <sheetPr>
    <pageSetUpPr fitToPage="1"/>
  </sheetPr>
  <dimension ref="A1:BO58"/>
  <sheetViews>
    <sheetView view="pageBreakPreview" zoomScale="70" zoomScaleNormal="100" zoomScaleSheetLayoutView="70" workbookViewId="0">
      <selection activeCell="M91" sqref="M91"/>
    </sheetView>
  </sheetViews>
  <sheetFormatPr defaultRowHeight="14.5" x14ac:dyDescent="0.35"/>
  <cols>
    <col min="1" max="1" width="6" customWidth="1"/>
    <col min="2" max="2" width="12.81640625" customWidth="1"/>
    <col min="3" max="3" width="10.453125" customWidth="1"/>
    <col min="4" max="4" width="30" customWidth="1"/>
    <col min="5" max="5" width="42.7265625" customWidth="1"/>
    <col min="6" max="6" width="9.453125" customWidth="1"/>
    <col min="7" max="7" width="18.26953125" customWidth="1"/>
    <col min="8" max="8" width="19.1796875" customWidth="1"/>
    <col min="9" max="9" width="8.54296875" customWidth="1"/>
    <col min="10" max="10" width="17.7265625" customWidth="1"/>
    <col min="11" max="11" width="20.453125" customWidth="1"/>
  </cols>
  <sheetData>
    <row r="1" spans="1:67" s="760" customFormat="1" ht="12" x14ac:dyDescent="0.3">
      <c r="A1" s="754" t="s">
        <v>0</v>
      </c>
      <c r="H1" s="1202"/>
      <c r="K1" s="1202">
        <f ca="1">TODAY()</f>
        <v>45797</v>
      </c>
      <c r="AQ1" s="761"/>
      <c r="AR1" s="761"/>
      <c r="AS1" s="761"/>
      <c r="AT1" s="761"/>
      <c r="AU1" s="761"/>
      <c r="AV1" s="761"/>
      <c r="AW1" s="762"/>
      <c r="AX1" s="761"/>
      <c r="BJ1" s="761"/>
      <c r="BK1" s="761"/>
      <c r="BL1" s="761"/>
      <c r="BM1" s="761"/>
      <c r="BN1" s="761"/>
      <c r="BO1" s="761"/>
    </row>
    <row r="2" spans="1:67" s="764" customFormat="1" ht="11.5" x14ac:dyDescent="0.25">
      <c r="A2" s="1230" t="s">
        <v>363</v>
      </c>
      <c r="BF2" s="1231"/>
      <c r="BG2" s="1231"/>
      <c r="BH2" s="1231"/>
      <c r="BJ2" s="1231"/>
      <c r="BK2" s="1231"/>
      <c r="BL2" s="1231"/>
      <c r="BM2" s="1231"/>
      <c r="BN2" s="1231"/>
      <c r="BO2" s="1231"/>
    </row>
    <row r="4" spans="1:67" ht="14.5" customHeight="1" x14ac:dyDescent="0.35">
      <c r="A4" s="1206"/>
      <c r="B4" s="1557" t="s">
        <v>364</v>
      </c>
      <c r="C4" s="1207"/>
      <c r="D4" s="1559" t="s">
        <v>365</v>
      </c>
      <c r="E4" s="1559"/>
      <c r="F4" s="1206"/>
      <c r="G4" s="1559" t="s">
        <v>366</v>
      </c>
      <c r="H4" s="1559"/>
      <c r="I4" s="1206"/>
      <c r="J4" s="1559" t="s">
        <v>367</v>
      </c>
      <c r="K4" s="1559"/>
    </row>
    <row r="5" spans="1:67" x14ac:dyDescent="0.35">
      <c r="A5" s="1208" t="s">
        <v>368</v>
      </c>
      <c r="B5" s="1558"/>
      <c r="C5" s="1209"/>
      <c r="D5" s="1225" t="s">
        <v>42</v>
      </c>
      <c r="E5" s="1224" t="s">
        <v>230</v>
      </c>
      <c r="F5" s="1208"/>
      <c r="G5" s="1229" t="s">
        <v>42</v>
      </c>
      <c r="H5" s="1208" t="s">
        <v>230</v>
      </c>
      <c r="I5" s="1208"/>
      <c r="J5" s="1229" t="s">
        <v>42</v>
      </c>
      <c r="K5" s="1208" t="s">
        <v>230</v>
      </c>
    </row>
    <row r="6" spans="1:67" ht="44.15" customHeight="1" x14ac:dyDescent="0.35">
      <c r="A6" s="1211">
        <v>2025</v>
      </c>
      <c r="B6" s="1212">
        <v>45616</v>
      </c>
      <c r="C6" s="1212"/>
      <c r="D6" s="1556" t="s">
        <v>369</v>
      </c>
      <c r="E6" s="1556"/>
      <c r="F6" s="1213"/>
      <c r="G6" s="1227" t="s">
        <v>370</v>
      </c>
      <c r="H6" s="1213" t="s">
        <v>371</v>
      </c>
      <c r="I6" s="1213"/>
      <c r="J6" s="1227" t="s">
        <v>372</v>
      </c>
      <c r="K6" s="1238" t="s">
        <v>373</v>
      </c>
      <c r="L6" s="1205"/>
      <c r="M6" s="1205"/>
      <c r="N6" s="1205"/>
      <c r="O6" s="1245"/>
      <c r="P6" s="1245"/>
      <c r="Q6" s="1205"/>
    </row>
    <row r="7" spans="1:67" s="1255" customFormat="1" ht="59.15" customHeight="1" x14ac:dyDescent="0.35">
      <c r="A7" s="1247">
        <v>2025</v>
      </c>
      <c r="B7" s="1248">
        <v>45589</v>
      </c>
      <c r="C7" s="1248"/>
      <c r="D7" s="1249" t="s">
        <v>374</v>
      </c>
      <c r="E7" s="1250" t="s">
        <v>375</v>
      </c>
      <c r="F7" s="1251"/>
      <c r="G7" s="1252" t="s">
        <v>376</v>
      </c>
      <c r="H7" s="1251" t="s">
        <v>377</v>
      </c>
      <c r="I7" s="1251"/>
      <c r="J7" s="1333"/>
      <c r="K7" s="1334"/>
      <c r="L7" s="1254"/>
      <c r="M7" s="1254">
        <f>+'Historicals and forecast'!AX18</f>
        <v>0</v>
      </c>
      <c r="N7" s="1254">
        <f>+'Historicals and forecast'!AX41</f>
        <v>0</v>
      </c>
      <c r="O7"/>
      <c r="P7" s="1254"/>
    </row>
    <row r="8" spans="1:67" ht="30.65" customHeight="1" x14ac:dyDescent="0.35">
      <c r="A8" s="1211">
        <v>2024</v>
      </c>
      <c r="B8" s="1212">
        <v>45440</v>
      </c>
      <c r="C8" s="1212"/>
      <c r="D8" s="1556" t="s">
        <v>378</v>
      </c>
      <c r="E8" s="1556"/>
      <c r="F8" s="1213"/>
      <c r="G8" s="1227" t="s">
        <v>379</v>
      </c>
      <c r="H8" s="1213" t="s">
        <v>380</v>
      </c>
      <c r="I8" s="1213"/>
      <c r="J8" s="1227" t="s">
        <v>379</v>
      </c>
      <c r="K8" s="1238" t="s">
        <v>381</v>
      </c>
      <c r="L8" s="1205"/>
      <c r="M8" s="1205"/>
      <c r="N8" s="1205"/>
      <c r="O8" s="1245"/>
      <c r="P8" s="1245"/>
      <c r="Q8" s="1205"/>
    </row>
    <row r="9" spans="1:67" s="1246" customFormat="1" ht="49" customHeight="1" x14ac:dyDescent="0.35">
      <c r="A9" s="1240">
        <v>2024</v>
      </c>
      <c r="B9" s="1241">
        <v>45377</v>
      </c>
      <c r="C9" s="1241"/>
      <c r="D9" s="1554" t="s">
        <v>382</v>
      </c>
      <c r="E9" s="1554"/>
      <c r="F9" s="1242"/>
      <c r="G9" s="1243" t="s">
        <v>383</v>
      </c>
      <c r="H9" s="1242" t="s">
        <v>384</v>
      </c>
      <c r="I9" s="1242"/>
      <c r="J9" s="1415"/>
      <c r="K9" s="1416"/>
      <c r="L9" s="1245"/>
      <c r="M9"/>
      <c r="N9"/>
      <c r="O9"/>
      <c r="P9"/>
    </row>
    <row r="10" spans="1:67" ht="30.65" customHeight="1" x14ac:dyDescent="0.35">
      <c r="A10" s="1211">
        <v>2024</v>
      </c>
      <c r="B10" s="1212">
        <v>45258</v>
      </c>
      <c r="C10" s="1212"/>
      <c r="D10" s="1556" t="s">
        <v>385</v>
      </c>
      <c r="E10" s="1556"/>
      <c r="F10" s="1213"/>
      <c r="G10" s="1227" t="s">
        <v>386</v>
      </c>
      <c r="H10" s="1213" t="s">
        <v>387</v>
      </c>
      <c r="I10" s="1213"/>
      <c r="J10" s="1227"/>
      <c r="K10" s="1238"/>
      <c r="L10" s="1205"/>
      <c r="M10" s="1205"/>
      <c r="N10" s="1205"/>
      <c r="O10" s="1245"/>
      <c r="P10" s="1245"/>
      <c r="Q10" s="1205"/>
    </row>
    <row r="11" spans="1:67" s="1255" customFormat="1" ht="59.15" customHeight="1" x14ac:dyDescent="0.35">
      <c r="A11" s="1247">
        <v>2024</v>
      </c>
      <c r="B11" s="1248">
        <v>45223</v>
      </c>
      <c r="C11" s="1248"/>
      <c r="D11" s="1249" t="s">
        <v>388</v>
      </c>
      <c r="E11" s="1250" t="s">
        <v>389</v>
      </c>
      <c r="F11" s="1251"/>
      <c r="G11" s="1252" t="s">
        <v>390</v>
      </c>
      <c r="H11" s="1251" t="s">
        <v>391</v>
      </c>
      <c r="I11" s="1251"/>
      <c r="J11" s="1333"/>
      <c r="K11" s="1334"/>
      <c r="L11" s="1254"/>
      <c r="M11" s="1254">
        <f>+'Historicals and forecast'!AX22</f>
        <v>417.75299999999999</v>
      </c>
      <c r="N11" s="1254">
        <f>+'Historicals and forecast'!AX45</f>
        <v>154.06399999999999</v>
      </c>
      <c r="O11"/>
      <c r="P11" s="1254"/>
    </row>
    <row r="12" spans="1:67" ht="30.65" customHeight="1" x14ac:dyDescent="0.35">
      <c r="A12" s="1211">
        <v>2023</v>
      </c>
      <c r="B12" s="1212">
        <v>45076</v>
      </c>
      <c r="C12" s="1212"/>
      <c r="D12" s="1556" t="s">
        <v>392</v>
      </c>
      <c r="E12" s="1556"/>
      <c r="F12" s="1213"/>
      <c r="G12" s="1226" t="s">
        <v>393</v>
      </c>
      <c r="H12" s="1238" t="s">
        <v>394</v>
      </c>
      <c r="I12" s="1213"/>
      <c r="J12" s="1226" t="s">
        <v>395</v>
      </c>
      <c r="K12" s="1238" t="s">
        <v>396</v>
      </c>
      <c r="L12" s="1205"/>
      <c r="M12" s="1414">
        <f>+'Historicals and forecast'!AX23</f>
        <v>0.11749458309926974</v>
      </c>
      <c r="N12" s="1254">
        <f>+'Historicals and forecast'!AX46</f>
        <v>9.3427963094393052E-2</v>
      </c>
      <c r="O12" s="1205"/>
      <c r="P12" s="1205"/>
    </row>
    <row r="13" spans="1:67" s="1246" customFormat="1" ht="30.65" customHeight="1" x14ac:dyDescent="0.35">
      <c r="A13" s="1240">
        <v>2023</v>
      </c>
      <c r="B13" s="1241">
        <v>45013</v>
      </c>
      <c r="C13" s="1241"/>
      <c r="D13" s="1554" t="s">
        <v>397</v>
      </c>
      <c r="E13" s="1554"/>
      <c r="F13" s="1242"/>
      <c r="G13" s="1243" t="s">
        <v>398</v>
      </c>
      <c r="H13" s="1242" t="s">
        <v>399</v>
      </c>
      <c r="I13" s="1242"/>
      <c r="J13" s="1243"/>
      <c r="K13" s="1244"/>
      <c r="L13" s="1245"/>
      <c r="M13" s="1254"/>
      <c r="N13" s="1254">
        <f>+'Historicals and forecast'!AX48</f>
        <v>0.3687920852752703</v>
      </c>
      <c r="O13" s="1254"/>
      <c r="P13" s="1245"/>
    </row>
    <row r="14" spans="1:67" ht="30.65" customHeight="1" x14ac:dyDescent="0.35">
      <c r="A14" s="1211">
        <v>2023</v>
      </c>
      <c r="B14" s="1212">
        <v>44887</v>
      </c>
      <c r="C14" s="1212"/>
      <c r="D14" s="1556" t="s">
        <v>400</v>
      </c>
      <c r="E14" s="1556"/>
      <c r="F14" s="1213"/>
      <c r="G14" s="1227" t="s">
        <v>398</v>
      </c>
      <c r="H14" s="1213" t="s">
        <v>401</v>
      </c>
      <c r="I14" s="1213"/>
      <c r="J14" s="1227"/>
      <c r="K14" s="1215"/>
      <c r="L14" s="1205"/>
      <c r="M14" s="1205"/>
      <c r="N14" s="1205"/>
      <c r="O14" s="1245"/>
      <c r="P14" s="1245"/>
      <c r="Q14" s="1205"/>
    </row>
    <row r="15" spans="1:67" s="1255" customFormat="1" ht="30.65" customHeight="1" x14ac:dyDescent="0.35">
      <c r="A15" s="1247">
        <v>2023</v>
      </c>
      <c r="B15" s="1248">
        <v>44859</v>
      </c>
      <c r="C15" s="1248"/>
      <c r="D15" s="1249" t="s">
        <v>402</v>
      </c>
      <c r="E15" s="1250" t="s">
        <v>403</v>
      </c>
      <c r="F15" s="1251"/>
      <c r="G15" s="1252" t="s">
        <v>404</v>
      </c>
      <c r="H15" s="1251" t="s">
        <v>405</v>
      </c>
      <c r="I15" s="1251"/>
      <c r="J15" s="1252"/>
      <c r="K15" s="1253"/>
      <c r="L15" s="1254"/>
      <c r="M15" s="1254"/>
      <c r="N15" s="1254"/>
      <c r="O15" s="1254"/>
      <c r="P15" s="1254"/>
    </row>
    <row r="16" spans="1:67" ht="30.65" customHeight="1" x14ac:dyDescent="0.35">
      <c r="A16" s="1211">
        <v>2022</v>
      </c>
      <c r="B16" s="1212">
        <v>44706</v>
      </c>
      <c r="C16" s="1212"/>
      <c r="D16" s="1223"/>
      <c r="E16" s="1210" t="s">
        <v>406</v>
      </c>
      <c r="F16" s="1213"/>
      <c r="G16" s="1226" t="s">
        <v>407</v>
      </c>
      <c r="H16" s="1238" t="s">
        <v>408</v>
      </c>
      <c r="I16" s="1213"/>
      <c r="J16" s="1226" t="s">
        <v>409</v>
      </c>
      <c r="K16" s="1238" t="s">
        <v>410</v>
      </c>
      <c r="L16" s="1205"/>
      <c r="M16" s="1205"/>
      <c r="N16" s="1205"/>
      <c r="O16" s="1205"/>
      <c r="P16" s="1205"/>
    </row>
    <row r="17" spans="1:16" s="1246" customFormat="1" ht="30.65" customHeight="1" x14ac:dyDescent="0.35">
      <c r="A17" s="1240">
        <v>2022</v>
      </c>
      <c r="B17" s="1241">
        <v>44642</v>
      </c>
      <c r="C17" s="1241"/>
      <c r="D17" s="1256"/>
      <c r="E17" s="1257" t="s">
        <v>411</v>
      </c>
      <c r="F17" s="1242"/>
      <c r="G17" s="1243" t="s">
        <v>412</v>
      </c>
      <c r="H17" s="1242" t="s">
        <v>413</v>
      </c>
      <c r="I17" s="1242"/>
      <c r="J17" s="1243"/>
      <c r="K17" s="1244"/>
      <c r="L17" s="1245"/>
      <c r="M17" s="1245"/>
      <c r="N17" s="1245"/>
      <c r="O17" s="1245"/>
      <c r="P17" s="1245"/>
    </row>
    <row r="18" spans="1:16" ht="30.65" customHeight="1" x14ac:dyDescent="0.35">
      <c r="A18" s="1211">
        <v>2022</v>
      </c>
      <c r="B18" s="1212">
        <v>44523</v>
      </c>
      <c r="C18" s="1212"/>
      <c r="D18" s="1556" t="s">
        <v>414</v>
      </c>
      <c r="E18" s="1556"/>
      <c r="F18" s="1213"/>
      <c r="G18" s="1227" t="s">
        <v>415</v>
      </c>
      <c r="H18" s="1213" t="s">
        <v>416</v>
      </c>
      <c r="I18" s="1213"/>
      <c r="J18" s="1227"/>
      <c r="K18" s="1215"/>
      <c r="L18" s="1205"/>
      <c r="M18" s="1205"/>
      <c r="N18" s="1245"/>
    </row>
    <row r="19" spans="1:16" s="1255" customFormat="1" ht="30.65" customHeight="1" x14ac:dyDescent="0.35">
      <c r="A19" s="1247">
        <v>2022</v>
      </c>
      <c r="B19" s="1248">
        <v>44495</v>
      </c>
      <c r="C19" s="1248"/>
      <c r="D19" s="1249" t="s">
        <v>417</v>
      </c>
      <c r="E19" s="1250" t="s">
        <v>418</v>
      </c>
      <c r="F19" s="1251"/>
      <c r="G19" s="1252" t="s">
        <v>419</v>
      </c>
      <c r="H19" s="1251" t="s">
        <v>420</v>
      </c>
      <c r="I19" s="1251"/>
      <c r="J19" s="1252"/>
      <c r="K19" s="1253"/>
      <c r="L19" s="1254"/>
      <c r="M19" s="1254"/>
      <c r="N19" s="1254"/>
      <c r="O19" s="1254"/>
      <c r="P19" s="1254"/>
    </row>
    <row r="20" spans="1:16" s="1205" customFormat="1" ht="29.5" customHeight="1" x14ac:dyDescent="0.35">
      <c r="A20" s="1211">
        <v>2021</v>
      </c>
      <c r="B20" s="1212">
        <v>44342</v>
      </c>
      <c r="C20" s="1212"/>
      <c r="D20" s="1556" t="s">
        <v>421</v>
      </c>
      <c r="E20" s="1556"/>
      <c r="F20" s="1213"/>
      <c r="G20" s="1226" t="s">
        <v>422</v>
      </c>
      <c r="H20" s="1238" t="s">
        <v>423</v>
      </c>
      <c r="I20" s="1213"/>
      <c r="J20" s="1226" t="s">
        <v>424</v>
      </c>
      <c r="K20" s="1238" t="s">
        <v>425</v>
      </c>
    </row>
    <row r="21" spans="1:16" s="1245" customFormat="1" ht="29.5" customHeight="1" x14ac:dyDescent="0.35">
      <c r="A21" s="1240">
        <v>2021</v>
      </c>
      <c r="B21" s="1241">
        <v>44279</v>
      </c>
      <c r="C21" s="1241"/>
      <c r="D21" s="1554" t="s">
        <v>426</v>
      </c>
      <c r="E21" s="1554"/>
      <c r="F21" s="1242"/>
      <c r="G21" s="1243" t="s">
        <v>427</v>
      </c>
      <c r="H21" s="1242" t="s">
        <v>428</v>
      </c>
      <c r="I21" s="1242"/>
      <c r="J21" s="1243"/>
      <c r="K21" s="1244"/>
    </row>
    <row r="22" spans="1:16" s="1205" customFormat="1" ht="60.75" customHeight="1" x14ac:dyDescent="0.35">
      <c r="A22" s="1211">
        <v>2021</v>
      </c>
      <c r="B22" s="1212">
        <v>44201</v>
      </c>
      <c r="C22" s="1212"/>
      <c r="D22" s="1556" t="s">
        <v>429</v>
      </c>
      <c r="E22" s="1556"/>
      <c r="F22" s="1213"/>
      <c r="G22" s="1227" t="s">
        <v>430</v>
      </c>
      <c r="H22" s="1213" t="s">
        <v>431</v>
      </c>
      <c r="I22" s="1213"/>
      <c r="J22" s="1227"/>
      <c r="K22" s="1215"/>
    </row>
    <row r="23" spans="1:16" s="1245" customFormat="1" ht="33" customHeight="1" x14ac:dyDescent="0.35">
      <c r="A23" s="1240">
        <v>2021</v>
      </c>
      <c r="B23" s="1241">
        <v>44151</v>
      </c>
      <c r="C23" s="1241"/>
      <c r="D23" s="1554" t="s">
        <v>432</v>
      </c>
      <c r="E23" s="1554"/>
      <c r="F23" s="1242"/>
      <c r="G23" s="1243" t="s">
        <v>430</v>
      </c>
      <c r="H23" s="1242" t="s">
        <v>431</v>
      </c>
      <c r="I23" s="1242"/>
      <c r="J23" s="1243"/>
      <c r="K23" s="1244"/>
    </row>
    <row r="24" spans="1:16" s="1221" customFormat="1" ht="58" x14ac:dyDescent="0.35">
      <c r="A24" s="1217">
        <v>2021</v>
      </c>
      <c r="B24" s="1218">
        <v>44124</v>
      </c>
      <c r="C24" s="1218"/>
      <c r="D24" s="1222" t="s">
        <v>433</v>
      </c>
      <c r="E24" s="1216" t="s">
        <v>434</v>
      </c>
      <c r="F24" s="1219"/>
      <c r="G24" s="1228" t="s">
        <v>435</v>
      </c>
      <c r="H24" s="1219" t="s">
        <v>436</v>
      </c>
      <c r="I24" s="1219"/>
      <c r="J24" s="1228"/>
      <c r="K24" s="1220"/>
    </row>
    <row r="25" spans="1:16" s="1245" customFormat="1" ht="60" customHeight="1" x14ac:dyDescent="0.35">
      <c r="A25" s="1240">
        <v>2020</v>
      </c>
      <c r="B25" s="1241">
        <v>44062</v>
      </c>
      <c r="C25" s="1241"/>
      <c r="D25" s="1554" t="s">
        <v>437</v>
      </c>
      <c r="E25" s="1554"/>
      <c r="F25" s="1242"/>
      <c r="G25" s="1243" t="s">
        <v>438</v>
      </c>
      <c r="H25" s="1242" t="s">
        <v>439</v>
      </c>
      <c r="I25" s="1242"/>
      <c r="J25" s="1258" t="s">
        <v>440</v>
      </c>
      <c r="K25" s="1259" t="s">
        <v>441</v>
      </c>
    </row>
    <row r="26" spans="1:16" s="1205" customFormat="1" ht="66.650000000000006" customHeight="1" x14ac:dyDescent="0.35">
      <c r="A26" s="1211">
        <v>2020</v>
      </c>
      <c r="B26" s="1212">
        <v>43977</v>
      </c>
      <c r="C26" s="1212"/>
      <c r="D26" s="1556" t="s">
        <v>442</v>
      </c>
      <c r="E26" s="1556"/>
      <c r="F26" s="1213"/>
      <c r="G26" s="1227" t="s">
        <v>443</v>
      </c>
      <c r="H26" s="1213" t="s">
        <v>444</v>
      </c>
      <c r="I26" s="1213"/>
      <c r="J26" s="1226"/>
      <c r="K26" s="1214"/>
    </row>
    <row r="27" spans="1:16" s="1245" customFormat="1" ht="32.5" customHeight="1" x14ac:dyDescent="0.35">
      <c r="A27" s="1240">
        <v>2020</v>
      </c>
      <c r="B27" s="1241">
        <v>43907</v>
      </c>
      <c r="C27" s="1241"/>
      <c r="D27" s="1554" t="s">
        <v>445</v>
      </c>
      <c r="E27" s="1554"/>
      <c r="F27" s="1242"/>
      <c r="G27" s="1243" t="s">
        <v>446</v>
      </c>
      <c r="H27" s="1242" t="s">
        <v>447</v>
      </c>
      <c r="I27" s="1242"/>
      <c r="J27" s="1258"/>
      <c r="K27" s="1260"/>
    </row>
    <row r="28" spans="1:16" s="1205" customFormat="1" ht="34.5" customHeight="1" x14ac:dyDescent="0.35">
      <c r="A28" s="1211">
        <v>2020</v>
      </c>
      <c r="B28" s="1212">
        <v>43795</v>
      </c>
      <c r="C28" s="1212"/>
      <c r="D28" s="1556" t="s">
        <v>448</v>
      </c>
      <c r="E28" s="1556"/>
      <c r="F28" s="1213"/>
      <c r="G28" s="1227" t="s">
        <v>449</v>
      </c>
      <c r="H28" s="1213" t="s">
        <v>450</v>
      </c>
      <c r="I28" s="1213"/>
      <c r="J28" s="1226"/>
      <c r="K28" s="1214"/>
    </row>
    <row r="29" spans="1:16" s="1254" customFormat="1" ht="58.5" customHeight="1" x14ac:dyDescent="0.35">
      <c r="A29" s="1247">
        <v>2020</v>
      </c>
      <c r="B29" s="1248">
        <v>43760</v>
      </c>
      <c r="C29" s="1248"/>
      <c r="D29" s="1555" t="s">
        <v>451</v>
      </c>
      <c r="E29" s="1555"/>
      <c r="F29" s="1251"/>
      <c r="G29" s="1252" t="s">
        <v>452</v>
      </c>
      <c r="H29" s="1251" t="s">
        <v>453</v>
      </c>
      <c r="I29" s="1251"/>
      <c r="J29" s="1252"/>
      <c r="K29" s="1253"/>
    </row>
    <row r="30" spans="1:16" s="1205" customFormat="1" ht="32.15" customHeight="1" x14ac:dyDescent="0.35">
      <c r="A30" s="1211">
        <v>2019</v>
      </c>
      <c r="B30" s="1212">
        <v>43605</v>
      </c>
      <c r="C30" s="1212"/>
      <c r="D30" s="1556" t="s">
        <v>454</v>
      </c>
      <c r="E30" s="1556"/>
      <c r="F30" s="1213"/>
      <c r="G30" s="1227" t="s">
        <v>52</v>
      </c>
      <c r="H30" s="1215" t="s">
        <v>52</v>
      </c>
      <c r="I30" s="1213"/>
      <c r="J30" s="1226" t="s">
        <v>455</v>
      </c>
      <c r="K30" s="1238" t="s">
        <v>456</v>
      </c>
    </row>
    <row r="31" spans="1:16" s="1245" customFormat="1" ht="31.5" customHeight="1" x14ac:dyDescent="0.35">
      <c r="A31" s="1240">
        <v>2019</v>
      </c>
      <c r="B31" s="1241">
        <v>43543</v>
      </c>
      <c r="C31" s="1241"/>
      <c r="D31" s="1554" t="s">
        <v>457</v>
      </c>
      <c r="E31" s="1554"/>
      <c r="F31" s="1242"/>
      <c r="G31" s="1243" t="s">
        <v>52</v>
      </c>
      <c r="H31" s="1244" t="s">
        <v>52</v>
      </c>
      <c r="I31" s="1242"/>
      <c r="J31" s="1258"/>
      <c r="K31" s="1260"/>
    </row>
    <row r="32" spans="1:16" s="1205" customFormat="1" ht="29.15" customHeight="1" x14ac:dyDescent="0.35">
      <c r="A32" s="1211">
        <v>2019</v>
      </c>
      <c r="B32" s="1212">
        <v>43468</v>
      </c>
      <c r="C32" s="1212"/>
      <c r="D32" s="1556" t="s">
        <v>458</v>
      </c>
      <c r="E32" s="1556"/>
      <c r="F32" s="1213"/>
      <c r="G32" s="1227" t="s">
        <v>52</v>
      </c>
      <c r="H32" s="1215" t="s">
        <v>52</v>
      </c>
      <c r="I32" s="1213"/>
      <c r="J32" s="1226"/>
      <c r="K32" s="1214"/>
    </row>
    <row r="33" spans="1:13" s="1245" customFormat="1" ht="29.15" customHeight="1" x14ac:dyDescent="0.35">
      <c r="A33" s="1240">
        <v>2019</v>
      </c>
      <c r="B33" s="1241">
        <v>43432</v>
      </c>
      <c r="C33" s="1241"/>
      <c r="D33" s="1554" t="s">
        <v>459</v>
      </c>
      <c r="E33" s="1554"/>
      <c r="F33" s="1242"/>
      <c r="G33" s="1243" t="s">
        <v>52</v>
      </c>
      <c r="H33" s="1244" t="s">
        <v>52</v>
      </c>
      <c r="I33" s="1242"/>
      <c r="J33" s="1258"/>
      <c r="K33" s="1260"/>
    </row>
    <row r="34" spans="1:13" s="1221" customFormat="1" ht="45" customHeight="1" x14ac:dyDescent="0.35">
      <c r="A34" s="1217">
        <v>2019</v>
      </c>
      <c r="B34" s="1218">
        <v>43390</v>
      </c>
      <c r="C34" s="1218"/>
      <c r="D34" s="1561" t="s">
        <v>460</v>
      </c>
      <c r="E34" s="1561"/>
      <c r="F34" s="1219"/>
      <c r="G34" s="1228" t="s">
        <v>52</v>
      </c>
      <c r="H34" s="1220" t="s">
        <v>52</v>
      </c>
      <c r="I34" s="1219"/>
      <c r="J34" s="1228"/>
      <c r="K34" s="1220"/>
    </row>
    <row r="35" spans="1:13" s="1245" customFormat="1" ht="28.5" customHeight="1" x14ac:dyDescent="0.35">
      <c r="A35" s="1240">
        <v>2018</v>
      </c>
      <c r="B35" s="1241">
        <v>43291</v>
      </c>
      <c r="C35" s="1241"/>
      <c r="D35" s="1261"/>
      <c r="E35" s="1257" t="s">
        <v>461</v>
      </c>
      <c r="F35" s="1242"/>
      <c r="G35" s="1258" t="s">
        <v>52</v>
      </c>
      <c r="H35" s="1260" t="s">
        <v>52</v>
      </c>
      <c r="I35" s="1242"/>
      <c r="J35" s="1258" t="s">
        <v>462</v>
      </c>
      <c r="K35" s="1259" t="s">
        <v>463</v>
      </c>
    </row>
    <row r="36" spans="1:13" s="1205" customFormat="1" ht="31.5" customHeight="1" x14ac:dyDescent="0.35">
      <c r="A36" s="1211">
        <v>2018</v>
      </c>
      <c r="B36" s="1212">
        <v>43243</v>
      </c>
      <c r="C36" s="1212"/>
      <c r="D36" s="1556" t="s">
        <v>464</v>
      </c>
      <c r="E36" s="1556"/>
      <c r="F36" s="1213"/>
      <c r="G36" s="1227" t="s">
        <v>52</v>
      </c>
      <c r="H36" s="1215" t="s">
        <v>52</v>
      </c>
      <c r="I36" s="1213"/>
      <c r="J36" s="1227"/>
      <c r="K36" s="1215"/>
    </row>
    <row r="37" spans="1:13" s="1245" customFormat="1" ht="45.65" customHeight="1" x14ac:dyDescent="0.35">
      <c r="A37" s="1240">
        <v>2018</v>
      </c>
      <c r="B37" s="1241">
        <v>43180</v>
      </c>
      <c r="C37" s="1241"/>
      <c r="D37" s="1554" t="s">
        <v>465</v>
      </c>
      <c r="E37" s="1554"/>
      <c r="F37" s="1242"/>
      <c r="G37" s="1243" t="s">
        <v>52</v>
      </c>
      <c r="H37" s="1244" t="s">
        <v>52</v>
      </c>
      <c r="I37" s="1242"/>
      <c r="J37" s="1243"/>
      <c r="K37" s="1244"/>
    </row>
    <row r="38" spans="1:13" s="1205" customFormat="1" ht="31" customHeight="1" x14ac:dyDescent="0.35">
      <c r="A38" s="1211">
        <v>2018</v>
      </c>
      <c r="B38" s="1212">
        <v>43068</v>
      </c>
      <c r="C38" s="1212"/>
      <c r="D38" s="1556" t="s">
        <v>466</v>
      </c>
      <c r="E38" s="1556"/>
      <c r="F38" s="1213"/>
      <c r="G38" s="1227" t="s">
        <v>52</v>
      </c>
      <c r="H38" s="1215" t="s">
        <v>52</v>
      </c>
      <c r="I38" s="1213"/>
      <c r="J38" s="1227"/>
      <c r="K38" s="1215"/>
    </row>
    <row r="39" spans="1:13" s="1254" customFormat="1" ht="30.75" customHeight="1" x14ac:dyDescent="0.35">
      <c r="A39" s="1247">
        <v>2018</v>
      </c>
      <c r="B39" s="1248">
        <v>43026</v>
      </c>
      <c r="C39" s="1248"/>
      <c r="D39" s="1555" t="s">
        <v>467</v>
      </c>
      <c r="E39" s="1555"/>
      <c r="F39" s="1251"/>
      <c r="G39" s="1252" t="s">
        <v>52</v>
      </c>
      <c r="H39" s="1253" t="s">
        <v>52</v>
      </c>
      <c r="I39" s="1251"/>
      <c r="J39" s="1252"/>
      <c r="K39" s="1253"/>
    </row>
    <row r="40" spans="1:13" s="1237" customFormat="1" ht="43.5" customHeight="1" x14ac:dyDescent="0.35">
      <c r="A40" s="1232">
        <v>2017</v>
      </c>
      <c r="B40" s="1233">
        <v>42879</v>
      </c>
      <c r="C40" s="1233"/>
      <c r="D40" s="1560" t="s">
        <v>468</v>
      </c>
      <c r="E40" s="1560"/>
      <c r="F40" s="1234"/>
      <c r="G40" s="1235" t="s">
        <v>52</v>
      </c>
      <c r="H40" s="1236" t="s">
        <v>52</v>
      </c>
      <c r="I40" s="1234"/>
      <c r="J40" s="1235" t="s">
        <v>469</v>
      </c>
      <c r="K40" s="1239" t="s">
        <v>470</v>
      </c>
    </row>
    <row r="41" spans="1:13" s="1245" customFormat="1" ht="58.5" customHeight="1" x14ac:dyDescent="0.35">
      <c r="A41" s="1240">
        <v>2017</v>
      </c>
      <c r="B41" s="1241">
        <v>42815</v>
      </c>
      <c r="C41" s="1241"/>
      <c r="D41" s="1554" t="s">
        <v>471</v>
      </c>
      <c r="E41" s="1554" t="s">
        <v>471</v>
      </c>
      <c r="F41" s="1242"/>
      <c r="G41" s="1243" t="s">
        <v>52</v>
      </c>
      <c r="H41" s="1244" t="s">
        <v>52</v>
      </c>
      <c r="I41" s="1242"/>
      <c r="J41" s="1243"/>
      <c r="K41" s="1244"/>
    </row>
    <row r="42" spans="1:13" s="1205" customFormat="1" ht="33" customHeight="1" x14ac:dyDescent="0.35">
      <c r="A42" s="1211">
        <v>2017</v>
      </c>
      <c r="B42" s="1212">
        <v>42697</v>
      </c>
      <c r="C42" s="1212"/>
      <c r="D42" s="1223"/>
      <c r="E42" s="1210" t="s">
        <v>472</v>
      </c>
      <c r="F42" s="1213"/>
      <c r="G42" s="1226" t="s">
        <v>52</v>
      </c>
      <c r="H42" s="1214" t="s">
        <v>52</v>
      </c>
      <c r="I42" s="1213"/>
      <c r="J42" s="1226"/>
      <c r="K42" s="1214"/>
    </row>
    <row r="43" spans="1:13" s="1254" customFormat="1" ht="43.5" customHeight="1" x14ac:dyDescent="0.35">
      <c r="A43" s="1247">
        <v>2017</v>
      </c>
      <c r="B43" s="1248">
        <v>42662</v>
      </c>
      <c r="C43" s="1248"/>
      <c r="D43" s="1555" t="s">
        <v>473</v>
      </c>
      <c r="E43" s="1555"/>
      <c r="F43" s="1251"/>
      <c r="G43" s="1262" t="s">
        <v>52</v>
      </c>
      <c r="H43" s="1263" t="s">
        <v>52</v>
      </c>
      <c r="I43" s="1251"/>
      <c r="J43" s="1262"/>
      <c r="K43" s="1263"/>
    </row>
    <row r="44" spans="1:13" s="1205" customFormat="1" ht="43.5" customHeight="1" x14ac:dyDescent="0.35">
      <c r="A44" s="1211">
        <v>2016</v>
      </c>
      <c r="B44" s="1212">
        <v>42514</v>
      </c>
      <c r="C44" s="1212"/>
      <c r="D44" s="1556" t="s">
        <v>474</v>
      </c>
      <c r="E44" s="1556"/>
      <c r="F44" s="1213"/>
      <c r="G44" s="1226" t="s">
        <v>52</v>
      </c>
      <c r="H44" s="1214" t="s">
        <v>52</v>
      </c>
      <c r="I44" s="1213"/>
      <c r="J44" s="1226" t="s">
        <v>475</v>
      </c>
      <c r="K44" s="1238" t="s">
        <v>476</v>
      </c>
    </row>
    <row r="45" spans="1:13" s="1245" customFormat="1" ht="29" x14ac:dyDescent="0.35">
      <c r="A45" s="1240">
        <v>2016</v>
      </c>
      <c r="B45" s="1241">
        <v>42446</v>
      </c>
      <c r="C45" s="1241"/>
      <c r="D45" s="1256"/>
      <c r="E45" s="1257" t="s">
        <v>477</v>
      </c>
      <c r="F45" s="1242"/>
      <c r="G45" s="1258" t="s">
        <v>52</v>
      </c>
      <c r="H45" s="1260" t="s">
        <v>52</v>
      </c>
      <c r="I45" s="1242"/>
      <c r="J45" s="1258"/>
      <c r="K45" s="1260"/>
      <c r="M45" s="1264"/>
    </row>
    <row r="46" spans="1:13" s="1205" customFormat="1" ht="30" customHeight="1" x14ac:dyDescent="0.35">
      <c r="A46" s="1211">
        <v>2016</v>
      </c>
      <c r="B46" s="1212">
        <v>42340</v>
      </c>
      <c r="D46" s="1556" t="s">
        <v>478</v>
      </c>
      <c r="E46" s="1556"/>
      <c r="F46" s="1204"/>
      <c r="G46" s="1226" t="s">
        <v>52</v>
      </c>
      <c r="H46" s="1214" t="s">
        <v>52</v>
      </c>
      <c r="I46" s="1204"/>
      <c r="J46" s="1226"/>
      <c r="K46" s="1214"/>
    </row>
    <row r="47" spans="1:13" s="1205" customFormat="1" x14ac:dyDescent="0.35">
      <c r="D47" s="1201"/>
      <c r="E47" s="1201"/>
      <c r="F47" s="1204"/>
      <c r="I47" s="1204"/>
    </row>
    <row r="48" spans="1:13" s="1205" customFormat="1" x14ac:dyDescent="0.35">
      <c r="D48" s="1201"/>
      <c r="E48" s="1201"/>
      <c r="F48" s="1204"/>
      <c r="I48" s="1204"/>
    </row>
    <row r="49" spans="1:16" s="1205" customFormat="1" x14ac:dyDescent="0.35">
      <c r="D49" s="1201"/>
      <c r="E49" s="1201"/>
      <c r="F49" s="1204"/>
      <c r="I49" s="1204"/>
    </row>
    <row r="50" spans="1:16" s="1205" customFormat="1" x14ac:dyDescent="0.35">
      <c r="D50" s="1203"/>
      <c r="E50" s="1203"/>
    </row>
    <row r="51" spans="1:16" s="1205" customFormat="1" x14ac:dyDescent="0.35">
      <c r="D51" s="1203"/>
      <c r="E51" s="1203"/>
    </row>
    <row r="52" spans="1:16" x14ac:dyDescent="0.35">
      <c r="A52" s="1205"/>
      <c r="B52" s="1205"/>
      <c r="C52" s="1205"/>
      <c r="D52" s="1203"/>
      <c r="E52" s="1203"/>
      <c r="F52" s="1205"/>
      <c r="G52" s="1205"/>
      <c r="H52" s="1205"/>
      <c r="I52" s="1205"/>
      <c r="J52" s="1205"/>
      <c r="K52" s="1205"/>
      <c r="L52" s="1205"/>
      <c r="M52" s="1205"/>
      <c r="N52" s="1205"/>
      <c r="O52" s="1205"/>
      <c r="P52" s="1205"/>
    </row>
    <row r="53" spans="1:16" x14ac:dyDescent="0.35">
      <c r="A53" s="1205"/>
      <c r="B53" s="1205"/>
      <c r="C53" s="1205"/>
      <c r="D53" s="1203"/>
      <c r="E53" s="1203"/>
      <c r="F53" s="1205"/>
      <c r="G53" s="1205"/>
      <c r="H53" s="1205"/>
      <c r="I53" s="1205"/>
      <c r="J53" s="1205"/>
      <c r="K53" s="1205"/>
      <c r="L53" s="1205"/>
      <c r="M53" s="1205"/>
      <c r="N53" s="1205"/>
      <c r="O53" s="1205"/>
      <c r="P53" s="1205"/>
    </row>
    <row r="54" spans="1:16" x14ac:dyDescent="0.35">
      <c r="A54" s="1205"/>
      <c r="B54" s="1205"/>
      <c r="C54" s="1205"/>
      <c r="D54" s="1205"/>
      <c r="E54" s="1205"/>
      <c r="F54" s="1205"/>
      <c r="G54" s="1205"/>
      <c r="H54" s="1205"/>
      <c r="I54" s="1205"/>
      <c r="J54" s="1205"/>
      <c r="K54" s="1205"/>
      <c r="L54" s="1205"/>
      <c r="M54" s="1205"/>
      <c r="N54" s="1205"/>
      <c r="O54" s="1205"/>
      <c r="P54" s="1205"/>
    </row>
    <row r="55" spans="1:16" x14ac:dyDescent="0.35">
      <c r="A55" s="1205"/>
      <c r="B55" s="1205"/>
      <c r="C55" s="1205"/>
      <c r="D55" s="1205"/>
      <c r="E55" s="1205"/>
      <c r="F55" s="1205"/>
      <c r="G55" s="1205"/>
      <c r="H55" s="1205"/>
      <c r="I55" s="1205"/>
      <c r="J55" s="1205"/>
      <c r="K55" s="1205"/>
      <c r="L55" s="1205"/>
      <c r="M55" s="1205"/>
      <c r="N55" s="1205"/>
      <c r="O55" s="1205"/>
      <c r="P55" s="1205"/>
    </row>
    <row r="56" spans="1:16" x14ac:dyDescent="0.35">
      <c r="A56" s="1205"/>
      <c r="B56" s="1205"/>
      <c r="C56" s="1205"/>
      <c r="D56" s="1205"/>
      <c r="E56" s="1205"/>
      <c r="F56" s="1205"/>
      <c r="G56" s="1205"/>
      <c r="H56" s="1205"/>
      <c r="I56" s="1205"/>
      <c r="J56" s="1205"/>
      <c r="K56" s="1205"/>
      <c r="L56" s="1205"/>
      <c r="M56" s="1205"/>
      <c r="N56" s="1205"/>
      <c r="O56" s="1205"/>
      <c r="P56" s="1205"/>
    </row>
    <row r="57" spans="1:16" x14ac:dyDescent="0.35">
      <c r="A57" s="1205"/>
      <c r="B57" s="1205"/>
      <c r="C57" s="1205"/>
      <c r="D57" s="1205"/>
      <c r="E57" s="1205"/>
      <c r="F57" s="1205"/>
      <c r="G57" s="1205"/>
      <c r="H57" s="1205"/>
      <c r="I57" s="1205"/>
      <c r="J57" s="1205"/>
      <c r="K57" s="1205"/>
      <c r="L57" s="1205"/>
      <c r="M57" s="1205"/>
      <c r="N57" s="1205"/>
      <c r="O57" s="1205"/>
      <c r="P57" s="1205"/>
    </row>
    <row r="58" spans="1:16" x14ac:dyDescent="0.35">
      <c r="A58" s="1205"/>
      <c r="B58" s="1205"/>
      <c r="C58" s="1205"/>
      <c r="D58" s="1205"/>
      <c r="E58" s="1205"/>
      <c r="F58" s="1205"/>
      <c r="G58" s="1205"/>
      <c r="H58" s="1205"/>
      <c r="I58" s="1205"/>
      <c r="J58" s="1205"/>
      <c r="K58" s="1205"/>
      <c r="L58" s="1205"/>
      <c r="M58" s="1205"/>
      <c r="N58" s="1205"/>
      <c r="O58" s="1205"/>
      <c r="P58" s="1205"/>
    </row>
  </sheetData>
  <mergeCells count="35">
    <mergeCell ref="D31:E31"/>
    <mergeCell ref="D30:E30"/>
    <mergeCell ref="D28:E28"/>
    <mergeCell ref="D34:E34"/>
    <mergeCell ref="D36:E36"/>
    <mergeCell ref="D39:E39"/>
    <mergeCell ref="D37:E37"/>
    <mergeCell ref="D32:E32"/>
    <mergeCell ref="D33:E33"/>
    <mergeCell ref="D46:E46"/>
    <mergeCell ref="D44:E44"/>
    <mergeCell ref="D41:E41"/>
    <mergeCell ref="D43:E43"/>
    <mergeCell ref="D38:E38"/>
    <mergeCell ref="D40:E40"/>
    <mergeCell ref="B4:B5"/>
    <mergeCell ref="D4:E4"/>
    <mergeCell ref="J4:K4"/>
    <mergeCell ref="D12:E12"/>
    <mergeCell ref="D20:E20"/>
    <mergeCell ref="D14:E14"/>
    <mergeCell ref="D13:E13"/>
    <mergeCell ref="D18:E18"/>
    <mergeCell ref="G4:H4"/>
    <mergeCell ref="D10:E10"/>
    <mergeCell ref="D9:E9"/>
    <mergeCell ref="D8:E8"/>
    <mergeCell ref="D6:E6"/>
    <mergeCell ref="D21:E21"/>
    <mergeCell ref="D29:E29"/>
    <mergeCell ref="D27:E27"/>
    <mergeCell ref="D26:E26"/>
    <mergeCell ref="D23:E23"/>
    <mergeCell ref="D22:E22"/>
    <mergeCell ref="D25:E25"/>
  </mergeCells>
  <printOptions horizontalCentered="1"/>
  <pageMargins left="0.3" right="0.3" top="0.3" bottom="0.3" header="0.3" footer="0.3"/>
  <pageSetup paperSize="9" scale="50" fitToHeight="0" orientation="portrait" r:id="rId1"/>
  <headerFooter>
    <oddFooter>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6028F-063D-43A5-9951-C6C9569AE80E}">
  <sheetPr>
    <pageSetUpPr fitToPage="1"/>
  </sheetPr>
  <dimension ref="A1:AZ44"/>
  <sheetViews>
    <sheetView view="pageBreakPreview" zoomScale="70" zoomScaleNormal="85" zoomScaleSheetLayoutView="70" workbookViewId="0">
      <selection activeCell="V31" sqref="V31"/>
    </sheetView>
  </sheetViews>
  <sheetFormatPr defaultColWidth="9.1796875" defaultRowHeight="14.5" outlineLevelRow="1" outlineLevelCol="1" x14ac:dyDescent="0.35"/>
  <cols>
    <col min="1" max="1" width="29" customWidth="1"/>
    <col min="2" max="2" width="5.1796875" customWidth="1"/>
    <col min="3" max="4" width="9.1796875" hidden="1" customWidth="1" outlineLevel="1"/>
    <col min="5" max="5" width="9.1796875" collapsed="1"/>
    <col min="23" max="24" width="0" hidden="1" customWidth="1" outlineLevel="1"/>
    <col min="25" max="25" width="9.1796875" collapsed="1"/>
    <col min="26" max="39" width="0" hidden="1" customWidth="1" outlineLevel="1"/>
    <col min="40" max="41" width="0" hidden="1" customWidth="1" outlineLevel="1" collapsed="1"/>
    <col min="42" max="42" width="9.1796875" collapsed="1"/>
    <col min="46" max="46" width="9" bestFit="1" customWidth="1"/>
    <col min="51" max="51" width="0" hidden="1" customWidth="1" outlineLevel="1"/>
    <col min="52" max="52" width="9.1796875" collapsed="1"/>
  </cols>
  <sheetData>
    <row r="1" spans="1:51" x14ac:dyDescent="0.35">
      <c r="A1" t="s">
        <v>479</v>
      </c>
    </row>
    <row r="2" spans="1:51" s="1464" customFormat="1" x14ac:dyDescent="0.35">
      <c r="A2" s="1464" t="s">
        <v>480</v>
      </c>
    </row>
    <row r="3" spans="1:51" x14ac:dyDescent="0.35">
      <c r="A3" s="1421" t="s">
        <v>481</v>
      </c>
    </row>
    <row r="5" spans="1:51" ht="16" x14ac:dyDescent="0.5">
      <c r="A5" s="1467"/>
      <c r="B5" s="1467"/>
      <c r="D5" s="1468"/>
      <c r="E5" s="1468" t="s">
        <v>113</v>
      </c>
      <c r="F5" s="1468"/>
      <c r="G5" s="1468"/>
      <c r="H5" s="1468"/>
      <c r="I5" s="1468"/>
      <c r="J5" s="1468"/>
      <c r="K5" s="1468"/>
      <c r="L5" s="1468"/>
      <c r="M5" s="1468"/>
      <c r="N5" s="1468"/>
      <c r="O5" s="1468"/>
      <c r="P5" s="1468"/>
      <c r="Q5" s="1468"/>
      <c r="R5" s="1468"/>
      <c r="S5" s="1468"/>
      <c r="T5" s="1468"/>
      <c r="U5" s="1468"/>
      <c r="V5" s="1468"/>
      <c r="W5" s="1468"/>
      <c r="X5" s="1468"/>
      <c r="Y5" s="1467"/>
      <c r="Z5" s="1468"/>
      <c r="AA5" s="1468"/>
      <c r="AB5" s="1468"/>
      <c r="AC5" s="1468"/>
      <c r="AD5" s="1468"/>
      <c r="AE5" s="1468"/>
      <c r="AH5" s="1468"/>
      <c r="AI5" s="1468"/>
      <c r="AJ5" s="1468"/>
      <c r="AK5" s="1468"/>
      <c r="AL5" s="1468"/>
      <c r="AM5" s="1468"/>
      <c r="AN5" s="1468" t="s">
        <v>113</v>
      </c>
      <c r="AO5" s="1468" t="s">
        <v>113</v>
      </c>
      <c r="AP5" s="1468" t="s">
        <v>113</v>
      </c>
      <c r="AQ5" s="1468"/>
      <c r="AR5" s="1468"/>
      <c r="AS5" s="1468"/>
      <c r="AT5" s="1468"/>
      <c r="AU5" s="1468"/>
      <c r="AV5" s="1468"/>
      <c r="AW5" s="1468"/>
      <c r="AX5" s="1468"/>
      <c r="AY5" s="1468"/>
    </row>
    <row r="6" spans="1:51" x14ac:dyDescent="0.35">
      <c r="A6" s="1469"/>
      <c r="B6" s="1469"/>
      <c r="C6" s="1470" t="s">
        <v>117</v>
      </c>
      <c r="D6" s="1470" t="s">
        <v>118</v>
      </c>
      <c r="E6" s="1470" t="s">
        <v>119</v>
      </c>
      <c r="F6" s="1471" t="s">
        <v>120</v>
      </c>
      <c r="G6" s="1470" t="s">
        <v>121</v>
      </c>
      <c r="H6" s="1471" t="s">
        <v>122</v>
      </c>
      <c r="I6" s="1470" t="s">
        <v>123</v>
      </c>
      <c r="J6" s="1471" t="s">
        <v>124</v>
      </c>
      <c r="K6" s="1470" t="s">
        <v>125</v>
      </c>
      <c r="L6" s="1471" t="s">
        <v>126</v>
      </c>
      <c r="M6" s="1470" t="s">
        <v>127</v>
      </c>
      <c r="N6" s="1471" t="s">
        <v>128</v>
      </c>
      <c r="O6" s="1470" t="s">
        <v>129</v>
      </c>
      <c r="P6" s="1471" t="s">
        <v>130</v>
      </c>
      <c r="Q6" s="1470" t="s">
        <v>131</v>
      </c>
      <c r="R6" s="1471" t="s">
        <v>132</v>
      </c>
      <c r="S6" s="1470" t="s">
        <v>133</v>
      </c>
      <c r="T6" s="1471" t="s">
        <v>134</v>
      </c>
      <c r="U6" s="1470" t="s">
        <v>135</v>
      </c>
      <c r="V6" s="1470" t="s">
        <v>136</v>
      </c>
      <c r="W6" s="1470" t="s">
        <v>137</v>
      </c>
      <c r="X6" s="1470" t="s">
        <v>138</v>
      </c>
      <c r="Y6" s="1470"/>
      <c r="Z6" s="1470">
        <f t="shared" ref="Z6:AB6" si="0">AA6-1</f>
        <v>2000</v>
      </c>
      <c r="AA6" s="1470">
        <f t="shared" si="0"/>
        <v>2001</v>
      </c>
      <c r="AB6" s="1470">
        <f t="shared" si="0"/>
        <v>2002</v>
      </c>
      <c r="AC6" s="1470">
        <f>AD6-1</f>
        <v>2003</v>
      </c>
      <c r="AD6" s="1470">
        <v>2004</v>
      </c>
      <c r="AE6" s="1470">
        <f t="shared" ref="AE6:AF6" si="1">+AD6+1</f>
        <v>2005</v>
      </c>
      <c r="AF6" s="1470">
        <f t="shared" si="1"/>
        <v>2006</v>
      </c>
      <c r="AG6" s="1470">
        <f>+AF6+1</f>
        <v>2007</v>
      </c>
      <c r="AH6" s="1470">
        <f t="shared" ref="AH6:AO6" si="2">+AG6+1</f>
        <v>2008</v>
      </c>
      <c r="AI6" s="1470">
        <f t="shared" si="2"/>
        <v>2009</v>
      </c>
      <c r="AJ6" s="1470">
        <f t="shared" si="2"/>
        <v>2010</v>
      </c>
      <c r="AK6" s="1470">
        <f t="shared" si="2"/>
        <v>2011</v>
      </c>
      <c r="AL6" s="1470">
        <f t="shared" si="2"/>
        <v>2012</v>
      </c>
      <c r="AM6" s="1470">
        <f t="shared" si="2"/>
        <v>2013</v>
      </c>
      <c r="AN6" s="1470">
        <f t="shared" si="2"/>
        <v>2014</v>
      </c>
      <c r="AO6" s="1470">
        <f t="shared" si="2"/>
        <v>2015</v>
      </c>
      <c r="AP6" s="1470">
        <v>2016</v>
      </c>
      <c r="AQ6" s="1470">
        <v>2017</v>
      </c>
      <c r="AR6" s="1470">
        <v>2018</v>
      </c>
      <c r="AS6" s="1470">
        <v>2019</v>
      </c>
      <c r="AT6" s="1470">
        <v>2020</v>
      </c>
      <c r="AU6" s="1470">
        <v>2021</v>
      </c>
      <c r="AV6" s="1470">
        <v>2022</v>
      </c>
      <c r="AW6" s="1470">
        <v>2023</v>
      </c>
      <c r="AX6" s="1470">
        <v>2024</v>
      </c>
      <c r="AY6" s="1470" t="s">
        <v>139</v>
      </c>
    </row>
    <row r="7" spans="1:51" ht="16" x14ac:dyDescent="0.5">
      <c r="A7" s="1467"/>
      <c r="B7" s="1467"/>
      <c r="C7" s="1472"/>
      <c r="D7" s="1472"/>
      <c r="E7" s="1472"/>
      <c r="F7" s="1473"/>
      <c r="G7" s="1472"/>
      <c r="H7" s="1473"/>
      <c r="I7" s="1472"/>
      <c r="J7" s="1473"/>
      <c r="K7" s="1472"/>
      <c r="L7" s="1473"/>
      <c r="M7" s="1472"/>
      <c r="N7" s="1473"/>
      <c r="O7" s="1472"/>
      <c r="P7" s="1473"/>
      <c r="Q7" s="1472"/>
      <c r="R7" s="1473"/>
      <c r="S7" s="1472"/>
      <c r="T7" s="1474"/>
      <c r="U7" s="1475"/>
      <c r="V7" s="1475"/>
      <c r="W7" s="1475"/>
      <c r="X7" s="1475"/>
      <c r="Y7" s="1467"/>
      <c r="Z7" s="1473"/>
      <c r="AA7" s="1476"/>
      <c r="AB7" s="1476"/>
      <c r="AC7" s="1476"/>
      <c r="AD7" s="1476"/>
      <c r="AE7" s="1477"/>
      <c r="AF7" s="1472"/>
      <c r="AG7" s="1472"/>
      <c r="AH7" s="1472"/>
      <c r="AI7" s="1472"/>
      <c r="AJ7" s="1472"/>
      <c r="AK7" s="1472"/>
      <c r="AL7" s="1472"/>
      <c r="AM7" s="1472"/>
      <c r="AN7" s="1472"/>
      <c r="AO7" s="1472"/>
      <c r="AP7" s="1472"/>
      <c r="AQ7" s="1472"/>
      <c r="AR7" s="1472"/>
      <c r="AS7" s="1472"/>
      <c r="AT7" s="1472"/>
      <c r="AU7" s="1472"/>
      <c r="AV7" s="1472"/>
      <c r="AW7" s="1475"/>
      <c r="AX7" s="1475"/>
      <c r="AY7" s="1475"/>
    </row>
    <row r="8" spans="1:51" x14ac:dyDescent="0.35">
      <c r="A8" s="1478" t="s">
        <v>479</v>
      </c>
      <c r="B8" s="1467"/>
      <c r="C8" s="1472"/>
      <c r="D8" s="1472"/>
      <c r="E8" s="1472"/>
      <c r="F8" s="1473"/>
      <c r="G8" s="1472"/>
      <c r="H8" s="1473"/>
      <c r="I8" s="1472"/>
      <c r="J8" s="1473"/>
      <c r="K8" s="1472"/>
      <c r="L8" s="1473"/>
      <c r="M8" s="1472"/>
      <c r="N8" s="1473"/>
      <c r="O8" s="1472"/>
      <c r="P8" s="1473"/>
      <c r="Q8" s="1472"/>
      <c r="R8" s="1473"/>
      <c r="S8" s="1479"/>
      <c r="T8" s="1473"/>
      <c r="U8" s="1472"/>
      <c r="V8" s="1472"/>
      <c r="W8" s="1472"/>
      <c r="X8" s="1472"/>
      <c r="Y8" s="1467"/>
      <c r="Z8" s="1473"/>
      <c r="AA8" s="1476"/>
      <c r="AB8" s="1476"/>
      <c r="AC8" s="1476"/>
      <c r="AD8" s="1476"/>
      <c r="AE8" s="1477"/>
      <c r="AF8" s="1472"/>
      <c r="AG8" s="1472"/>
      <c r="AH8" s="1472"/>
      <c r="AI8" s="1472"/>
      <c r="AJ8" s="1472"/>
      <c r="AK8" s="1472"/>
      <c r="AL8" s="1472"/>
      <c r="AM8" s="1472"/>
      <c r="AN8" s="1472"/>
      <c r="AO8" s="1472"/>
      <c r="AP8" s="1472"/>
      <c r="AQ8" s="1472"/>
      <c r="AR8" s="1472"/>
      <c r="AS8" s="1472"/>
      <c r="AT8" s="1472"/>
      <c r="AU8" s="1472"/>
      <c r="AV8" s="1472"/>
      <c r="AW8" s="1472"/>
      <c r="AX8" s="1472"/>
      <c r="AY8" s="1472"/>
    </row>
    <row r="9" spans="1:51" hidden="1" outlineLevel="1" x14ac:dyDescent="0.35">
      <c r="A9" s="1467"/>
      <c r="B9" s="1467"/>
      <c r="C9" s="1472"/>
      <c r="D9" s="1472"/>
      <c r="E9" s="1472"/>
      <c r="F9" s="1473"/>
      <c r="G9" s="1472"/>
      <c r="H9" s="1473"/>
      <c r="I9" s="1472"/>
      <c r="J9" s="1473"/>
      <c r="K9" s="1472"/>
      <c r="L9" s="1473"/>
      <c r="M9" s="1472"/>
      <c r="N9" s="1473"/>
      <c r="O9" s="1472"/>
      <c r="P9" s="1473"/>
      <c r="Q9" s="1472"/>
      <c r="R9" s="1473"/>
      <c r="S9" s="1472"/>
      <c r="T9" s="1473"/>
      <c r="U9" s="1472"/>
      <c r="V9" s="1472"/>
      <c r="W9" s="1480"/>
      <c r="X9" s="1472"/>
      <c r="Y9" s="1467"/>
      <c r="Z9" s="1473"/>
      <c r="AA9" s="1476"/>
      <c r="AB9" s="1476"/>
      <c r="AC9" s="1476"/>
      <c r="AD9" s="1476"/>
      <c r="AE9" s="1477"/>
      <c r="AF9" s="1472"/>
      <c r="AG9" s="1472"/>
      <c r="AH9" s="1472"/>
      <c r="AI9" s="1472"/>
      <c r="AJ9" s="1472"/>
      <c r="AK9" s="1472"/>
      <c r="AL9" s="1472"/>
      <c r="AM9" s="1472"/>
      <c r="AN9" s="1472"/>
      <c r="AO9" s="1472"/>
      <c r="AP9" s="1472"/>
      <c r="AQ9" s="1472"/>
      <c r="AR9" s="1472"/>
      <c r="AS9" s="1472"/>
      <c r="AT9" s="1472"/>
      <c r="AU9" s="1472"/>
      <c r="AV9" s="1472"/>
      <c r="AW9" s="1472"/>
      <c r="AX9" s="1472"/>
      <c r="AY9" s="1472"/>
    </row>
    <row r="10" spans="1:51" hidden="1" outlineLevel="1" x14ac:dyDescent="0.35">
      <c r="A10" s="1481" t="str">
        <f>+'Historicals and forecast'!A9</f>
        <v>Gross Invoiced Income</v>
      </c>
      <c r="B10" s="1467"/>
      <c r="C10" s="1482">
        <f>+'Historicals and forecast'!C9</f>
        <v>265.82</v>
      </c>
      <c r="D10" s="1482">
        <f>+'Historicals and forecast'!D9</f>
        <v>330.26400000000001</v>
      </c>
      <c r="E10" s="1482">
        <f>+'Historicals and forecast'!E9</f>
        <v>293.59100000000001</v>
      </c>
      <c r="F10" s="1483">
        <f>+'Historicals and forecast'!F9</f>
        <v>378.76</v>
      </c>
      <c r="G10" s="1482">
        <f>+'Historicals and forecast'!G9</f>
        <v>378.5</v>
      </c>
      <c r="H10" s="1483">
        <f>+'Historicals and forecast'!H9</f>
        <v>453.976</v>
      </c>
      <c r="I10" s="1482">
        <f>+'Historicals and forecast'!I9</f>
        <v>472.84300000000002</v>
      </c>
      <c r="J10" s="1483">
        <f>+'Historicals and forecast'!J9</f>
        <v>608.83500000000004</v>
      </c>
      <c r="K10" s="1482">
        <f>+'Historicals and forecast'!K9</f>
        <v>607.75600000000009</v>
      </c>
      <c r="L10" s="1483">
        <f>+'Historicals and forecast'!L9</f>
        <v>806.30799999999999</v>
      </c>
      <c r="M10" s="1482">
        <f>+'Historicals and forecast'!M9</f>
        <v>727.72200000000009</v>
      </c>
      <c r="N10" s="1483">
        <f>+'Historicals and forecast'!N9</f>
        <v>918.46900000000005</v>
      </c>
      <c r="O10" s="1482">
        <f>+'Historicals and forecast'!O9</f>
        <v>870.81599999999992</v>
      </c>
      <c r="P10" s="1483">
        <f>+'Historicals and forecast'!P9</f>
        <v>1067.624</v>
      </c>
      <c r="Q10" s="1482">
        <f>+'Historicals and forecast'!Q9</f>
        <v>1158.3409999999999</v>
      </c>
      <c r="R10" s="1483">
        <f>+'Historicals and forecast'!R9</f>
        <v>1349.1960000000001</v>
      </c>
      <c r="S10" s="1482">
        <f>+'Historicals and forecast'!S9</f>
        <v>1214.7279999999998</v>
      </c>
      <c r="T10" s="1483">
        <f>+'Historicals and forecast'!T9</f>
        <v>1348.2720000000002</v>
      </c>
      <c r="U10" s="1482">
        <f>+'Historicals and forecast'!U9</f>
        <v>1263.5</v>
      </c>
      <c r="V10" s="1482">
        <f>+'Historicals and forecast'!V9</f>
        <v>1588.6999999999998</v>
      </c>
      <c r="W10" s="1484">
        <f>+'Historicals and forecast'!W9</f>
        <v>1415.1200000000001</v>
      </c>
      <c r="X10" s="1484">
        <f>+'Historicals and forecast'!X9</f>
        <v>1779.3440000000001</v>
      </c>
      <c r="Y10" s="1485"/>
      <c r="Z10" s="1483">
        <f>+'Historicals and forecast'!Z9</f>
        <v>18.367162</v>
      </c>
      <c r="AA10" s="1486">
        <f>+'Historicals and forecast'!AA9</f>
        <v>31.868970000000001</v>
      </c>
      <c r="AB10" s="1486">
        <f>+'Historicals and forecast'!AB9</f>
        <v>38.608544999999999</v>
      </c>
      <c r="AC10" s="1486">
        <f>+'Historicals and forecast'!AC9</f>
        <v>39.477041</v>
      </c>
      <c r="AD10" s="1486">
        <f>+'Historicals and forecast'!AD9</f>
        <v>51.132738000000003</v>
      </c>
      <c r="AE10" s="1487">
        <f>+'Historicals and forecast'!AE9</f>
        <v>57.104958000000003</v>
      </c>
      <c r="AF10" s="1482">
        <f>+'Historicals and forecast'!AF9</f>
        <v>67.277880999999994</v>
      </c>
      <c r="AG10" s="1482">
        <f>+'Historicals and forecast'!AG9</f>
        <v>89.142482000000001</v>
      </c>
      <c r="AH10" s="1482">
        <f>+'Historicals and forecast'!AH9</f>
        <v>102.915905</v>
      </c>
      <c r="AI10" s="1482">
        <f>+'Historicals and forecast'!AI9</f>
        <v>113.11424700000001</v>
      </c>
      <c r="AJ10" s="1482">
        <f>+'Historicals and forecast'!AJ9</f>
        <v>145.75140099999999</v>
      </c>
      <c r="AK10" s="1482">
        <f>+'Historicals and forecast'!AK9</f>
        <v>219.22811799999999</v>
      </c>
      <c r="AL10" s="1482">
        <f>+'Historicals and forecast'!AL9</f>
        <v>304.055497</v>
      </c>
      <c r="AM10" s="1482">
        <f>+'Historicals and forecast'!AM9</f>
        <v>395.75599999999997</v>
      </c>
      <c r="AN10" s="1482">
        <f>+'Historicals and forecast'!AN9</f>
        <v>504.79700000000003</v>
      </c>
      <c r="AO10" s="1482">
        <f>+'Historicals and forecast'!AO9</f>
        <v>596.08400000000006</v>
      </c>
      <c r="AP10" s="1482">
        <f>+'Historicals and forecast'!AP9</f>
        <v>672.351</v>
      </c>
      <c r="AQ10" s="1482">
        <f>+'Historicals and forecast'!AQ9</f>
        <v>832.476</v>
      </c>
      <c r="AR10" s="1482">
        <f>+'Historicals and forecast'!AR9</f>
        <v>1081.6780000000001</v>
      </c>
      <c r="AS10" s="1482">
        <f>+'Historicals and forecast'!AS9</f>
        <v>1414.0640000000001</v>
      </c>
      <c r="AT10" s="1482">
        <f>+'Historicals and forecast'!AT9</f>
        <v>1646.191</v>
      </c>
      <c r="AU10" s="1482">
        <f>+'Historicals and forecast'!AU9</f>
        <v>1938.44</v>
      </c>
      <c r="AV10" s="1482">
        <f>+'Historicals and forecast'!AV9</f>
        <v>2507.5369999999998</v>
      </c>
      <c r="AW10" s="1482">
        <f>+'Historicals and forecast'!AW9</f>
        <v>2563</v>
      </c>
      <c r="AX10" s="1482">
        <f>+'Historicals and forecast'!AX9</f>
        <v>2852.2</v>
      </c>
      <c r="AY10" s="1482">
        <f>+'Historicals and forecast'!AY9</f>
        <v>3194.4639999999999</v>
      </c>
    </row>
    <row r="11" spans="1:51" hidden="1" outlineLevel="1" x14ac:dyDescent="0.35">
      <c r="A11" s="1488" t="str">
        <f>+'Historicals and forecast'!A10</f>
        <v>% Growth</v>
      </c>
      <c r="B11" s="1467"/>
      <c r="C11" s="1489"/>
      <c r="D11" s="1489"/>
      <c r="E11" s="1489">
        <f>+'Historicals and forecast'!E10</f>
        <v>0.10447295162139802</v>
      </c>
      <c r="F11" s="1490">
        <f>+'Historicals and forecast'!F10</f>
        <v>0.14684010367463607</v>
      </c>
      <c r="G11" s="1489">
        <f>+'Historicals and forecast'!G10</f>
        <v>0.28920845666249995</v>
      </c>
      <c r="H11" s="1490">
        <f>+'Historicals and forecast'!H10</f>
        <v>0.19858485584539021</v>
      </c>
      <c r="I11" s="1489">
        <f>+'Historicals and forecast'!I10</f>
        <v>0.2492549537648614</v>
      </c>
      <c r="J11" s="1490">
        <f>+'Historicals and forecast'!J10</f>
        <v>0.34111715156748379</v>
      </c>
      <c r="K11" s="1489">
        <f>+'Historicals and forecast'!K10</f>
        <v>0.28532303534154058</v>
      </c>
      <c r="L11" s="1490">
        <f>+'Historicals and forecast'!L10</f>
        <v>0.32434567657904023</v>
      </c>
      <c r="M11" s="1489">
        <f>+'Historicals and forecast'!M10</f>
        <v>0.19739171641250763</v>
      </c>
      <c r="N11" s="1490">
        <f>+'Historicals and forecast'!N10</f>
        <v>0.13910441171363797</v>
      </c>
      <c r="O11" s="1489">
        <f>+'Historicals and forecast'!O10</f>
        <v>0.19663278010009289</v>
      </c>
      <c r="P11" s="1490">
        <f>+'Historicals and forecast'!P10</f>
        <v>0.16239524687278495</v>
      </c>
      <c r="Q11" s="1489">
        <f>+'Historicals and forecast'!Q10</f>
        <v>0.33017882078418404</v>
      </c>
      <c r="R11" s="1490">
        <f>+'Historicals and forecast'!R10</f>
        <v>0.26373704600121406</v>
      </c>
      <c r="S11" s="1489">
        <f>+'Historicals and forecast'!S10</f>
        <v>4.8679102267812357E-2</v>
      </c>
      <c r="T11" s="1490">
        <f>+'Historicals and forecast'!T10</f>
        <v>-6.8485231204362673E-4</v>
      </c>
      <c r="U11" s="1489">
        <f>+'Historicals and forecast'!U10</f>
        <v>4.0150552222390612E-2</v>
      </c>
      <c r="V11" s="1489">
        <f>+'Historicals and forecast'!V10</f>
        <v>0.17832306834229272</v>
      </c>
      <c r="W11" s="1489">
        <f>+'Historicals and forecast'!W10</f>
        <v>0.12000000000000011</v>
      </c>
      <c r="X11" s="1489">
        <f>+'Historicals and forecast'!X10</f>
        <v>0.12000000000000011</v>
      </c>
      <c r="Y11" s="1491"/>
      <c r="Z11" s="1490" t="str">
        <f>+'Historicals and forecast'!Z10</f>
        <v/>
      </c>
      <c r="AA11" s="1492">
        <f>+'Historicals and forecast'!AA10</f>
        <v>0.73510583725455247</v>
      </c>
      <c r="AB11" s="1492">
        <f>+'Historicals and forecast'!AB10</f>
        <v>0.2114776536549503</v>
      </c>
      <c r="AC11" s="1492">
        <f>+'Historicals and forecast'!AC10</f>
        <v>2.2494916604601345E-2</v>
      </c>
      <c r="AD11" s="1492">
        <f>+'Historicals and forecast'!AD10</f>
        <v>0.2952525494501983</v>
      </c>
      <c r="AE11" s="1493">
        <f>+'Historicals and forecast'!AE10</f>
        <v>0.11679836115953734</v>
      </c>
      <c r="AF11" s="1489">
        <f>+'Historicals and forecast'!AF10</f>
        <v>0.17814430403748815</v>
      </c>
      <c r="AG11" s="1489">
        <f>+'Historicals and forecast'!AG10</f>
        <v>0.3249894419237136</v>
      </c>
      <c r="AH11" s="1489">
        <f>+'Historicals and forecast'!AH10</f>
        <v>0.15451020311505337</v>
      </c>
      <c r="AI11" s="1489">
        <f>+'Historicals and forecast'!AI10</f>
        <v>9.9093934994790356E-2</v>
      </c>
      <c r="AJ11" s="1489">
        <f>+'Historicals and forecast'!AJ10</f>
        <v>0.28853265495371216</v>
      </c>
      <c r="AK11" s="1489">
        <f>+'Historicals and forecast'!AK10</f>
        <v>0.50412357271269048</v>
      </c>
      <c r="AL11" s="1489">
        <f>+'Historicals and forecast'!AL10</f>
        <v>0.38693658356361027</v>
      </c>
      <c r="AM11" s="1489">
        <f>+'Historicals and forecast'!AM10</f>
        <v>0.30159133416357853</v>
      </c>
      <c r="AN11" s="1489">
        <f>+'Historicals and forecast'!AN10</f>
        <v>0.27552582904618017</v>
      </c>
      <c r="AO11" s="1489">
        <f>+'Historicals and forecast'!AO10</f>
        <v>0.18083903034289039</v>
      </c>
      <c r="AP11" s="1489">
        <f>+'Historicals and forecast'!AP10</f>
        <v>0.12794673233973719</v>
      </c>
      <c r="AQ11" s="1489">
        <f>+'Historicals and forecast'!AQ10</f>
        <v>0.2381568555709741</v>
      </c>
      <c r="AR11" s="1489">
        <f>+'Historicals and forecast'!AR10</f>
        <v>0.29935037166236644</v>
      </c>
      <c r="AS11" s="1489">
        <f>+'Historicals and forecast'!AS10</f>
        <v>0.30728738127243038</v>
      </c>
      <c r="AT11" s="1489">
        <f>+'Historicals and forecast'!AT10</f>
        <v>0.16415593636497361</v>
      </c>
      <c r="AU11" s="1489">
        <f>+'Historicals and forecast'!AU10</f>
        <v>0.17753043237388622</v>
      </c>
      <c r="AV11" s="1489">
        <f>+'Historicals and forecast'!AV10</f>
        <v>0.29358504777037187</v>
      </c>
      <c r="AW11" s="1489">
        <f>+'Historicals and forecast'!AW10</f>
        <v>2.211851709466317E-2</v>
      </c>
      <c r="AX11" s="1489">
        <f>+'Historicals and forecast'!AX10</f>
        <v>0.11283651970347242</v>
      </c>
      <c r="AY11" s="1489">
        <f>+'Historicals and forecast'!AY10</f>
        <v>0.12000000000000011</v>
      </c>
    </row>
    <row r="12" spans="1:51" s="1421" customFormat="1" hidden="1" outlineLevel="1" x14ac:dyDescent="0.35">
      <c r="A12" s="1488" t="str">
        <f>+'Historicals and forecast'!A12</f>
        <v>Sequential</v>
      </c>
      <c r="B12" s="1467"/>
      <c r="C12" s="1494"/>
      <c r="D12" s="1494">
        <f>+'Historicals and forecast'!D12</f>
        <v>64.444000000000017</v>
      </c>
      <c r="E12" s="1494">
        <f>+'Historicals and forecast'!E12</f>
        <v>-36.673000000000002</v>
      </c>
      <c r="F12" s="1495">
        <f>+'Historicals and forecast'!F12</f>
        <v>85.168999999999983</v>
      </c>
      <c r="G12" s="1494">
        <f>+'Historicals and forecast'!G12</f>
        <v>-0.25999999999999091</v>
      </c>
      <c r="H12" s="1495">
        <f>+'Historicals and forecast'!H12</f>
        <v>75.475999999999999</v>
      </c>
      <c r="I12" s="1494">
        <f>+'Historicals and forecast'!I12</f>
        <v>18.867000000000019</v>
      </c>
      <c r="J12" s="1495">
        <f>+'Historicals and forecast'!J12</f>
        <v>135.99200000000002</v>
      </c>
      <c r="K12" s="1494">
        <f>+'Historicals and forecast'!K12</f>
        <v>-1.0789999999999509</v>
      </c>
      <c r="L12" s="1495">
        <f>+'Historicals and forecast'!L12</f>
        <v>198.55199999999991</v>
      </c>
      <c r="M12" s="1494">
        <f>+'Historicals and forecast'!M12</f>
        <v>-78.585999999999899</v>
      </c>
      <c r="N12" s="1495">
        <f>+'Historicals and forecast'!N12</f>
        <v>190.74699999999996</v>
      </c>
      <c r="O12" s="1494">
        <f>+'Historicals and forecast'!O12</f>
        <v>-47.653000000000134</v>
      </c>
      <c r="P12" s="1495">
        <f>+'Historicals and forecast'!P12</f>
        <v>196.80800000000011</v>
      </c>
      <c r="Q12" s="1494">
        <f>+'Historicals and forecast'!Q12</f>
        <v>90.716999999999871</v>
      </c>
      <c r="R12" s="1495">
        <f>+'Historicals and forecast'!R12</f>
        <v>190.85500000000025</v>
      </c>
      <c r="S12" s="1494">
        <f>+'Historicals and forecast'!S12</f>
        <v>-134.4680000000003</v>
      </c>
      <c r="T12" s="1495">
        <f>+'Historicals and forecast'!T12</f>
        <v>133.54400000000032</v>
      </c>
      <c r="U12" s="1494">
        <f>+'Historicals and forecast'!U12</f>
        <v>-84.772000000000162</v>
      </c>
      <c r="V12" s="1494">
        <f>+'Historicals and forecast'!V12</f>
        <v>325.19999999999982</v>
      </c>
      <c r="W12" s="1494">
        <f>+'Historicals and forecast'!W12</f>
        <v>-173.5799999999997</v>
      </c>
      <c r="X12" s="1494">
        <f>+'Historicals and forecast'!X12</f>
        <v>364.22399999999993</v>
      </c>
      <c r="Y12" s="1496"/>
      <c r="Z12" s="1495">
        <f>+'Historicals and forecast'!Z12</f>
        <v>0</v>
      </c>
      <c r="AA12" s="1497">
        <f>+'Historicals and forecast'!AA12</f>
        <v>13.501808</v>
      </c>
      <c r="AB12" s="1497">
        <f>+'Historicals and forecast'!AB12</f>
        <v>6.7395749999999985</v>
      </c>
      <c r="AC12" s="1497">
        <f>+'Historicals and forecast'!AC12</f>
        <v>0.86849600000000038</v>
      </c>
      <c r="AD12" s="1497">
        <f>+'Historicals and forecast'!AD12</f>
        <v>11.655697000000004</v>
      </c>
      <c r="AE12" s="1498">
        <f>+'Historicals and forecast'!AE12</f>
        <v>5.9722200000000001</v>
      </c>
      <c r="AF12" s="1494">
        <f>+'Historicals and forecast'!AF12</f>
        <v>10.17292299999999</v>
      </c>
      <c r="AG12" s="1494">
        <f>+'Historicals and forecast'!AG12</f>
        <v>21.864601000000008</v>
      </c>
      <c r="AH12" s="1494">
        <f>+'Historicals and forecast'!AH12</f>
        <v>13.773422999999994</v>
      </c>
      <c r="AI12" s="1494">
        <f>+'Historicals and forecast'!AI12</f>
        <v>10.198342000000011</v>
      </c>
      <c r="AJ12" s="1494">
        <f>+'Historicals and forecast'!AJ12</f>
        <v>32.637153999999981</v>
      </c>
      <c r="AK12" s="1494">
        <f>+'Historicals and forecast'!AK12</f>
        <v>73.476717000000008</v>
      </c>
      <c r="AL12" s="1494">
        <f>+'Historicals and forecast'!AL12</f>
        <v>84.827379000000008</v>
      </c>
      <c r="AM12" s="1494">
        <f>+'Historicals and forecast'!AM12</f>
        <v>91.700502999999969</v>
      </c>
      <c r="AN12" s="1494">
        <f>+'Historicals and forecast'!AN12</f>
        <v>109.04100000000005</v>
      </c>
      <c r="AO12" s="1494">
        <f>+'Historicals and forecast'!AO12</f>
        <v>91.287000000000035</v>
      </c>
      <c r="AP12" s="1494">
        <f>+'Historicals and forecast'!AP12</f>
        <v>76.266999999999939</v>
      </c>
      <c r="AQ12" s="1494">
        <f>+'Historicals and forecast'!AQ12</f>
        <v>160.125</v>
      </c>
      <c r="AR12" s="1494">
        <f>+'Historicals and forecast'!AR12</f>
        <v>249.20200000000011</v>
      </c>
      <c r="AS12" s="1494">
        <f>+'Historicals and forecast'!AS12</f>
        <v>332.38599999999997</v>
      </c>
      <c r="AT12" s="1494">
        <f>+'Historicals and forecast'!AT12</f>
        <v>232.12699999999995</v>
      </c>
      <c r="AU12" s="1494">
        <f>+'Historicals and forecast'!AU12</f>
        <v>292.24900000000002</v>
      </c>
      <c r="AV12" s="1494">
        <f>+'Historicals and forecast'!AV12</f>
        <v>569.09699999999975</v>
      </c>
      <c r="AW12" s="1494">
        <f>+'Historicals and forecast'!AW12</f>
        <v>55.463000000000193</v>
      </c>
      <c r="AX12" s="1494">
        <f>+'Historicals and forecast'!AX12</f>
        <v>289.19999999999982</v>
      </c>
      <c r="AY12" s="1494">
        <f>+'Historicals and forecast'!AY12</f>
        <v>342.26400000000012</v>
      </c>
    </row>
    <row r="13" spans="1:51" s="1421" customFormat="1" hidden="1" outlineLevel="1" x14ac:dyDescent="0.35">
      <c r="A13" s="1488" t="str">
        <f>+'Historicals and forecast'!A13</f>
        <v>Incremental Annual</v>
      </c>
      <c r="B13" s="1467"/>
      <c r="C13" s="1494"/>
      <c r="D13" s="1494"/>
      <c r="E13" s="1494">
        <f>+'Historicals and forecast'!E13</f>
        <v>27.771000000000015</v>
      </c>
      <c r="F13" s="1495">
        <f>+'Historicals and forecast'!F13</f>
        <v>48.495999999999981</v>
      </c>
      <c r="G13" s="1494">
        <f>+'Historicals and forecast'!G13</f>
        <v>84.908999999999992</v>
      </c>
      <c r="H13" s="1495">
        <f>+'Historicals and forecast'!H13</f>
        <v>75.216000000000008</v>
      </c>
      <c r="I13" s="1494">
        <f>+'Historicals and forecast'!I13</f>
        <v>94.343000000000018</v>
      </c>
      <c r="J13" s="1495">
        <f>+'Historicals and forecast'!J13</f>
        <v>154.85900000000004</v>
      </c>
      <c r="K13" s="1494">
        <f>+'Historicals and forecast'!K13</f>
        <v>134.91300000000007</v>
      </c>
      <c r="L13" s="1495">
        <f>+'Historicals and forecast'!L13</f>
        <v>197.47299999999996</v>
      </c>
      <c r="M13" s="1494">
        <f>+'Historicals and forecast'!M13</f>
        <v>119.96600000000001</v>
      </c>
      <c r="N13" s="1495">
        <f>+'Historicals and forecast'!N13</f>
        <v>112.16100000000006</v>
      </c>
      <c r="O13" s="1494">
        <f>+'Historicals and forecast'!O13</f>
        <v>143.09399999999982</v>
      </c>
      <c r="P13" s="1495">
        <f>+'Historicals and forecast'!P13</f>
        <v>149.15499999999997</v>
      </c>
      <c r="Q13" s="1494">
        <f>+'Historicals and forecast'!Q13</f>
        <v>287.52499999999998</v>
      </c>
      <c r="R13" s="1495">
        <f>+'Historicals and forecast'!R13</f>
        <v>281.57200000000012</v>
      </c>
      <c r="S13" s="1494">
        <f>+'Historicals and forecast'!S13</f>
        <v>56.386999999999944</v>
      </c>
      <c r="T13" s="1495">
        <f>+'Historicals and forecast'!T13</f>
        <v>-0.92399999999997817</v>
      </c>
      <c r="U13" s="1494">
        <f>+'Historicals and forecast'!U13</f>
        <v>48.772000000000162</v>
      </c>
      <c r="V13" s="1494">
        <f>+'Historicals and forecast'!V13</f>
        <v>240.42799999999966</v>
      </c>
      <c r="W13" s="1494">
        <f>+'Historicals and forecast'!W13</f>
        <v>151.62000000000012</v>
      </c>
      <c r="X13" s="1494">
        <f>+'Historicals and forecast'!X13</f>
        <v>190.64400000000023</v>
      </c>
      <c r="Y13" s="1496"/>
      <c r="Z13" s="1495">
        <f>+'Historicals and forecast'!Z13</f>
        <v>0</v>
      </c>
      <c r="AA13" s="1497">
        <f>+'Historicals and forecast'!AA13</f>
        <v>0</v>
      </c>
      <c r="AB13" s="1497">
        <f>+'Historicals and forecast'!AB13</f>
        <v>0</v>
      </c>
      <c r="AC13" s="1497">
        <f>+'Historicals and forecast'!AC13</f>
        <v>0</v>
      </c>
      <c r="AD13" s="1497">
        <f>+'Historicals and forecast'!AD13</f>
        <v>0</v>
      </c>
      <c r="AE13" s="1498">
        <f>+'Historicals and forecast'!AE13</f>
        <v>0</v>
      </c>
      <c r="AF13" s="1494">
        <f>+'Historicals and forecast'!AF13</f>
        <v>10.17292299999999</v>
      </c>
      <c r="AG13" s="1494">
        <f>+'Historicals and forecast'!AG13</f>
        <v>21.864601000000008</v>
      </c>
      <c r="AH13" s="1494">
        <f>+'Historicals and forecast'!AH13</f>
        <v>13.773422999999994</v>
      </c>
      <c r="AI13" s="1494">
        <f>+'Historicals and forecast'!AI13</f>
        <v>10.198342000000011</v>
      </c>
      <c r="AJ13" s="1494">
        <f>+'Historicals and forecast'!AJ13</f>
        <v>32.637153999999981</v>
      </c>
      <c r="AK13" s="1494">
        <f>+'Historicals and forecast'!AK13</f>
        <v>73.476717000000008</v>
      </c>
      <c r="AL13" s="1494">
        <f>+'Historicals and forecast'!AL13</f>
        <v>84.827379000000008</v>
      </c>
      <c r="AM13" s="1494">
        <f>+'Historicals and forecast'!AM13</f>
        <v>91.700502999999969</v>
      </c>
      <c r="AN13" s="1494">
        <f>+'Historicals and forecast'!AN13</f>
        <v>109.04100000000005</v>
      </c>
      <c r="AO13" s="1494">
        <f>+'Historicals and forecast'!AO13</f>
        <v>91.287000000000035</v>
      </c>
      <c r="AP13" s="1494">
        <f>+'Historicals and forecast'!AP13</f>
        <v>76.266999999999939</v>
      </c>
      <c r="AQ13" s="1494">
        <f>+'Historicals and forecast'!AQ13</f>
        <v>160.125</v>
      </c>
      <c r="AR13" s="1494">
        <f>+'Historicals and forecast'!AR13</f>
        <v>249.20200000000011</v>
      </c>
      <c r="AS13" s="1494">
        <f>+'Historicals and forecast'!AS13</f>
        <v>332.38599999999997</v>
      </c>
      <c r="AT13" s="1494">
        <f>+'Historicals and forecast'!AT13</f>
        <v>232.12699999999995</v>
      </c>
      <c r="AU13" s="1494">
        <f>+'Historicals and forecast'!AU13</f>
        <v>292.24900000000002</v>
      </c>
      <c r="AV13" s="1494">
        <f>+'Historicals and forecast'!AV13</f>
        <v>569.09699999999975</v>
      </c>
      <c r="AW13" s="1494">
        <f>+'Historicals and forecast'!AW13</f>
        <v>55.463000000000193</v>
      </c>
      <c r="AX13" s="1494">
        <f>+'Historicals and forecast'!AX13</f>
        <v>289.19999999999982</v>
      </c>
      <c r="AY13" s="1494">
        <f>+'Historicals and forecast'!AY13</f>
        <v>342.26400000000012</v>
      </c>
    </row>
    <row r="14" spans="1:51" hidden="1" outlineLevel="1" x14ac:dyDescent="0.35">
      <c r="A14" s="1499"/>
      <c r="B14" s="1467"/>
      <c r="C14" s="1500"/>
      <c r="D14" s="1500"/>
      <c r="E14" s="1500"/>
      <c r="F14" s="1501"/>
      <c r="G14" s="1500"/>
      <c r="H14" s="1501"/>
      <c r="I14" s="1500"/>
      <c r="J14" s="1501"/>
      <c r="K14" s="1500"/>
      <c r="L14" s="1501"/>
      <c r="M14" s="1500"/>
      <c r="N14" s="1501"/>
      <c r="O14" s="1500"/>
      <c r="P14" s="1501"/>
      <c r="Q14" s="1500"/>
      <c r="R14" s="1501"/>
      <c r="S14" s="1500"/>
      <c r="T14" s="1501"/>
      <c r="U14" s="1500"/>
      <c r="V14" s="1502"/>
      <c r="W14" s="1502"/>
      <c r="X14" s="1502"/>
      <c r="Y14" s="1467"/>
      <c r="Z14" s="1501"/>
      <c r="AA14" s="1503"/>
      <c r="AB14" s="1503"/>
      <c r="AC14" s="1503"/>
      <c r="AD14" s="1503"/>
      <c r="AE14" s="1504"/>
      <c r="AF14" s="1500"/>
      <c r="AG14" s="1500"/>
      <c r="AH14" s="1500"/>
      <c r="AI14" s="1500"/>
      <c r="AJ14" s="1500"/>
      <c r="AK14" s="1500"/>
      <c r="AL14" s="1500"/>
      <c r="AM14" s="1500"/>
      <c r="AN14" s="1500"/>
      <c r="AO14" s="1500"/>
      <c r="AP14" s="1500"/>
      <c r="AQ14" s="1500"/>
      <c r="AR14" s="1494"/>
      <c r="AS14" s="1494"/>
      <c r="AT14" s="1494"/>
      <c r="AU14" s="1494"/>
      <c r="AV14" s="1494"/>
      <c r="AW14" s="1494"/>
      <c r="AX14" s="1500"/>
      <c r="AY14" s="1500"/>
    </row>
    <row r="15" spans="1:51" hidden="1" outlineLevel="1" x14ac:dyDescent="0.35">
      <c r="A15" s="1481"/>
      <c r="B15" s="1467"/>
      <c r="C15" s="1482"/>
      <c r="D15" s="1482"/>
      <c r="E15" s="1482"/>
      <c r="F15" s="1483"/>
      <c r="G15" s="1482"/>
      <c r="H15" s="1483"/>
      <c r="I15" s="1482"/>
      <c r="J15" s="1483"/>
      <c r="K15" s="1482"/>
      <c r="L15" s="1483"/>
      <c r="M15" s="1482"/>
      <c r="N15" s="1483"/>
      <c r="O15" s="1482"/>
      <c r="P15" s="1483"/>
      <c r="Q15" s="1482"/>
      <c r="R15" s="1483"/>
      <c r="S15" s="1482"/>
      <c r="T15" s="1483"/>
      <c r="U15" s="1482"/>
      <c r="V15" s="1505"/>
      <c r="W15" s="1505"/>
      <c r="X15" s="1505"/>
      <c r="Y15" s="1485"/>
      <c r="Z15" s="1483"/>
      <c r="AA15" s="1486"/>
      <c r="AB15" s="1486"/>
      <c r="AC15" s="1486"/>
      <c r="AD15" s="1486"/>
      <c r="AE15" s="1487"/>
      <c r="AF15" s="1482"/>
      <c r="AG15" s="1482"/>
      <c r="AH15" s="1482"/>
      <c r="AI15" s="1482"/>
      <c r="AJ15" s="1482"/>
      <c r="AK15" s="1482"/>
      <c r="AL15" s="1482"/>
      <c r="AM15" s="1482"/>
      <c r="AN15" s="1482"/>
      <c r="AO15" s="1482"/>
      <c r="AP15" s="1482"/>
      <c r="AQ15" s="1482"/>
      <c r="AR15" s="1494"/>
      <c r="AS15" s="1494"/>
      <c r="AT15" s="1494"/>
      <c r="AU15" s="1494"/>
      <c r="AV15" s="1494"/>
      <c r="AW15" s="1494"/>
      <c r="AX15" s="1482"/>
      <c r="AY15" s="1482"/>
    </row>
    <row r="16" spans="1:51" hidden="1" outlineLevel="1" x14ac:dyDescent="0.35">
      <c r="A16" s="1488"/>
      <c r="B16" s="1467"/>
      <c r="C16" s="1489"/>
      <c r="D16" s="1489"/>
      <c r="E16" s="1489"/>
      <c r="F16" s="1490"/>
      <c r="G16" s="1489"/>
      <c r="H16" s="1490"/>
      <c r="I16" s="1489"/>
      <c r="J16" s="1490"/>
      <c r="K16" s="1489"/>
      <c r="L16" s="1490"/>
      <c r="M16" s="1489"/>
      <c r="N16" s="1490"/>
      <c r="O16" s="1489"/>
      <c r="P16" s="1490"/>
      <c r="Q16" s="1489"/>
      <c r="R16" s="1490"/>
      <c r="S16" s="1489"/>
      <c r="T16" s="1490"/>
      <c r="U16" s="1489"/>
      <c r="V16" s="1489"/>
      <c r="W16" s="1489"/>
      <c r="X16" s="1489"/>
      <c r="Y16" s="1491"/>
      <c r="Z16" s="1490"/>
      <c r="AA16" s="1492"/>
      <c r="AB16" s="1492"/>
      <c r="AC16" s="1492"/>
      <c r="AD16" s="1492"/>
      <c r="AE16" s="1493"/>
      <c r="AF16" s="1489"/>
      <c r="AG16" s="1489"/>
      <c r="AH16" s="1489"/>
      <c r="AI16" s="1489"/>
      <c r="AJ16" s="1489"/>
      <c r="AK16" s="1489"/>
      <c r="AL16" s="1489"/>
      <c r="AM16" s="1489"/>
      <c r="AN16" s="1489"/>
      <c r="AO16" s="1489"/>
      <c r="AP16" s="1489"/>
      <c r="AQ16" s="1489"/>
      <c r="AR16" s="1494"/>
      <c r="AS16" s="1494"/>
      <c r="AT16" s="1494"/>
      <c r="AU16" s="1494"/>
      <c r="AV16" s="1494"/>
      <c r="AW16" s="1494"/>
      <c r="AX16" s="1489"/>
      <c r="AY16" s="1489"/>
    </row>
    <row r="17" spans="1:51" s="1421" customFormat="1" hidden="1" outlineLevel="1" x14ac:dyDescent="0.35">
      <c r="A17" s="1488"/>
      <c r="B17" s="1467"/>
      <c r="C17" s="1494"/>
      <c r="D17" s="1494"/>
      <c r="E17" s="1494"/>
      <c r="F17" s="1495"/>
      <c r="G17" s="1494"/>
      <c r="H17" s="1495"/>
      <c r="I17" s="1494"/>
      <c r="J17" s="1495"/>
      <c r="K17" s="1494"/>
      <c r="L17" s="1495"/>
      <c r="M17" s="1494"/>
      <c r="N17" s="1495"/>
      <c r="O17" s="1494"/>
      <c r="P17" s="1495"/>
      <c r="Q17" s="1494"/>
      <c r="R17" s="1495"/>
      <c r="S17" s="1494"/>
      <c r="T17" s="1495"/>
      <c r="U17" s="1494"/>
      <c r="V17" s="1494"/>
      <c r="W17" s="1494"/>
      <c r="X17" s="1494"/>
      <c r="Y17" s="1496"/>
      <c r="Z17" s="1495"/>
      <c r="AA17" s="1497"/>
      <c r="AB17" s="1497"/>
      <c r="AC17" s="1497"/>
      <c r="AD17" s="1497"/>
      <c r="AE17" s="1498"/>
      <c r="AF17" s="1494"/>
      <c r="AG17" s="1494"/>
      <c r="AH17" s="1494"/>
      <c r="AI17" s="1494"/>
      <c r="AJ17" s="1494"/>
      <c r="AK17" s="1494"/>
      <c r="AL17" s="1494"/>
      <c r="AM17" s="1494"/>
      <c r="AN17" s="1494"/>
      <c r="AO17" s="1494"/>
      <c r="AP17" s="1494"/>
      <c r="AQ17" s="1494"/>
      <c r="AR17" s="1494"/>
      <c r="AS17" s="1494"/>
      <c r="AT17" s="1494"/>
      <c r="AU17" s="1494"/>
      <c r="AV17" s="1494"/>
      <c r="AW17" s="1494"/>
      <c r="AX17" s="1494"/>
      <c r="AY17" s="1494"/>
    </row>
    <row r="18" spans="1:51" s="1421" customFormat="1" hidden="1" outlineLevel="1" x14ac:dyDescent="0.35">
      <c r="A18" s="1488"/>
      <c r="B18" s="1467"/>
      <c r="C18" s="1494"/>
      <c r="D18" s="1494"/>
      <c r="E18" s="1494"/>
      <c r="F18" s="1495"/>
      <c r="G18" s="1494"/>
      <c r="H18" s="1495"/>
      <c r="I18" s="1494"/>
      <c r="J18" s="1495"/>
      <c r="K18" s="1494"/>
      <c r="L18" s="1495"/>
      <c r="M18" s="1494"/>
      <c r="N18" s="1495"/>
      <c r="O18" s="1494"/>
      <c r="P18" s="1495"/>
      <c r="Q18" s="1494"/>
      <c r="R18" s="1495"/>
      <c r="S18" s="1494"/>
      <c r="T18" s="1495"/>
      <c r="U18" s="1494"/>
      <c r="V18" s="1494"/>
      <c r="W18" s="1494"/>
      <c r="X18" s="1494"/>
      <c r="Y18" s="1496"/>
      <c r="Z18" s="1495"/>
      <c r="AA18" s="1497"/>
      <c r="AB18" s="1497"/>
      <c r="AC18" s="1497"/>
      <c r="AD18" s="1497"/>
      <c r="AE18" s="1498"/>
      <c r="AF18" s="1494"/>
      <c r="AG18" s="1494"/>
      <c r="AH18" s="1494"/>
      <c r="AI18" s="1494"/>
      <c r="AJ18" s="1494"/>
      <c r="AK18" s="1494"/>
      <c r="AL18" s="1494"/>
      <c r="AM18" s="1494"/>
      <c r="AN18" s="1494"/>
      <c r="AO18" s="1494"/>
      <c r="AP18" s="1494"/>
      <c r="AQ18" s="1494"/>
      <c r="AR18" s="1494"/>
      <c r="AS18" s="1494"/>
      <c r="AT18" s="1494"/>
      <c r="AU18" s="1494"/>
      <c r="AV18" s="1494"/>
      <c r="AW18" s="1494"/>
      <c r="AX18" s="1494"/>
      <c r="AY18" s="1494"/>
    </row>
    <row r="19" spans="1:51" hidden="1" outlineLevel="1" x14ac:dyDescent="0.35">
      <c r="A19" s="1488"/>
      <c r="B19" s="1467"/>
      <c r="C19" s="1489"/>
      <c r="D19" s="1489"/>
      <c r="E19" s="1489"/>
      <c r="F19" s="1490"/>
      <c r="G19" s="1489"/>
      <c r="H19" s="1490"/>
      <c r="I19" s="1489"/>
      <c r="J19" s="1490"/>
      <c r="K19" s="1489"/>
      <c r="L19" s="1490"/>
      <c r="M19" s="1489"/>
      <c r="N19" s="1490"/>
      <c r="O19" s="1489"/>
      <c r="P19" s="1490"/>
      <c r="Q19" s="1489"/>
      <c r="R19" s="1490"/>
      <c r="S19" s="1489"/>
      <c r="T19" s="1490"/>
      <c r="U19" s="1489"/>
      <c r="V19" s="1489"/>
      <c r="W19" s="1489"/>
      <c r="X19" s="1489"/>
      <c r="Y19" s="1491"/>
      <c r="Z19" s="1490"/>
      <c r="AA19" s="1492"/>
      <c r="AB19" s="1492"/>
      <c r="AC19" s="1492"/>
      <c r="AD19" s="1492"/>
      <c r="AE19" s="1493"/>
      <c r="AF19" s="1489"/>
      <c r="AG19" s="1489"/>
      <c r="AH19" s="1489"/>
      <c r="AI19" s="1489"/>
      <c r="AJ19" s="1489"/>
      <c r="AK19" s="1489"/>
      <c r="AL19" s="1489"/>
      <c r="AM19" s="1489"/>
      <c r="AN19" s="1489"/>
      <c r="AO19" s="1489"/>
      <c r="AP19" s="1489"/>
      <c r="AQ19" s="1489"/>
      <c r="AR19" s="1494"/>
      <c r="AS19" s="1494"/>
      <c r="AT19" s="1494"/>
      <c r="AU19" s="1494"/>
      <c r="AV19" s="1494"/>
      <c r="AW19" s="1494"/>
      <c r="AX19" s="1489"/>
      <c r="AY19" s="1489"/>
    </row>
    <row r="20" spans="1:51" hidden="1" outlineLevel="1" x14ac:dyDescent="0.35">
      <c r="A20" s="1499"/>
      <c r="B20" s="1467"/>
      <c r="C20" s="1500"/>
      <c r="D20" s="1500"/>
      <c r="E20" s="1500"/>
      <c r="F20" s="1501"/>
      <c r="G20" s="1500"/>
      <c r="H20" s="1501"/>
      <c r="I20" s="1500"/>
      <c r="J20" s="1501"/>
      <c r="K20" s="1500"/>
      <c r="L20" s="1501"/>
      <c r="M20" s="1500"/>
      <c r="N20" s="1501"/>
      <c r="O20" s="1500"/>
      <c r="P20" s="1501"/>
      <c r="Q20" s="1500"/>
      <c r="R20" s="1501"/>
      <c r="S20" s="1500"/>
      <c r="T20" s="1501"/>
      <c r="U20" s="1500"/>
      <c r="V20" s="1500"/>
      <c r="W20" s="1500"/>
      <c r="X20" s="1500"/>
      <c r="Y20" s="1467"/>
      <c r="Z20" s="1501"/>
      <c r="AA20" s="1503"/>
      <c r="AB20" s="1503"/>
      <c r="AC20" s="1503"/>
      <c r="AD20" s="1503"/>
      <c r="AE20" s="1504"/>
      <c r="AF20" s="1500"/>
      <c r="AG20" s="1500"/>
      <c r="AH20" s="1500"/>
      <c r="AI20" s="1500"/>
      <c r="AJ20" s="1500"/>
      <c r="AK20" s="1500"/>
      <c r="AL20" s="1500"/>
      <c r="AM20" s="1500"/>
      <c r="AN20" s="1500"/>
      <c r="AO20" s="1500"/>
      <c r="AP20" s="1500"/>
      <c r="AQ20" s="1500"/>
      <c r="AR20" s="1494"/>
      <c r="AS20" s="1494"/>
      <c r="AT20" s="1494"/>
      <c r="AU20" s="1494"/>
      <c r="AV20" s="1494"/>
      <c r="AW20" s="1494"/>
      <c r="AX20" s="1500"/>
      <c r="AY20" s="1500"/>
    </row>
    <row r="21" spans="1:51" collapsed="1" x14ac:dyDescent="0.35">
      <c r="A21" s="1499"/>
      <c r="B21" s="1467"/>
      <c r="C21" s="1500"/>
      <c r="D21" s="1500"/>
      <c r="E21" s="1500"/>
      <c r="F21" s="1501"/>
      <c r="G21" s="1500"/>
      <c r="H21" s="1501"/>
      <c r="I21" s="1500"/>
      <c r="J21" s="1501"/>
      <c r="K21" s="1500"/>
      <c r="L21" s="1501"/>
      <c r="M21" s="1500"/>
      <c r="N21" s="1501"/>
      <c r="O21" s="1500"/>
      <c r="P21" s="1501"/>
      <c r="Q21" s="1500"/>
      <c r="R21" s="1501"/>
      <c r="S21" s="1500"/>
      <c r="T21" s="1501"/>
      <c r="U21" s="1500"/>
      <c r="V21" s="1500"/>
      <c r="W21" s="1506"/>
      <c r="X21" s="1507"/>
      <c r="Y21" s="1508"/>
      <c r="Z21" s="1501"/>
      <c r="AA21" s="1503"/>
      <c r="AB21" s="1503"/>
      <c r="AC21" s="1503"/>
      <c r="AD21" s="1503"/>
      <c r="AE21" s="1504"/>
      <c r="AF21" s="1500"/>
      <c r="AG21" s="1500"/>
      <c r="AH21" s="1500"/>
      <c r="AI21" s="1500"/>
      <c r="AJ21" s="1500"/>
      <c r="AK21" s="1500"/>
      <c r="AL21" s="1500"/>
      <c r="AM21" s="1500"/>
      <c r="AN21" s="1500"/>
      <c r="AO21" s="1500"/>
      <c r="AP21" s="1500"/>
      <c r="AQ21" s="1489"/>
      <c r="AR21" s="1494"/>
      <c r="AS21" s="1494"/>
      <c r="AT21" s="1494"/>
      <c r="AU21" s="1494"/>
      <c r="AV21" s="1494"/>
      <c r="AW21" s="1494"/>
      <c r="AX21" s="1506"/>
      <c r="AY21" s="1506"/>
    </row>
    <row r="22" spans="1:51" x14ac:dyDescent="0.35">
      <c r="A22" s="1481" t="str">
        <f>+'Historicals and forecast'!A22</f>
        <v>GP</v>
      </c>
      <c r="B22" s="1467"/>
      <c r="C22" s="1482">
        <f>+'Historicals and forecast'!C22</f>
        <v>46.638999999999982</v>
      </c>
      <c r="D22" s="1482">
        <f>+'Historicals and forecast'!D22</f>
        <v>56.136000000000024</v>
      </c>
      <c r="E22" s="1482">
        <f>+'Historicals and forecast'!E22</f>
        <v>53.675000000000011</v>
      </c>
      <c r="F22" s="1483">
        <f>+'Historicals and forecast'!F22</f>
        <v>67.041999999999973</v>
      </c>
      <c r="G22" s="1482">
        <f>+'Historicals and forecast'!G22</f>
        <v>61.3</v>
      </c>
      <c r="H22" s="1483">
        <f>+'Historicals and forecast'!H22</f>
        <v>75.003</v>
      </c>
      <c r="I22" s="1482">
        <f>+'Historicals and forecast'!I22</f>
        <v>74.83499999999998</v>
      </c>
      <c r="J22" s="1483">
        <f>+'Historicals and forecast'!J22</f>
        <v>100.32800000000003</v>
      </c>
      <c r="K22" s="1482">
        <f>+'Historicals and forecast'!K22</f>
        <v>94.672000000000025</v>
      </c>
      <c r="L22" s="1483">
        <f>+'Historicals and forecast'!L22</f>
        <v>116.471</v>
      </c>
      <c r="M22" s="1482">
        <f>+'Historicals and forecast'!M22</f>
        <v>111.67200000000003</v>
      </c>
      <c r="N22" s="1483">
        <f>+'Historicals and forecast'!N22</f>
        <v>124.0329999999999</v>
      </c>
      <c r="O22" s="1482">
        <f>+'Historicals and forecast'!O22</f>
        <v>134.46400000000006</v>
      </c>
      <c r="P22" s="1483">
        <f>+'Historicals and forecast'!P22</f>
        <v>141.89399999999989</v>
      </c>
      <c r="Q22" s="1482">
        <f>+'Historicals and forecast'!Q22</f>
        <v>150.21100000000007</v>
      </c>
      <c r="R22" s="1483">
        <f>+'Historicals and forecast'!R22</f>
        <v>176.99899999999985</v>
      </c>
      <c r="S22" s="1482">
        <f>+'Historicals and forecast'!S22</f>
        <v>177.05399999999997</v>
      </c>
      <c r="T22" s="1483">
        <f>+'Historicals and forecast'!T22</f>
        <v>196.77600000000001</v>
      </c>
      <c r="U22" s="1482">
        <f>+'Historicals and forecast'!U22</f>
        <v>196.51400000000001</v>
      </c>
      <c r="V22" s="1482">
        <f>+'Historicals and forecast'!V22</f>
        <v>221.23899999999998</v>
      </c>
      <c r="W22" s="1484">
        <f>+'Historicals and forecast'!W22</f>
        <v>220.09568000000004</v>
      </c>
      <c r="X22" s="1484">
        <f>+'Historicals and forecast'!X22</f>
        <v>247.78767999999999</v>
      </c>
      <c r="Y22" s="1485"/>
      <c r="Z22" s="1483">
        <f>+'Historicals and forecast'!Z22</f>
        <v>3.1774810000000002</v>
      </c>
      <c r="AA22" s="1486">
        <f>+'Historicals and forecast'!AA22</f>
        <v>4.5370400000000011</v>
      </c>
      <c r="AB22" s="1486">
        <f>+'Historicals and forecast'!AB22</f>
        <v>7.152474999999999</v>
      </c>
      <c r="AC22" s="1486">
        <f>+'Historicals and forecast'!AC22</f>
        <v>7.3485730000000018</v>
      </c>
      <c r="AD22" s="1486">
        <f>+'Historicals and forecast'!AD22</f>
        <v>8.7063690000000022</v>
      </c>
      <c r="AE22" s="1487">
        <f>+'Historicals and forecast'!AE22</f>
        <v>8.562453000000005</v>
      </c>
      <c r="AF22" s="1482">
        <f>+'Historicals and forecast'!AF22</f>
        <v>10.858686999999996</v>
      </c>
      <c r="AG22" s="1482">
        <f>+'Historicals and forecast'!AG22</f>
        <v>15.195045000000007</v>
      </c>
      <c r="AH22" s="1482">
        <f>+'Historicals and forecast'!AH22</f>
        <v>19.758426999999998</v>
      </c>
      <c r="AI22" s="1482">
        <f>+'Historicals and forecast'!AI22</f>
        <v>22.08221300000001</v>
      </c>
      <c r="AJ22" s="1482">
        <f>+'Historicals and forecast'!AJ22</f>
        <v>28.518751999999992</v>
      </c>
      <c r="AK22" s="1482">
        <f>+'Historicals and forecast'!AK22</f>
        <v>43.306200999999987</v>
      </c>
      <c r="AL22" s="1482">
        <f>+'Historicals and forecast'!AL22</f>
        <v>56.284425999999996</v>
      </c>
      <c r="AM22" s="1482">
        <f>+'Historicals and forecast'!AM22</f>
        <v>70.510999999999967</v>
      </c>
      <c r="AN22" s="1482">
        <f>+'Historicals and forecast'!AN22</f>
        <v>88.521000000000015</v>
      </c>
      <c r="AO22" s="1482">
        <f>+'Historicals and forecast'!AO22</f>
        <v>102.77500000000001</v>
      </c>
      <c r="AP22" s="1482">
        <f>+'Historicals and forecast'!AP22</f>
        <v>120.71699999999998</v>
      </c>
      <c r="AQ22" s="1482">
        <f>+'Historicals and forecast'!AQ22</f>
        <v>136.303</v>
      </c>
      <c r="AR22" s="1482">
        <f>+'Historicals and forecast'!AR22</f>
        <v>175.16300000000001</v>
      </c>
      <c r="AS22" s="1482">
        <f>+'Historicals and forecast'!AS22</f>
        <v>211.14300000000003</v>
      </c>
      <c r="AT22" s="1482">
        <f>+'Historicals and forecast'!AT22</f>
        <v>235.70499999999993</v>
      </c>
      <c r="AU22" s="1482">
        <f>+'Historicals and forecast'!AU22</f>
        <v>276.35799999999995</v>
      </c>
      <c r="AV22" s="1482">
        <f>+'Historicals and forecast'!AV22</f>
        <v>327.20999999999992</v>
      </c>
      <c r="AW22" s="1482">
        <f>+'Historicals and forecast'!AW22</f>
        <v>373.83</v>
      </c>
      <c r="AX22" s="1482">
        <f>+'Historicals and forecast'!AX22</f>
        <v>417.75299999999999</v>
      </c>
      <c r="AY22" s="1482">
        <f>+'Historicals and forecast'!AY22</f>
        <v>467.88336000000004</v>
      </c>
    </row>
    <row r="23" spans="1:51" x14ac:dyDescent="0.35">
      <c r="A23" s="1488" t="str">
        <f>+'Historicals and forecast'!A23</f>
        <v>% Growth</v>
      </c>
      <c r="B23" s="1467"/>
      <c r="C23" s="1489"/>
      <c r="D23" s="1489"/>
      <c r="E23" s="1489">
        <f>+'Historicals and forecast'!E23</f>
        <v>0.15086086751431282</v>
      </c>
      <c r="F23" s="1490">
        <f>+'Historicals and forecast'!F23</f>
        <v>0.19427818155906973</v>
      </c>
      <c r="G23" s="1489">
        <f>+'Historicals and forecast'!G23</f>
        <v>0.14205868653935694</v>
      </c>
      <c r="H23" s="1490">
        <f>+'Historicals and forecast'!H23</f>
        <v>0.11874645744458734</v>
      </c>
      <c r="I23" s="1489">
        <f>+'Historicals and forecast'!I23</f>
        <v>0.22079934747145158</v>
      </c>
      <c r="J23" s="1490">
        <f>+'Historicals and forecast'!J23</f>
        <v>0.33765316054024552</v>
      </c>
      <c r="K23" s="1489">
        <f>+'Historicals and forecast'!K23</f>
        <v>0.26507650163693519</v>
      </c>
      <c r="L23" s="1490">
        <f>+'Historicals and forecast'!L23</f>
        <v>0.1609022406506655</v>
      </c>
      <c r="M23" s="1489">
        <f>+'Historicals and forecast'!M23</f>
        <v>0.1795673483184046</v>
      </c>
      <c r="N23" s="1490">
        <f>+'Historicals and forecast'!N23</f>
        <v>6.4926033089781177E-2</v>
      </c>
      <c r="O23" s="1489">
        <f>+'Historicals and forecast'!O23</f>
        <v>0.20409771473601279</v>
      </c>
      <c r="P23" s="1490">
        <f>+'Historicals and forecast'!P23</f>
        <v>0.14400199946788361</v>
      </c>
      <c r="Q23" s="1489">
        <f>+'Historicals and forecast'!Q23</f>
        <v>0.11710941218467408</v>
      </c>
      <c r="R23" s="1490">
        <f>+'Historicals and forecast'!R23</f>
        <v>0.24740299096508656</v>
      </c>
      <c r="S23" s="1489">
        <f>+'Historicals and forecast'!S23</f>
        <v>0.17870195924399601</v>
      </c>
      <c r="T23" s="1490">
        <f>+'Historicals and forecast'!T23</f>
        <v>0.11173509454855779</v>
      </c>
      <c r="U23" s="1489">
        <f>+'Historicals and forecast'!U23</f>
        <v>0.10990997096930899</v>
      </c>
      <c r="V23" s="1489">
        <f>+'Historicals and forecast'!V23</f>
        <v>0.12431902264503791</v>
      </c>
      <c r="W23" s="1489">
        <f>+'Historicals and forecast'!W23</f>
        <v>0.12000000000000011</v>
      </c>
      <c r="X23" s="1489">
        <f>+'Historicals and forecast'!X23</f>
        <v>0.12000000000000011</v>
      </c>
      <c r="Y23" s="1500"/>
      <c r="Z23" s="1490" t="str">
        <f>+'Historicals and forecast'!Z23</f>
        <v/>
      </c>
      <c r="AA23" s="1492">
        <f>+'Historicals and forecast'!AA23</f>
        <v>0.42787321151566315</v>
      </c>
      <c r="AB23" s="1492">
        <f>+'Historicals and forecast'!AB23</f>
        <v>0.57646284802426195</v>
      </c>
      <c r="AC23" s="1492">
        <f>+'Historicals and forecast'!AC23</f>
        <v>2.7416803274391333E-2</v>
      </c>
      <c r="AD23" s="1492">
        <f>+'Historicals and forecast'!AD23</f>
        <v>0.18477002269692355</v>
      </c>
      <c r="AE23" s="1493">
        <f>+'Historicals and forecast'!AE23</f>
        <v>-1.6529967889024388E-2</v>
      </c>
      <c r="AF23" s="1489">
        <f>+'Historicals and forecast'!AF23</f>
        <v>0.26817478589371402</v>
      </c>
      <c r="AG23" s="1489">
        <f>+'Historicals and forecast'!AG23</f>
        <v>0.39934459847677828</v>
      </c>
      <c r="AH23" s="1489">
        <f>+'Historicals and forecast'!AH23</f>
        <v>0.30032040049897768</v>
      </c>
      <c r="AI23" s="1489">
        <f>+'Historicals and forecast'!AI23</f>
        <v>0.11760986843740207</v>
      </c>
      <c r="AJ23" s="1489">
        <f>+'Historicals and forecast'!AJ23</f>
        <v>0.2914807044022254</v>
      </c>
      <c r="AK23" s="1489">
        <f>+'Historicals and forecast'!AK23</f>
        <v>0.51851669385813226</v>
      </c>
      <c r="AL23" s="1489">
        <f>+'Historicals and forecast'!AL23</f>
        <v>0.29968514208854313</v>
      </c>
      <c r="AM23" s="1489">
        <f>+'Historicals and forecast'!AM23</f>
        <v>0.25276217616574748</v>
      </c>
      <c r="AN23" s="1489">
        <f>+'Historicals and forecast'!AN23</f>
        <v>0.25542113996397808</v>
      </c>
      <c r="AO23" s="1489">
        <f>+'Historicals and forecast'!AO23</f>
        <v>0.16102393782266344</v>
      </c>
      <c r="AP23" s="1489">
        <f>+'Historicals and forecast'!AP23</f>
        <v>0.17457552906835305</v>
      </c>
      <c r="AQ23" s="1489">
        <f>+'Historicals and forecast'!AQ23</f>
        <v>0.12911188979182731</v>
      </c>
      <c r="AR23" s="1489">
        <f>+'Historicals and forecast'!AR23</f>
        <v>0.28510010784795647</v>
      </c>
      <c r="AS23" s="1489">
        <f>+'Historicals and forecast'!AS23</f>
        <v>0.20540867648989813</v>
      </c>
      <c r="AT23" s="1489">
        <f>+'Historicals and forecast'!AT23</f>
        <v>0.11632874402655968</v>
      </c>
      <c r="AU23" s="1489">
        <f>+'Historicals and forecast'!AU23</f>
        <v>0.17247406716022162</v>
      </c>
      <c r="AV23" s="1489">
        <f>+'Historicals and forecast'!AV23</f>
        <v>0.1840077001570426</v>
      </c>
      <c r="AW23" s="1489">
        <f>+'Historicals and forecast'!AW23</f>
        <v>0.14247730815072912</v>
      </c>
      <c r="AX23" s="1489">
        <f>+'Historicals and forecast'!AX23</f>
        <v>0.11749458309926974</v>
      </c>
      <c r="AY23" s="1489">
        <f>+'Historicals and forecast'!AY23</f>
        <v>0.12000000000000011</v>
      </c>
    </row>
    <row r="24" spans="1:51" hidden="1" outlineLevel="1" x14ac:dyDescent="0.35">
      <c r="A24" s="1488" t="str">
        <f>+'Historicals and forecast'!A24</f>
        <v>% Organic CC</v>
      </c>
      <c r="B24" s="1467"/>
      <c r="C24" s="1489">
        <f>+'Historicals and forecast'!C24</f>
        <v>0</v>
      </c>
      <c r="D24" s="1489">
        <f>+'Historicals and forecast'!D24</f>
        <v>0</v>
      </c>
      <c r="E24" s="1489">
        <f>+'Historicals and forecast'!E24</f>
        <v>0.15086086751431282</v>
      </c>
      <c r="F24" s="1490">
        <f>+'Historicals and forecast'!F24</f>
        <v>0.19427818155906973</v>
      </c>
      <c r="G24" s="1489">
        <f>+'Historicals and forecast'!G24</f>
        <v>0.14205868653935694</v>
      </c>
      <c r="H24" s="1490">
        <f>+'Historicals and forecast'!H24</f>
        <v>0.11874645744458734</v>
      </c>
      <c r="I24" s="1489">
        <f>+'Historicals and forecast'!I24</f>
        <v>0.22079934747145158</v>
      </c>
      <c r="J24" s="1490">
        <f>+'Historicals and forecast'!J24</f>
        <v>0.33765316054024552</v>
      </c>
      <c r="K24" s="1489">
        <f>+'Historicals and forecast'!K24</f>
        <v>0.26507650163693519</v>
      </c>
      <c r="L24" s="1490">
        <f>+'Historicals and forecast'!L24</f>
        <v>0.1609022406506655</v>
      </c>
      <c r="M24" s="1489">
        <f>+'Historicals and forecast'!M24</f>
        <v>0.1795673483184046</v>
      </c>
      <c r="N24" s="1490">
        <f>+'Historicals and forecast'!N24</f>
        <v>6.4926033089781177E-2</v>
      </c>
      <c r="O24" s="1489">
        <f>+'Historicals and forecast'!O24</f>
        <v>0.20409771473601279</v>
      </c>
      <c r="P24" s="1490">
        <f>+'Historicals and forecast'!P24</f>
        <v>0.14400199946788361</v>
      </c>
      <c r="Q24" s="1489">
        <f>+'Historicals and forecast'!Q24</f>
        <v>0.11710941218467408</v>
      </c>
      <c r="R24" s="1490">
        <f>+'Historicals and forecast'!R24</f>
        <v>0.24740299096508656</v>
      </c>
      <c r="S24" s="1489">
        <f>+'Historicals and forecast'!S24</f>
        <v>0.17870195924399601</v>
      </c>
      <c r="T24" s="1490">
        <f>+'Historicals and forecast'!T24</f>
        <v>0.11173509454855779</v>
      </c>
      <c r="U24" s="1489">
        <f>+'Historicals and forecast'!U24</f>
        <v>0.10990997096930899</v>
      </c>
      <c r="V24" s="1489">
        <f>+'Historicals and forecast'!V24</f>
        <v>0.12431902264503791</v>
      </c>
      <c r="W24" s="1489">
        <f>+'Historicals and forecast'!W24</f>
        <v>0.12000000000000011</v>
      </c>
      <c r="X24" s="1489">
        <f>+'Historicals and forecast'!X24</f>
        <v>0.12000000000000011</v>
      </c>
      <c r="Y24" s="1500"/>
      <c r="Z24" s="1490" t="str">
        <f>+'Historicals and forecast'!Z24</f>
        <v/>
      </c>
      <c r="AA24" s="1492">
        <f>+'Historicals and forecast'!AA24</f>
        <v>0.42787321151566315</v>
      </c>
      <c r="AB24" s="1492">
        <f>+'Historicals and forecast'!AB24</f>
        <v>0.57646284802426195</v>
      </c>
      <c r="AC24" s="1492">
        <f>+'Historicals and forecast'!AC24</f>
        <v>2.7416803274391333E-2</v>
      </c>
      <c r="AD24" s="1492">
        <f>+'Historicals and forecast'!AD24</f>
        <v>0.18477002269692355</v>
      </c>
      <c r="AE24" s="1493">
        <f>+'Historicals and forecast'!AE24</f>
        <v>-1.6529967889024388E-2</v>
      </c>
      <c r="AF24" s="1489">
        <f>+'Historicals and forecast'!AF24</f>
        <v>0.26817478589371402</v>
      </c>
      <c r="AG24" s="1489">
        <f>+'Historicals and forecast'!AG24</f>
        <v>0.39934459847677828</v>
      </c>
      <c r="AH24" s="1489">
        <f>+'Historicals and forecast'!AH24</f>
        <v>0.30032040049897768</v>
      </c>
      <c r="AI24" s="1489">
        <f>+'Historicals and forecast'!AI24</f>
        <v>0.11760986843740207</v>
      </c>
      <c r="AJ24" s="1489">
        <f>+'Historicals and forecast'!AJ24</f>
        <v>0.2914807044022254</v>
      </c>
      <c r="AK24" s="1489">
        <f>+'Historicals and forecast'!AK24</f>
        <v>0.51851669385813226</v>
      </c>
      <c r="AL24" s="1489">
        <f>+'Historicals and forecast'!AL24</f>
        <v>0.29968514208854313</v>
      </c>
      <c r="AM24" s="1489">
        <f>+'Historicals and forecast'!AM24</f>
        <v>0.25276217616574748</v>
      </c>
      <c r="AN24" s="1489">
        <f>+'Historicals and forecast'!AN24</f>
        <v>0.25542113996397808</v>
      </c>
      <c r="AO24" s="1489">
        <f>+'Historicals and forecast'!AO24</f>
        <v>0.16102393782266344</v>
      </c>
      <c r="AP24" s="1489">
        <f>+'Historicals and forecast'!AP24</f>
        <v>0.17457552906835305</v>
      </c>
      <c r="AQ24" s="1489">
        <f>+'Historicals and forecast'!AQ24</f>
        <v>0.12911188979182731</v>
      </c>
      <c r="AR24" s="1489">
        <f>+'Historicals and forecast'!AR24</f>
        <v>0.28510010784795647</v>
      </c>
      <c r="AS24" s="1489">
        <f>+'Historicals and forecast'!AS24</f>
        <v>0.20540867648989813</v>
      </c>
      <c r="AT24" s="1489">
        <f>+'Historicals and forecast'!AT24</f>
        <v>0.11632874402655968</v>
      </c>
      <c r="AU24" s="1489">
        <f>+'Historicals and forecast'!AU24</f>
        <v>0.17247406716022162</v>
      </c>
      <c r="AV24" s="1489">
        <f>+'Historicals and forecast'!AV24</f>
        <v>0.1840077001570426</v>
      </c>
      <c r="AW24" s="1489">
        <f>+'Historicals and forecast'!AW24</f>
        <v>0.14247730815072912</v>
      </c>
      <c r="AX24" s="1489">
        <f>+'Historicals and forecast'!AX24</f>
        <v>0.11749458309926974</v>
      </c>
      <c r="AY24" s="1489">
        <f>+'Historicals and forecast'!AY24</f>
        <v>0.12000000000000011</v>
      </c>
    </row>
    <row r="25" spans="1:51" collapsed="1" x14ac:dyDescent="0.35">
      <c r="A25" s="1488" t="str">
        <f>+'Historicals and forecast'!A25</f>
        <v>Sequential</v>
      </c>
      <c r="B25" s="1467"/>
      <c r="C25" s="1494"/>
      <c r="D25" s="1494">
        <f>+'Historicals and forecast'!D25</f>
        <v>9.4970000000000425</v>
      </c>
      <c r="E25" s="1494">
        <f>+'Historicals and forecast'!E25</f>
        <v>-2.4610000000000127</v>
      </c>
      <c r="F25" s="1495">
        <f>+'Historicals and forecast'!F25</f>
        <v>13.366999999999962</v>
      </c>
      <c r="G25" s="1494">
        <f>+'Historicals and forecast'!G25</f>
        <v>-5.741999999999976</v>
      </c>
      <c r="H25" s="1495">
        <f>+'Historicals and forecast'!H25</f>
        <v>13.703000000000003</v>
      </c>
      <c r="I25" s="1494">
        <f>+'Historicals and forecast'!I25</f>
        <v>-0.16800000000002058</v>
      </c>
      <c r="J25" s="1495">
        <f>+'Historicals and forecast'!J25</f>
        <v>25.493000000000052</v>
      </c>
      <c r="K25" s="1494">
        <f>+'Historicals and forecast'!K25</f>
        <v>-5.6560000000000059</v>
      </c>
      <c r="L25" s="1495">
        <f>+'Historicals and forecast'!L25</f>
        <v>21.798999999999978</v>
      </c>
      <c r="M25" s="1494">
        <f>+'Historicals and forecast'!M25</f>
        <v>-4.7989999999999782</v>
      </c>
      <c r="N25" s="1495">
        <f>+'Historicals and forecast'!N25</f>
        <v>12.360999999999876</v>
      </c>
      <c r="O25" s="1494">
        <f>+'Historicals and forecast'!O25</f>
        <v>10.431000000000154</v>
      </c>
      <c r="P25" s="1495">
        <f>+'Historicals and forecast'!P25</f>
        <v>7.4299999999998363</v>
      </c>
      <c r="Q25" s="1494">
        <f>+'Historicals and forecast'!Q25</f>
        <v>8.3170000000001778</v>
      </c>
      <c r="R25" s="1495">
        <f>+'Historicals and forecast'!R25</f>
        <v>26.787999999999784</v>
      </c>
      <c r="S25" s="1494">
        <f>+'Historicals and forecast'!S25</f>
        <v>5.5000000000120508E-2</v>
      </c>
      <c r="T25" s="1495">
        <f>+'Historicals and forecast'!T25</f>
        <v>19.722000000000037</v>
      </c>
      <c r="U25" s="1494">
        <f>+'Historicals and forecast'!U25</f>
        <v>-0.26200000000000045</v>
      </c>
      <c r="V25" s="1494">
        <f>+'Historicals and forecast'!V25</f>
        <v>24.724999999999966</v>
      </c>
      <c r="W25" s="1494">
        <f>+'Historicals and forecast'!W25</f>
        <v>-1.1433199999999317</v>
      </c>
      <c r="X25" s="1494">
        <f>+'Historicals and forecast'!X25</f>
        <v>27.69199999999995</v>
      </c>
      <c r="Y25" s="1496"/>
      <c r="Z25" s="1495">
        <f>+'Historicals and forecast'!Z25</f>
        <v>0</v>
      </c>
      <c r="AA25" s="1497">
        <f>+'Historicals and forecast'!AA25</f>
        <v>0</v>
      </c>
      <c r="AB25" s="1497">
        <f>+'Historicals and forecast'!AB25</f>
        <v>0</v>
      </c>
      <c r="AC25" s="1497">
        <f>+'Historicals and forecast'!AC25</f>
        <v>0</v>
      </c>
      <c r="AD25" s="1497">
        <f>+'Historicals and forecast'!AD25</f>
        <v>0</v>
      </c>
      <c r="AE25" s="1498">
        <f>+'Historicals and forecast'!AE25</f>
        <v>0</v>
      </c>
      <c r="AF25" s="1494">
        <f>+'Historicals and forecast'!AF25</f>
        <v>2.2962339999999912</v>
      </c>
      <c r="AG25" s="1494">
        <f>+'Historicals and forecast'!AG25</f>
        <v>4.3363580000000113</v>
      </c>
      <c r="AH25" s="1494">
        <f>+'Historicals and forecast'!AH25</f>
        <v>4.5633819999999901</v>
      </c>
      <c r="AI25" s="1494">
        <f>+'Historicals and forecast'!AI25</f>
        <v>2.3237860000000126</v>
      </c>
      <c r="AJ25" s="1494">
        <f>+'Historicals and forecast'!AJ25</f>
        <v>6.436538999999982</v>
      </c>
      <c r="AK25" s="1494">
        <f>+'Historicals and forecast'!AK25</f>
        <v>14.787448999999995</v>
      </c>
      <c r="AL25" s="1494">
        <f>+'Historicals and forecast'!AL25</f>
        <v>12.978225000000009</v>
      </c>
      <c r="AM25" s="1494">
        <f>+'Historicals and forecast'!AM25</f>
        <v>14.226573999999971</v>
      </c>
      <c r="AN25" s="1494">
        <f>+'Historicals and forecast'!AN25</f>
        <v>18.010000000000048</v>
      </c>
      <c r="AO25" s="1494">
        <f>+'Historicals and forecast'!AO25</f>
        <v>14.253999999999991</v>
      </c>
      <c r="AP25" s="1494">
        <f>+'Historicals and forecast'!AP25</f>
        <v>17.941999999999979</v>
      </c>
      <c r="AQ25" s="1494">
        <f>+'Historicals and forecast'!AQ25</f>
        <v>15.586000000000013</v>
      </c>
      <c r="AR25" s="1494">
        <f>+'Historicals and forecast'!AR25</f>
        <v>38.860000000000014</v>
      </c>
      <c r="AS25" s="1494">
        <f>+'Historicals and forecast'!AS25</f>
        <v>35.980000000000018</v>
      </c>
      <c r="AT25" s="1494">
        <f>+'Historicals and forecast'!AT25</f>
        <v>24.561999999999898</v>
      </c>
      <c r="AU25" s="1494">
        <f>+'Historicals and forecast'!AU25</f>
        <v>40.65300000000002</v>
      </c>
      <c r="AV25" s="1494">
        <f>+'Historicals and forecast'!AV25</f>
        <v>50.851999999999975</v>
      </c>
      <c r="AW25" s="1494">
        <f>+'Historicals and forecast'!AW25</f>
        <v>46.620000000000061</v>
      </c>
      <c r="AX25" s="1494">
        <f>+'Historicals and forecast'!AX25</f>
        <v>43.923000000000002</v>
      </c>
      <c r="AY25" s="1494">
        <f>+'Historicals and forecast'!AY25</f>
        <v>50.130360000000053</v>
      </c>
    </row>
    <row r="26" spans="1:51" x14ac:dyDescent="0.35">
      <c r="A26" s="1488" t="str">
        <f>+'Historicals and forecast'!A26</f>
        <v>Incremental Annual</v>
      </c>
      <c r="B26" s="1467"/>
      <c r="C26" s="1509"/>
      <c r="D26" s="1509"/>
      <c r="E26" s="1509">
        <f>+'Historicals and forecast'!E26</f>
        <v>7.0360000000000298</v>
      </c>
      <c r="F26" s="1510">
        <f>+'Historicals and forecast'!F26</f>
        <v>10.905999999999949</v>
      </c>
      <c r="G26" s="1509">
        <f>+'Historicals and forecast'!G26</f>
        <v>7.6249999999999858</v>
      </c>
      <c r="H26" s="1510">
        <f>+'Historicals and forecast'!H26</f>
        <v>7.9610000000000269</v>
      </c>
      <c r="I26" s="1509">
        <f>+'Historicals and forecast'!I26</f>
        <v>13.534999999999982</v>
      </c>
      <c r="J26" s="1510">
        <f>+'Historicals and forecast'!J26</f>
        <v>25.325000000000031</v>
      </c>
      <c r="K26" s="1509">
        <f>+'Historicals and forecast'!K26</f>
        <v>19.837000000000046</v>
      </c>
      <c r="L26" s="1510">
        <f>+'Historicals and forecast'!L26</f>
        <v>16.142999999999972</v>
      </c>
      <c r="M26" s="1509">
        <f>+'Historicals and forecast'!M26</f>
        <v>17</v>
      </c>
      <c r="N26" s="1510">
        <f>+'Historicals and forecast'!N26</f>
        <v>7.5619999999998981</v>
      </c>
      <c r="O26" s="1509">
        <f>+'Historicals and forecast'!O26</f>
        <v>22.79200000000003</v>
      </c>
      <c r="P26" s="1510">
        <f>+'Historicals and forecast'!P26</f>
        <v>17.86099999999999</v>
      </c>
      <c r="Q26" s="1509">
        <f>+'Historicals and forecast'!Q26</f>
        <v>15.747000000000014</v>
      </c>
      <c r="R26" s="1510">
        <f>+'Historicals and forecast'!R26</f>
        <v>35.104999999999961</v>
      </c>
      <c r="S26" s="1509">
        <f>+'Historicals and forecast'!S26</f>
        <v>26.842999999999904</v>
      </c>
      <c r="T26" s="1510">
        <f>+'Historicals and forecast'!T26</f>
        <v>19.777000000000157</v>
      </c>
      <c r="U26" s="1509">
        <f>+'Historicals and forecast'!U26</f>
        <v>19.460000000000036</v>
      </c>
      <c r="V26" s="1509">
        <f>+'Historicals and forecast'!V26</f>
        <v>24.462999999999965</v>
      </c>
      <c r="W26" s="1509">
        <f>+'Historicals and forecast'!W26</f>
        <v>23.581680000000034</v>
      </c>
      <c r="X26" s="1509">
        <f>+'Historicals and forecast'!X26</f>
        <v>26.548680000000019</v>
      </c>
      <c r="Y26" s="1511"/>
      <c r="Z26" s="1510">
        <f>+'Historicals and forecast'!Z26</f>
        <v>0</v>
      </c>
      <c r="AA26" s="1512">
        <f>+'Historicals and forecast'!AA26</f>
        <v>0</v>
      </c>
      <c r="AB26" s="1512">
        <f>+'Historicals and forecast'!AB26</f>
        <v>0</v>
      </c>
      <c r="AC26" s="1512">
        <f>+'Historicals and forecast'!AC26</f>
        <v>0</v>
      </c>
      <c r="AD26" s="1512">
        <f>+'Historicals and forecast'!AD26</f>
        <v>0</v>
      </c>
      <c r="AE26" s="1513">
        <f>+'Historicals and forecast'!AE26</f>
        <v>0</v>
      </c>
      <c r="AF26" s="1509">
        <f>+'Historicals and forecast'!AF26</f>
        <v>2.2962339999999912</v>
      </c>
      <c r="AG26" s="1509">
        <f>+'Historicals and forecast'!AG26</f>
        <v>4.3363580000000113</v>
      </c>
      <c r="AH26" s="1509">
        <f>+'Historicals and forecast'!AH26</f>
        <v>4.5633819999999901</v>
      </c>
      <c r="AI26" s="1509">
        <f>+'Historicals and forecast'!AI26</f>
        <v>2.3237860000000126</v>
      </c>
      <c r="AJ26" s="1509">
        <f>+'Historicals and forecast'!AJ26</f>
        <v>6.436538999999982</v>
      </c>
      <c r="AK26" s="1509">
        <f>+'Historicals and forecast'!AK26</f>
        <v>14.787448999999995</v>
      </c>
      <c r="AL26" s="1509">
        <f>+'Historicals and forecast'!AL26</f>
        <v>12.978225000000009</v>
      </c>
      <c r="AM26" s="1509">
        <f>+'Historicals and forecast'!AM26</f>
        <v>14.226573999999971</v>
      </c>
      <c r="AN26" s="1509">
        <f>+'Historicals and forecast'!AN26</f>
        <v>18.010000000000048</v>
      </c>
      <c r="AO26" s="1509">
        <f>+'Historicals and forecast'!AO26</f>
        <v>14.253999999999991</v>
      </c>
      <c r="AP26" s="1509">
        <f>+'Historicals and forecast'!AP26</f>
        <v>17.941999999999979</v>
      </c>
      <c r="AQ26" s="1509">
        <f>+'Historicals and forecast'!AQ26</f>
        <v>15.586000000000013</v>
      </c>
      <c r="AR26" s="1509">
        <f>+'Historicals and forecast'!AR26</f>
        <v>38.860000000000014</v>
      </c>
      <c r="AS26" s="1509">
        <f>+'Historicals and forecast'!AS26</f>
        <v>35.980000000000018</v>
      </c>
      <c r="AT26" s="1509">
        <f>+'Historicals and forecast'!AT26</f>
        <v>24.561999999999898</v>
      </c>
      <c r="AU26" s="1509">
        <f>+'Historicals and forecast'!AU26</f>
        <v>40.65300000000002</v>
      </c>
      <c r="AV26" s="1509">
        <f>+'Historicals and forecast'!AV26</f>
        <v>50.851999999999975</v>
      </c>
      <c r="AW26" s="1509">
        <f>+'Historicals and forecast'!AW26</f>
        <v>46.620000000000061</v>
      </c>
      <c r="AX26" s="1509">
        <f>+'Historicals and forecast'!AX26</f>
        <v>43.923000000000002</v>
      </c>
      <c r="AY26" s="1509">
        <f>+'Historicals and forecast'!AY26</f>
        <v>50.130360000000053</v>
      </c>
    </row>
    <row r="27" spans="1:51" hidden="1" outlineLevel="1" x14ac:dyDescent="0.35">
      <c r="A27" s="1488" t="str">
        <f>+'Historicals and forecast'!A27</f>
        <v>% of Invoiced Income</v>
      </c>
      <c r="B27" s="1467"/>
      <c r="C27" s="1489">
        <f>+'Historicals and forecast'!C27</f>
        <v>0.17545331427281613</v>
      </c>
      <c r="D27" s="1489">
        <f>+'Historicals and forecast'!D27</f>
        <v>0.16997311241915566</v>
      </c>
      <c r="E27" s="1489">
        <f>+'Historicals and forecast'!E27</f>
        <v>0.18282236172089747</v>
      </c>
      <c r="F27" s="1490">
        <f>+'Historicals and forecast'!F27</f>
        <v>0.17700390748759101</v>
      </c>
      <c r="G27" s="1489">
        <f>+'Historicals and forecast'!G27</f>
        <v>0.16195508586525759</v>
      </c>
      <c r="H27" s="1490">
        <f>+'Historicals and forecast'!H27</f>
        <v>0.16521357957248842</v>
      </c>
      <c r="I27" s="1489">
        <f>+'Historicals and forecast'!I27</f>
        <v>0.15826606294266801</v>
      </c>
      <c r="J27" s="1490">
        <f>+'Historicals and forecast'!J27</f>
        <v>0.164786847011095</v>
      </c>
      <c r="K27" s="1489">
        <f>+'Historicals and forecast'!K27</f>
        <v>0.15577304049651508</v>
      </c>
      <c r="L27" s="1490">
        <f>+'Historicals and forecast'!L27</f>
        <v>0.14444976361390438</v>
      </c>
      <c r="M27" s="1489">
        <f>+'Historicals and forecast'!M27</f>
        <v>0.15345420366568555</v>
      </c>
      <c r="N27" s="1490">
        <f>+'Historicals and forecast'!N27</f>
        <v>0.13504320777293508</v>
      </c>
      <c r="O27" s="1489">
        <f>+'Historicals and forecast'!O27</f>
        <v>0.1544114945063022</v>
      </c>
      <c r="P27" s="1490">
        <f>+'Historicals and forecast'!P27</f>
        <v>0.13290634155845119</v>
      </c>
      <c r="Q27" s="1489">
        <f>+'Historicals and forecast'!Q27</f>
        <v>0.12967770285261429</v>
      </c>
      <c r="R27" s="1490">
        <f>+'Historicals and forecast'!R27</f>
        <v>0.13118850041061481</v>
      </c>
      <c r="S27" s="1489">
        <f>+'Historicals and forecast'!S27</f>
        <v>0.14575608695938513</v>
      </c>
      <c r="T27" s="1490">
        <f>+'Historicals and forecast'!T27</f>
        <v>0.14594681191925662</v>
      </c>
      <c r="U27" s="1489">
        <f>+'Historicals and forecast'!U27</f>
        <v>0.15553146022952119</v>
      </c>
      <c r="V27" s="1514">
        <f>+'Historicals and forecast'!V27</f>
        <v>0.13925788380436835</v>
      </c>
      <c r="W27" s="1489">
        <f>+'Historicals and forecast'!W27</f>
        <v>0.15553146022952119</v>
      </c>
      <c r="X27" s="1489">
        <f>+'Historicals and forecast'!X27</f>
        <v>0.13925788380436835</v>
      </c>
      <c r="Y27" s="1500"/>
      <c r="Z27" s="1490">
        <f>+'Historicals and forecast'!Z27</f>
        <v>0.1729979296747097</v>
      </c>
      <c r="AA27" s="1492">
        <f>+'Historicals and forecast'!AA27</f>
        <v>0.14236544199577209</v>
      </c>
      <c r="AB27" s="1492">
        <f>+'Historicals and forecast'!AB27</f>
        <v>0.1852562690461399</v>
      </c>
      <c r="AC27" s="1492">
        <f>+'Historicals and forecast'!AC27</f>
        <v>0.18614801955394786</v>
      </c>
      <c r="AD27" s="1492">
        <f>+'Historicals and forecast'!AD27</f>
        <v>0.17026995503350517</v>
      </c>
      <c r="AE27" s="1493">
        <f>+'Historicals and forecast'!AE27</f>
        <v>0.149942374530772</v>
      </c>
      <c r="AF27" s="1489">
        <f>+'Historicals and forecast'!AF27</f>
        <v>0.16140055005596857</v>
      </c>
      <c r="AG27" s="1489">
        <f>+'Historicals and forecast'!AG27</f>
        <v>0.17045795292080837</v>
      </c>
      <c r="AH27" s="1489">
        <f>+'Historicals and forecast'!AH27</f>
        <v>0.19198613664233918</v>
      </c>
      <c r="AI27" s="1489">
        <f>+'Historicals and forecast'!AI27</f>
        <v>0.19522043938461622</v>
      </c>
      <c r="AJ27" s="1489">
        <f>+'Historicals and forecast'!AJ27</f>
        <v>0.19566708658944551</v>
      </c>
      <c r="AK27" s="1489">
        <f>+'Historicals and forecast'!AK27</f>
        <v>0.19753944610335061</v>
      </c>
      <c r="AL27" s="1489">
        <f>+'Historicals and forecast'!AL27</f>
        <v>0.18511234480329095</v>
      </c>
      <c r="AM27" s="1489">
        <f>+'Historicals and forecast'!AM27</f>
        <v>0.1781678610052658</v>
      </c>
      <c r="AN27" s="1489">
        <f>+'Historicals and forecast'!AN27</f>
        <v>0.17535959999762282</v>
      </c>
      <c r="AO27" s="1489">
        <f>+'Historicals and forecast'!AO27</f>
        <v>0.17241697478878815</v>
      </c>
      <c r="AP27" s="1489">
        <f>+'Historicals and forecast'!AP27</f>
        <v>0.17954461285846229</v>
      </c>
      <c r="AQ27" s="1489">
        <f>+'Historicals and forecast'!AQ27</f>
        <v>0.16373204753049939</v>
      </c>
      <c r="AR27" s="1489">
        <f>+'Historicals and forecast'!AR27</f>
        <v>0.16193636183781124</v>
      </c>
      <c r="AS27" s="1489">
        <f>+'Historicals and forecast'!AS27</f>
        <v>0.14931643829416491</v>
      </c>
      <c r="AT27" s="1489">
        <f>+'Historicals and forecast'!AT27</f>
        <v>0.14318204874161014</v>
      </c>
      <c r="AU27" s="1489">
        <f>+'Historicals and forecast'!AU27</f>
        <v>0.14256721900084601</v>
      </c>
      <c r="AV27" s="1489">
        <f>+'Historicals and forecast'!AV27</f>
        <v>0.13049059694832019</v>
      </c>
      <c r="AW27" s="1489">
        <f>+'Historicals and forecast'!AW27</f>
        <v>0.14585641825985174</v>
      </c>
      <c r="AX27" s="1489">
        <f>+'Historicals and forecast'!AX27</f>
        <v>0.14646693780239814</v>
      </c>
      <c r="AY27" s="1489">
        <f>+'Historicals and forecast'!AY27</f>
        <v>0.14646693780239817</v>
      </c>
    </row>
    <row r="28" spans="1:51" collapsed="1" x14ac:dyDescent="0.35">
      <c r="B28" s="1467"/>
      <c r="F28" s="1515"/>
      <c r="H28" s="1515"/>
      <c r="J28" s="1515"/>
      <c r="L28" s="1515"/>
      <c r="N28" s="1515"/>
      <c r="P28" s="1515"/>
      <c r="R28" s="1515"/>
      <c r="T28" s="1515"/>
    </row>
    <row r="29" spans="1:51" x14ac:dyDescent="0.35">
      <c r="A29" s="1478" t="s">
        <v>482</v>
      </c>
      <c r="B29" s="1467"/>
      <c r="F29" s="1515"/>
      <c r="H29" s="1515"/>
      <c r="J29" s="1515"/>
      <c r="L29" s="1515"/>
      <c r="N29" s="1515"/>
      <c r="P29" s="1515"/>
      <c r="R29" s="1515"/>
      <c r="T29" s="1515"/>
    </row>
    <row r="30" spans="1:51" x14ac:dyDescent="0.35">
      <c r="B30" s="1467"/>
      <c r="F30" s="1515"/>
      <c r="H30" s="1515"/>
      <c r="J30" s="1515"/>
      <c r="L30" s="1515"/>
      <c r="N30" s="1515"/>
      <c r="P30" s="1515"/>
      <c r="R30" s="1515"/>
      <c r="T30" s="1515"/>
    </row>
    <row r="31" spans="1:51" x14ac:dyDescent="0.35">
      <c r="A31" s="1481" t="s">
        <v>483</v>
      </c>
      <c r="B31" s="1467"/>
      <c r="C31" s="1482">
        <f>209.56-96.9</f>
        <v>112.66</v>
      </c>
      <c r="D31" s="1482">
        <v>102.92</v>
      </c>
      <c r="E31" s="1482">
        <f>216.45-D31</f>
        <v>113.52999999999999</v>
      </c>
      <c r="F31" s="1483">
        <f>+'v BYIT'!F10</f>
        <v>91.08</v>
      </c>
      <c r="G31" s="1482">
        <f>+'v BYIT'!G10</f>
        <v>111.47600000000001</v>
      </c>
      <c r="H31" s="1483">
        <f>+'v BYIT'!H10</f>
        <v>92.471999999999994</v>
      </c>
      <c r="I31" s="1482">
        <f>+'v BYIT'!I10</f>
        <v>103.69799999999999</v>
      </c>
      <c r="J31" s="1483">
        <f>+'v BYIT'!J10</f>
        <v>100.43</v>
      </c>
      <c r="K31" s="1482">
        <f>+'v BYIT'!K10</f>
        <v>105.27799999999999</v>
      </c>
      <c r="L31" s="1483">
        <f>+'v BYIT'!L10</f>
        <v>101.524</v>
      </c>
      <c r="M31" s="1482">
        <f>+'v BYIT'!M10</f>
        <v>119.684</v>
      </c>
      <c r="N31" s="1483">
        <f>+'v BYIT'!N10</f>
        <v>122.626</v>
      </c>
      <c r="O31" s="1482">
        <f>+'v BYIT'!O10</f>
        <v>126.57399999999998</v>
      </c>
      <c r="P31" s="1483">
        <f>+'v BYIT'!P10</f>
        <v>133.1</v>
      </c>
      <c r="Q31" s="1482">
        <f>+'v BYIT'!Q10</f>
        <v>135.1</v>
      </c>
      <c r="R31" s="1483">
        <f>+'v BYIT'!R10</f>
        <v>130.30000000000001</v>
      </c>
      <c r="S31" s="1482">
        <f>+'v BYIT'!S10</f>
        <v>128.89999999999998</v>
      </c>
      <c r="T31" s="1483">
        <f>+'v BYIT'!T10</f>
        <v>127.2</v>
      </c>
      <c r="U31" s="1482">
        <f>+'v BYIT'!U10</f>
        <v>123.60000000000001</v>
      </c>
      <c r="V31" s="1482">
        <f>+'v BYIT'!V10</f>
        <v>107.8</v>
      </c>
      <c r="W31" s="1484"/>
      <c r="X31" s="1484"/>
      <c r="Y31" s="1485"/>
      <c r="Z31" s="1482"/>
      <c r="AA31" s="1482"/>
      <c r="AB31" s="1482"/>
      <c r="AC31" s="1482"/>
      <c r="AD31" s="1482"/>
      <c r="AE31" s="1482"/>
      <c r="AF31" s="1482"/>
      <c r="AG31" s="1482"/>
      <c r="AH31" s="1482"/>
      <c r="AI31" s="1482"/>
      <c r="AJ31" s="1482"/>
      <c r="AK31" s="1482"/>
      <c r="AL31" s="1482"/>
      <c r="AM31" s="1482"/>
      <c r="AN31" s="1482"/>
      <c r="AO31" s="1482">
        <f>+SUM(C31:D31)</f>
        <v>215.57999999999998</v>
      </c>
      <c r="AP31" s="1482">
        <f>+SUM(E31:F31)</f>
        <v>204.60999999999999</v>
      </c>
      <c r="AQ31" s="1482">
        <f>+SUM(G31:H31)</f>
        <v>203.94800000000001</v>
      </c>
      <c r="AR31" s="1482">
        <f>+SUM(I31:J31)</f>
        <v>204.12799999999999</v>
      </c>
      <c r="AS31" s="1482">
        <f>+SUM(K31:L31)</f>
        <v>206.80199999999999</v>
      </c>
      <c r="AT31" s="1482">
        <f>+SUM(M31:N31)</f>
        <v>242.31</v>
      </c>
      <c r="AU31" s="1482">
        <f>+SUM(O31:P31)</f>
        <v>259.67399999999998</v>
      </c>
      <c r="AV31" s="1482">
        <f>+SUM(Q31:R31)</f>
        <v>265.39999999999998</v>
      </c>
      <c r="AW31" s="1482">
        <f>+SUM(S31:T31)</f>
        <v>256.09999999999997</v>
      </c>
      <c r="AX31" s="1482">
        <f>+SUM(U31:V31)</f>
        <v>231.4</v>
      </c>
      <c r="AY31" s="1482"/>
    </row>
    <row r="32" spans="1:51" x14ac:dyDescent="0.35">
      <c r="A32" s="1481"/>
      <c r="B32" s="1467"/>
      <c r="C32" s="1482"/>
      <c r="D32" s="1482"/>
      <c r="E32" s="1482"/>
      <c r="F32" s="1483"/>
      <c r="G32" s="1482"/>
      <c r="H32" s="1483"/>
      <c r="I32" s="1482"/>
      <c r="J32" s="1483"/>
      <c r="K32" s="1482"/>
      <c r="L32" s="1483"/>
      <c r="M32" s="1482"/>
      <c r="N32" s="1483"/>
      <c r="O32" s="1482"/>
      <c r="P32" s="1483"/>
      <c r="Q32" s="1482"/>
      <c r="R32" s="1483"/>
      <c r="S32" s="1482"/>
      <c r="T32" s="1483"/>
      <c r="U32" s="1482"/>
      <c r="V32" s="1482"/>
      <c r="W32" s="1484"/>
      <c r="X32" s="1484"/>
      <c r="Y32" s="1485"/>
      <c r="Z32" s="1482"/>
      <c r="AA32" s="1482"/>
      <c r="AB32" s="1482"/>
      <c r="AC32" s="1482"/>
      <c r="AD32" s="1482"/>
      <c r="AE32" s="1482"/>
      <c r="AF32" s="1482"/>
      <c r="AG32" s="1482"/>
      <c r="AH32" s="1482"/>
      <c r="AI32" s="1482"/>
      <c r="AJ32" s="1482"/>
      <c r="AK32" s="1482"/>
      <c r="AL32" s="1482"/>
      <c r="AM32" s="1482"/>
      <c r="AN32" s="1482"/>
      <c r="AO32" s="1482"/>
      <c r="AP32" s="1482"/>
      <c r="AQ32" s="1482"/>
      <c r="AR32" s="1482"/>
      <c r="AS32" s="1482"/>
      <c r="AT32" s="1482"/>
      <c r="AU32" s="1482"/>
      <c r="AV32" s="1482"/>
      <c r="AW32" s="1482"/>
      <c r="AX32" s="1482"/>
      <c r="AY32" s="1482"/>
    </row>
    <row r="33" spans="1:52" ht="16" x14ac:dyDescent="0.5">
      <c r="A33" s="1481"/>
      <c r="B33" s="1467"/>
      <c r="C33" s="1482"/>
      <c r="D33" s="1482"/>
      <c r="E33" s="1482"/>
      <c r="F33" s="1483"/>
      <c r="G33" s="1482"/>
      <c r="H33" s="1483"/>
      <c r="I33" s="1482"/>
      <c r="J33" s="1483"/>
      <c r="K33" s="1482"/>
      <c r="L33" s="1483"/>
      <c r="M33" s="1482"/>
      <c r="N33" s="1483"/>
      <c r="O33" s="1482"/>
      <c r="P33" s="1483"/>
      <c r="Q33" s="1482"/>
      <c r="R33" s="1483"/>
      <c r="S33" s="1482"/>
      <c r="T33" s="1483"/>
      <c r="U33" s="1482"/>
      <c r="V33" s="1482"/>
      <c r="W33" s="1484"/>
      <c r="X33" s="1484"/>
      <c r="Y33" s="1485"/>
      <c r="Z33" s="1482"/>
      <c r="AA33" s="1482"/>
      <c r="AB33" s="1482"/>
      <c r="AC33" s="1482"/>
      <c r="AD33" s="1482"/>
      <c r="AE33" s="1482"/>
      <c r="AF33" s="1482"/>
      <c r="AG33" s="1482"/>
      <c r="AH33" s="1482"/>
      <c r="AI33" s="1482"/>
      <c r="AJ33" s="1482"/>
      <c r="AK33" s="1482"/>
      <c r="AL33" s="1482"/>
      <c r="AM33" s="1482"/>
      <c r="AN33" s="1482"/>
      <c r="AO33" s="1482"/>
      <c r="AP33" s="1468" t="s">
        <v>484</v>
      </c>
      <c r="AQ33" s="1468"/>
      <c r="AR33" s="1468"/>
      <c r="AS33" s="1468"/>
      <c r="AT33" s="1468"/>
      <c r="AU33" s="1468"/>
      <c r="AV33" s="1468"/>
      <c r="AW33" s="1468"/>
      <c r="AX33" s="1468"/>
      <c r="AY33" s="1482"/>
    </row>
    <row r="34" spans="1:52" x14ac:dyDescent="0.35">
      <c r="A34" s="1481"/>
      <c r="B34" s="1467"/>
      <c r="C34" s="1482"/>
      <c r="D34" s="1482"/>
      <c r="E34" s="1482"/>
      <c r="F34" s="1483"/>
      <c r="G34" s="1482"/>
      <c r="H34" s="1483"/>
      <c r="I34" s="1482"/>
      <c r="J34" s="1483"/>
      <c r="K34" s="1482"/>
      <c r="L34" s="1483"/>
      <c r="M34" s="1482"/>
      <c r="N34" s="1483"/>
      <c r="O34" s="1482"/>
      <c r="P34" s="1483"/>
      <c r="Q34" s="1482"/>
      <c r="R34" s="1483"/>
      <c r="S34" s="1482"/>
      <c r="T34" s="1483"/>
      <c r="U34" s="1482"/>
      <c r="V34" s="1482"/>
      <c r="W34" s="1484"/>
      <c r="X34" s="1484"/>
      <c r="Y34" s="1485"/>
      <c r="Z34" s="1482"/>
      <c r="AA34" s="1482"/>
      <c r="AB34" s="1482"/>
      <c r="AC34" s="1482"/>
      <c r="AD34" s="1482"/>
      <c r="AE34" s="1482"/>
      <c r="AF34" s="1482"/>
      <c r="AG34" s="1482"/>
      <c r="AH34" s="1482"/>
      <c r="AI34" s="1482"/>
      <c r="AJ34" s="1482"/>
      <c r="AK34" s="1482"/>
      <c r="AL34" s="1482"/>
      <c r="AM34" s="1482"/>
      <c r="AN34" s="1482"/>
      <c r="AO34" s="1482"/>
      <c r="AP34" s="1470">
        <v>2016</v>
      </c>
      <c r="AQ34" s="1470">
        <v>2017</v>
      </c>
      <c r="AR34" s="1470">
        <v>2018</v>
      </c>
      <c r="AS34" s="1470">
        <v>2019</v>
      </c>
      <c r="AT34" s="1470">
        <v>2020</v>
      </c>
      <c r="AU34" s="1470">
        <v>2021</v>
      </c>
      <c r="AV34" s="1470">
        <v>2022</v>
      </c>
      <c r="AW34" s="1470">
        <v>2023</v>
      </c>
      <c r="AX34" s="1470">
        <v>2024</v>
      </c>
      <c r="AY34" s="1482"/>
    </row>
    <row r="35" spans="1:52" x14ac:dyDescent="0.35">
      <c r="A35" s="1481" t="s">
        <v>485</v>
      </c>
      <c r="B35" s="1467"/>
      <c r="C35" s="1482"/>
      <c r="D35" s="1482"/>
      <c r="E35" s="1516" t="s">
        <v>52</v>
      </c>
      <c r="F35" s="1517" t="s">
        <v>52</v>
      </c>
      <c r="G35" s="1516" t="s">
        <v>52</v>
      </c>
      <c r="H35" s="1517" t="s">
        <v>52</v>
      </c>
      <c r="I35" s="1516" t="s">
        <v>52</v>
      </c>
      <c r="J35" s="1517" t="s">
        <v>52</v>
      </c>
      <c r="K35" s="1516" t="s">
        <v>52</v>
      </c>
      <c r="L35" s="1517" t="s">
        <v>52</v>
      </c>
      <c r="M35" s="1516" t="s">
        <v>52</v>
      </c>
      <c r="N35" s="1517" t="s">
        <v>52</v>
      </c>
      <c r="O35" s="1516" t="s">
        <v>52</v>
      </c>
      <c r="P35" s="1517" t="s">
        <v>52</v>
      </c>
      <c r="Q35" s="1516" t="s">
        <v>52</v>
      </c>
      <c r="R35" s="1517" t="s">
        <v>52</v>
      </c>
      <c r="S35" s="1516" t="s">
        <v>52</v>
      </c>
      <c r="T35" s="1517" t="s">
        <v>52</v>
      </c>
      <c r="U35" s="1516" t="s">
        <v>52</v>
      </c>
      <c r="V35" s="1516" t="s">
        <v>52</v>
      </c>
      <c r="W35" s="1484"/>
      <c r="X35" s="1484"/>
      <c r="Y35" s="1485"/>
      <c r="Z35" s="1482"/>
      <c r="AA35" s="1482"/>
      <c r="AB35" s="1482"/>
      <c r="AC35" s="1482"/>
      <c r="AD35" s="1482"/>
      <c r="AE35" s="1482"/>
      <c r="AF35" s="1482"/>
      <c r="AG35" s="1482"/>
      <c r="AH35" s="1482"/>
      <c r="AI35" s="1482"/>
      <c r="AJ35" s="1482"/>
      <c r="AK35" s="1482"/>
      <c r="AL35" s="1482"/>
      <c r="AM35" s="1482"/>
      <c r="AN35" s="1482"/>
      <c r="AO35" s="1482">
        <v>11.2</v>
      </c>
      <c r="AP35" s="1482">
        <v>12.7</v>
      </c>
      <c r="AQ35" s="1482">
        <v>14</v>
      </c>
      <c r="AR35" s="1482">
        <v>15.7</v>
      </c>
      <c r="AS35" s="1482">
        <v>17.5</v>
      </c>
      <c r="AT35" s="1482">
        <v>17</v>
      </c>
      <c r="AU35" s="1482">
        <v>17.8</v>
      </c>
      <c r="AV35" s="1482">
        <v>19.2</v>
      </c>
      <c r="AW35" s="1516" t="s">
        <v>52</v>
      </c>
      <c r="AX35" s="1516" t="s">
        <v>52</v>
      </c>
      <c r="AY35" s="1482"/>
      <c r="AZ35" t="s">
        <v>486</v>
      </c>
    </row>
    <row r="36" spans="1:52" x14ac:dyDescent="0.35">
      <c r="F36" s="1515"/>
      <c r="H36" s="1515"/>
      <c r="J36" s="1515"/>
      <c r="L36" s="1515"/>
      <c r="N36" s="1515"/>
      <c r="P36" s="1515"/>
      <c r="R36" s="1515"/>
      <c r="T36" s="1515"/>
    </row>
    <row r="37" spans="1:52" x14ac:dyDescent="0.35">
      <c r="F37" s="1515"/>
      <c r="H37" s="1515"/>
      <c r="J37" s="1515"/>
      <c r="L37" s="1515"/>
      <c r="N37" s="1515"/>
      <c r="P37" s="1515"/>
      <c r="R37" s="1515"/>
      <c r="T37" s="1515"/>
    </row>
    <row r="38" spans="1:52" x14ac:dyDescent="0.35">
      <c r="A38" s="1518" t="str">
        <f>+A23</f>
        <v>% Growth</v>
      </c>
      <c r="F38" s="1515"/>
      <c r="H38" s="1515"/>
      <c r="J38" s="1515"/>
      <c r="L38" s="1515"/>
      <c r="N38" s="1515"/>
      <c r="P38" s="1515"/>
      <c r="R38" s="1515"/>
      <c r="T38" s="1515"/>
    </row>
    <row r="39" spans="1:52" x14ac:dyDescent="0.35">
      <c r="A39" s="1488" t="str">
        <f>+A31</f>
        <v>CCC (UK) - GP</v>
      </c>
      <c r="B39" s="1467"/>
      <c r="C39" s="1489"/>
      <c r="D39" s="1489"/>
      <c r="E39" s="1489">
        <f t="shared" ref="E39:F39" si="3">+E31/C31-1</f>
        <v>7.7223504349368532E-3</v>
      </c>
      <c r="F39" s="1490">
        <f t="shared" si="3"/>
        <v>-0.11504080839486985</v>
      </c>
      <c r="G39" s="1489">
        <f>+G31/E31-1</f>
        <v>-1.8092134237646218E-2</v>
      </c>
      <c r="H39" s="1490">
        <f t="shared" ref="H39:V39" si="4">+H31/F31-1</f>
        <v>1.528326745718056E-2</v>
      </c>
      <c r="I39" s="1489">
        <f t="shared" si="4"/>
        <v>-6.9772865908357073E-2</v>
      </c>
      <c r="J39" s="1490">
        <f t="shared" si="4"/>
        <v>8.6058482567696215E-2</v>
      </c>
      <c r="K39" s="1489">
        <f t="shared" si="4"/>
        <v>1.5236552296090444E-2</v>
      </c>
      <c r="L39" s="1490">
        <f t="shared" si="4"/>
        <v>1.0893159414517406E-2</v>
      </c>
      <c r="M39" s="1489">
        <f t="shared" si="4"/>
        <v>0.13683770588347044</v>
      </c>
      <c r="N39" s="1490">
        <f t="shared" si="4"/>
        <v>0.20785233048343255</v>
      </c>
      <c r="O39" s="1489">
        <f t="shared" si="4"/>
        <v>5.7568263092810934E-2</v>
      </c>
      <c r="P39" s="1490">
        <f t="shared" si="4"/>
        <v>8.541418622478103E-2</v>
      </c>
      <c r="Q39" s="1489">
        <f t="shared" si="4"/>
        <v>6.7359805331268729E-2</v>
      </c>
      <c r="R39" s="1490">
        <f t="shared" si="4"/>
        <v>-2.1036814425244077E-2</v>
      </c>
      <c r="S39" s="1489">
        <f t="shared" si="4"/>
        <v>-4.589193190229468E-2</v>
      </c>
      <c r="T39" s="1490">
        <f t="shared" si="4"/>
        <v>-2.3791250959324661E-2</v>
      </c>
      <c r="U39" s="1489">
        <f t="shared" si="4"/>
        <v>-4.1117145073700345E-2</v>
      </c>
      <c r="V39" s="1489">
        <f t="shared" si="4"/>
        <v>-0.15251572327044027</v>
      </c>
      <c r="W39" s="1489"/>
      <c r="X39" s="1489"/>
      <c r="Y39" s="1500"/>
      <c r="Z39" s="1490"/>
      <c r="AA39" s="1492"/>
      <c r="AB39" s="1492"/>
      <c r="AC39" s="1492"/>
      <c r="AD39" s="1492"/>
      <c r="AE39" s="1493"/>
      <c r="AF39" s="1489"/>
      <c r="AG39" s="1489"/>
      <c r="AH39" s="1489"/>
      <c r="AI39" s="1489"/>
      <c r="AJ39" s="1489"/>
      <c r="AK39" s="1489"/>
      <c r="AL39" s="1489"/>
      <c r="AM39" s="1489"/>
      <c r="AN39" s="1489"/>
      <c r="AO39" s="1489"/>
      <c r="AP39" s="1489">
        <f>+AP31/AO31-1</f>
        <v>-5.0885982002040975E-2</v>
      </c>
      <c r="AQ39" s="1489">
        <f t="shared" ref="AQ39:AX39" si="5">+AQ31/AP31-1</f>
        <v>-3.2354234885879629E-3</v>
      </c>
      <c r="AR39" s="1489">
        <f t="shared" si="5"/>
        <v>8.8257791201673541E-4</v>
      </c>
      <c r="AS39" s="1489">
        <f t="shared" si="5"/>
        <v>1.3099623765480573E-2</v>
      </c>
      <c r="AT39" s="1489">
        <f t="shared" si="5"/>
        <v>0.17170046711347098</v>
      </c>
      <c r="AU39" s="1489">
        <f t="shared" si="5"/>
        <v>7.166026990219132E-2</v>
      </c>
      <c r="AV39" s="1489">
        <f t="shared" si="5"/>
        <v>2.2050725139983296E-2</v>
      </c>
      <c r="AW39" s="1489">
        <f t="shared" si="5"/>
        <v>-3.5041446872645099E-2</v>
      </c>
      <c r="AX39" s="1489">
        <f t="shared" si="5"/>
        <v>-9.6446700507614058E-2</v>
      </c>
      <c r="AY39" s="1489"/>
    </row>
    <row r="40" spans="1:52" x14ac:dyDescent="0.35">
      <c r="A40" s="1488" t="str">
        <f t="shared" ref="A40" si="6">+A35</f>
        <v>Top 100 UK VARs - Revenue (Bn)</v>
      </c>
      <c r="B40" s="1467"/>
      <c r="C40" s="1489"/>
      <c r="D40" s="1489"/>
      <c r="E40" s="1519" t="s">
        <v>52</v>
      </c>
      <c r="F40" s="1520" t="s">
        <v>52</v>
      </c>
      <c r="G40" s="1519" t="s">
        <v>52</v>
      </c>
      <c r="H40" s="1520" t="s">
        <v>52</v>
      </c>
      <c r="I40" s="1519" t="s">
        <v>52</v>
      </c>
      <c r="J40" s="1520" t="s">
        <v>52</v>
      </c>
      <c r="K40" s="1519" t="s">
        <v>52</v>
      </c>
      <c r="L40" s="1520" t="s">
        <v>52</v>
      </c>
      <c r="M40" s="1519" t="s">
        <v>52</v>
      </c>
      <c r="N40" s="1520" t="s">
        <v>52</v>
      </c>
      <c r="O40" s="1519" t="s">
        <v>52</v>
      </c>
      <c r="P40" s="1520" t="s">
        <v>52</v>
      </c>
      <c r="Q40" s="1519" t="s">
        <v>52</v>
      </c>
      <c r="R40" s="1520" t="s">
        <v>52</v>
      </c>
      <c r="S40" s="1519" t="s">
        <v>52</v>
      </c>
      <c r="T40" s="1520" t="s">
        <v>52</v>
      </c>
      <c r="U40" s="1519" t="s">
        <v>52</v>
      </c>
      <c r="V40" s="1519" t="s">
        <v>52</v>
      </c>
      <c r="W40" s="1489"/>
      <c r="X40" s="1489"/>
      <c r="Y40" s="1500"/>
      <c r="Z40" s="1490"/>
      <c r="AA40" s="1492"/>
      <c r="AB40" s="1492"/>
      <c r="AC40" s="1492"/>
      <c r="AD40" s="1492"/>
      <c r="AE40" s="1493"/>
      <c r="AF40" s="1489"/>
      <c r="AG40" s="1489"/>
      <c r="AH40" s="1489"/>
      <c r="AI40" s="1489"/>
      <c r="AJ40" s="1489"/>
      <c r="AK40" s="1489"/>
      <c r="AL40" s="1489"/>
      <c r="AM40" s="1489"/>
      <c r="AN40" s="1489"/>
      <c r="AO40" s="1489"/>
      <c r="AP40" s="1489">
        <f t="shared" ref="AP40:AV40" si="7">+AP35/AO35-1</f>
        <v>0.1339285714285714</v>
      </c>
      <c r="AQ40" s="1489">
        <f t="shared" si="7"/>
        <v>0.10236220472440949</v>
      </c>
      <c r="AR40" s="1489">
        <f t="shared" si="7"/>
        <v>0.12142857142857144</v>
      </c>
      <c r="AS40" s="1489">
        <f t="shared" si="7"/>
        <v>0.11464968152866239</v>
      </c>
      <c r="AT40" s="1489">
        <f t="shared" si="7"/>
        <v>-2.8571428571428581E-2</v>
      </c>
      <c r="AU40" s="1489">
        <f t="shared" si="7"/>
        <v>4.705882352941182E-2</v>
      </c>
      <c r="AV40" s="1489">
        <f t="shared" si="7"/>
        <v>7.8651685393258397E-2</v>
      </c>
      <c r="AW40" s="1519" t="s">
        <v>52</v>
      </c>
      <c r="AX40" s="1519" t="s">
        <v>52</v>
      </c>
      <c r="AY40" s="1489"/>
    </row>
    <row r="41" spans="1:52" x14ac:dyDescent="0.35">
      <c r="F41" s="1520"/>
      <c r="G41" s="1519"/>
      <c r="H41" s="1520"/>
      <c r="I41" s="1519"/>
      <c r="J41" s="1520"/>
      <c r="K41" s="1519"/>
      <c r="L41" s="1520"/>
      <c r="M41" s="1519"/>
      <c r="N41" s="1520"/>
      <c r="O41" s="1519"/>
      <c r="P41" s="1520"/>
      <c r="Q41" s="1519"/>
      <c r="R41" s="1520"/>
      <c r="S41" s="1519"/>
      <c r="T41" s="1520"/>
      <c r="U41" s="1519"/>
      <c r="V41" s="1519"/>
      <c r="W41" s="1489"/>
      <c r="X41" s="1489"/>
      <c r="Y41" s="1500"/>
      <c r="Z41" s="1490"/>
      <c r="AA41" s="1492"/>
      <c r="AB41" s="1492"/>
      <c r="AC41" s="1492"/>
      <c r="AD41" s="1492"/>
      <c r="AE41" s="1493"/>
      <c r="AF41" s="1489"/>
      <c r="AG41" s="1489"/>
      <c r="AH41" s="1489"/>
      <c r="AI41" s="1489"/>
      <c r="AJ41" s="1489"/>
      <c r="AK41" s="1489"/>
      <c r="AL41" s="1489"/>
      <c r="AM41" s="1489"/>
      <c r="AN41" s="1489"/>
      <c r="AO41" s="1489"/>
      <c r="AP41" s="1489"/>
      <c r="AQ41" s="1521"/>
      <c r="AR41" s="1521"/>
      <c r="AS41" s="1521"/>
      <c r="AT41" s="1521"/>
      <c r="AU41" s="1521"/>
      <c r="AV41" s="1521"/>
    </row>
    <row r="44" spans="1:52" x14ac:dyDescent="0.35">
      <c r="AV44" s="1522"/>
    </row>
  </sheetData>
  <pageMargins left="0.3" right="0.3" top="0.3" bottom="0.3" header="0.3" footer="0.3"/>
  <pageSetup scale="46" fitToHeight="0" orientation="landscape" r:id="rId1"/>
  <headerFooter>
    <oddFooter>Page &amp;P</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D9F3B-0441-49A0-A346-34B1298625C9}">
  <sheetPr>
    <pageSetUpPr fitToPage="1"/>
  </sheetPr>
  <dimension ref="A1:A59"/>
  <sheetViews>
    <sheetView view="pageBreakPreview" zoomScale="70" zoomScaleNormal="100" zoomScaleSheetLayoutView="70" workbookViewId="0">
      <selection activeCell="A11" sqref="A11"/>
    </sheetView>
  </sheetViews>
  <sheetFormatPr defaultRowHeight="14.5" x14ac:dyDescent="0.35"/>
  <cols>
    <col min="1" max="1" width="227.26953125" customWidth="1"/>
  </cols>
  <sheetData>
    <row r="1" spans="1:1" x14ac:dyDescent="0.35">
      <c r="A1" t="s">
        <v>479</v>
      </c>
    </row>
    <row r="2" spans="1:1" s="1464" customFormat="1" x14ac:dyDescent="0.35">
      <c r="A2" s="1464" t="s">
        <v>487</v>
      </c>
    </row>
    <row r="4" spans="1:1" x14ac:dyDescent="0.35">
      <c r="A4" s="162" t="s">
        <v>488</v>
      </c>
    </row>
    <row r="6" spans="1:1" x14ac:dyDescent="0.35">
      <c r="A6" s="1466" t="s">
        <v>489</v>
      </c>
    </row>
    <row r="7" spans="1:1" ht="29" x14ac:dyDescent="0.35">
      <c r="A7" s="1465" t="s">
        <v>490</v>
      </c>
    </row>
    <row r="8" spans="1:1" x14ac:dyDescent="0.35">
      <c r="A8" t="s">
        <v>491</v>
      </c>
    </row>
    <row r="9" spans="1:1" x14ac:dyDescent="0.35">
      <c r="A9" t="s">
        <v>492</v>
      </c>
    </row>
    <row r="10" spans="1:1" x14ac:dyDescent="0.35">
      <c r="A10" s="1465" t="s">
        <v>493</v>
      </c>
    </row>
    <row r="11" spans="1:1" x14ac:dyDescent="0.35">
      <c r="A11" s="1465" t="s">
        <v>494</v>
      </c>
    </row>
    <row r="13" spans="1:1" x14ac:dyDescent="0.35">
      <c r="A13" s="1466" t="s">
        <v>495</v>
      </c>
    </row>
    <row r="14" spans="1:1" ht="29" x14ac:dyDescent="0.35">
      <c r="A14" s="1465" t="s">
        <v>496</v>
      </c>
    </row>
    <row r="15" spans="1:1" ht="30" customHeight="1" x14ac:dyDescent="0.35">
      <c r="A15" s="1465" t="s">
        <v>497</v>
      </c>
    </row>
    <row r="16" spans="1:1" x14ac:dyDescent="0.35">
      <c r="A16" t="s">
        <v>498</v>
      </c>
    </row>
    <row r="17" spans="1:1" ht="27.75" customHeight="1" x14ac:dyDescent="0.35">
      <c r="A17" s="1465" t="s">
        <v>499</v>
      </c>
    </row>
    <row r="19" spans="1:1" x14ac:dyDescent="0.35">
      <c r="A19" s="1466" t="s">
        <v>500</v>
      </c>
    </row>
    <row r="20" spans="1:1" x14ac:dyDescent="0.35">
      <c r="A20" t="s">
        <v>501</v>
      </c>
    </row>
    <row r="21" spans="1:1" x14ac:dyDescent="0.35">
      <c r="A21" t="s">
        <v>502</v>
      </c>
    </row>
    <row r="22" spans="1:1" x14ac:dyDescent="0.35">
      <c r="A22" s="1465" t="s">
        <v>503</v>
      </c>
    </row>
    <row r="23" spans="1:1" x14ac:dyDescent="0.35">
      <c r="A23" s="1465" t="s">
        <v>504</v>
      </c>
    </row>
    <row r="24" spans="1:1" x14ac:dyDescent="0.35">
      <c r="A24" s="1465" t="s">
        <v>505</v>
      </c>
    </row>
    <row r="25" spans="1:1" x14ac:dyDescent="0.35">
      <c r="A25" s="1465"/>
    </row>
    <row r="26" spans="1:1" x14ac:dyDescent="0.35">
      <c r="A26" s="1466" t="s">
        <v>506</v>
      </c>
    </row>
    <row r="27" spans="1:1" x14ac:dyDescent="0.35">
      <c r="A27" s="1465" t="s">
        <v>507</v>
      </c>
    </row>
    <row r="28" spans="1:1" x14ac:dyDescent="0.35">
      <c r="A28" s="1465" t="s">
        <v>508</v>
      </c>
    </row>
    <row r="29" spans="1:1" ht="29" x14ac:dyDescent="0.35">
      <c r="A29" s="1465" t="s">
        <v>509</v>
      </c>
    </row>
    <row r="30" spans="1:1" x14ac:dyDescent="0.35">
      <c r="A30" s="1465" t="s">
        <v>510</v>
      </c>
    </row>
    <row r="31" spans="1:1" x14ac:dyDescent="0.35">
      <c r="A31" s="1465" t="s">
        <v>511</v>
      </c>
    </row>
    <row r="32" spans="1:1" x14ac:dyDescent="0.35">
      <c r="A32" s="1465" t="s">
        <v>512</v>
      </c>
    </row>
    <row r="33" spans="1:1" ht="29" x14ac:dyDescent="0.35">
      <c r="A33" s="1465" t="s">
        <v>513</v>
      </c>
    </row>
    <row r="34" spans="1:1" x14ac:dyDescent="0.35">
      <c r="A34" s="1465" t="s">
        <v>514</v>
      </c>
    </row>
    <row r="35" spans="1:1" x14ac:dyDescent="0.35">
      <c r="A35" s="1465"/>
    </row>
    <row r="36" spans="1:1" s="1465" customFormat="1" x14ac:dyDescent="0.35">
      <c r="A36" s="1466" t="s">
        <v>515</v>
      </c>
    </row>
    <row r="37" spans="1:1" s="1465" customFormat="1" x14ac:dyDescent="0.35">
      <c r="A37" s="1465" t="s">
        <v>516</v>
      </c>
    </row>
    <row r="38" spans="1:1" s="1465" customFormat="1" x14ac:dyDescent="0.35">
      <c r="A38" s="1465" t="s">
        <v>517</v>
      </c>
    </row>
    <row r="39" spans="1:1" s="1465" customFormat="1" ht="29" x14ac:dyDescent="0.35">
      <c r="A39" s="1465" t="s">
        <v>518</v>
      </c>
    </row>
    <row r="41" spans="1:1" s="1465" customFormat="1" x14ac:dyDescent="0.35">
      <c r="A41" s="1466" t="s">
        <v>519</v>
      </c>
    </row>
    <row r="42" spans="1:1" s="1465" customFormat="1" ht="29" x14ac:dyDescent="0.35">
      <c r="A42" s="1465" t="s">
        <v>520</v>
      </c>
    </row>
    <row r="43" spans="1:1" s="1465" customFormat="1" ht="29" x14ac:dyDescent="0.35">
      <c r="A43" s="1465" t="s">
        <v>521</v>
      </c>
    </row>
    <row r="44" spans="1:1" s="1465" customFormat="1" ht="29" x14ac:dyDescent="0.35">
      <c r="A44" s="1465" t="s">
        <v>522</v>
      </c>
    </row>
    <row r="45" spans="1:1" s="1465" customFormat="1" ht="29" x14ac:dyDescent="0.35">
      <c r="A45" s="1465" t="s">
        <v>523</v>
      </c>
    </row>
    <row r="46" spans="1:1" s="1465" customFormat="1" ht="29" x14ac:dyDescent="0.35">
      <c r="A46" s="1465" t="s">
        <v>524</v>
      </c>
    </row>
    <row r="47" spans="1:1" s="1465" customFormat="1" x14ac:dyDescent="0.35">
      <c r="A47" s="1465" t="s">
        <v>525</v>
      </c>
    </row>
    <row r="48" spans="1:1" s="1465" customFormat="1" x14ac:dyDescent="0.35"/>
    <row r="49" spans="1:1" x14ac:dyDescent="0.35">
      <c r="A49" s="1463" t="s">
        <v>526</v>
      </c>
    </row>
    <row r="50" spans="1:1" s="1465" customFormat="1" ht="43.5" x14ac:dyDescent="0.35">
      <c r="A50" s="1465" t="s">
        <v>527</v>
      </c>
    </row>
    <row r="51" spans="1:1" s="1465" customFormat="1" ht="29" x14ac:dyDescent="0.35">
      <c r="A51" s="1465" t="s">
        <v>528</v>
      </c>
    </row>
    <row r="52" spans="1:1" s="1465" customFormat="1" x14ac:dyDescent="0.35">
      <c r="A52" s="1465" t="s">
        <v>529</v>
      </c>
    </row>
    <row r="53" spans="1:1" s="1465" customFormat="1" x14ac:dyDescent="0.35">
      <c r="A53" s="1465" t="s">
        <v>530</v>
      </c>
    </row>
    <row r="54" spans="1:1" s="1465" customFormat="1" ht="43.5" x14ac:dyDescent="0.35">
      <c r="A54" s="1465" t="s">
        <v>531</v>
      </c>
    </row>
    <row r="55" spans="1:1" s="1465" customFormat="1" ht="29" x14ac:dyDescent="0.35">
      <c r="A55" s="1465" t="s">
        <v>532</v>
      </c>
    </row>
    <row r="56" spans="1:1" s="1465" customFormat="1" ht="43.5" x14ac:dyDescent="0.35">
      <c r="A56" s="1465" t="s">
        <v>533</v>
      </c>
    </row>
    <row r="57" spans="1:1" s="1465" customFormat="1" x14ac:dyDescent="0.35">
      <c r="A57" s="1465" t="s">
        <v>534</v>
      </c>
    </row>
    <row r="58" spans="1:1" s="1465" customFormat="1" ht="29" x14ac:dyDescent="0.35">
      <c r="A58" s="1465" t="s">
        <v>535</v>
      </c>
    </row>
    <row r="59" spans="1:1" s="1465" customFormat="1" x14ac:dyDescent="0.35"/>
  </sheetData>
  <pageMargins left="0.3" right="0.3" top="0.3" bottom="0.3" header="0.3" footer="0.3"/>
  <pageSetup scale="99" fitToHeight="0" orientation="landscape" r:id="rId1"/>
  <headerFooter>
    <oddFooter>Page &amp;P</oddFooter>
  </headerFooter>
  <rowBreaks count="1" manualBreakCount="1">
    <brk id="48" man="1"/>
  </rowBreak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EE0FC-813C-41DB-98A0-8169E8E04345}">
  <sheetPr>
    <pageSetUpPr fitToPage="1"/>
  </sheetPr>
  <dimension ref="A1:AG24"/>
  <sheetViews>
    <sheetView view="pageBreakPreview" zoomScale="85" zoomScaleNormal="100" zoomScaleSheetLayoutView="85" workbookViewId="0">
      <selection activeCell="W33" sqref="A1:W33"/>
    </sheetView>
  </sheetViews>
  <sheetFormatPr defaultColWidth="9.1796875" defaultRowHeight="13" outlineLevelCol="1" x14ac:dyDescent="0.3"/>
  <cols>
    <col min="1" max="1" width="17.54296875" style="1374" customWidth="1"/>
    <col min="2" max="2" width="3.7265625" style="1374" customWidth="1"/>
    <col min="3" max="10" width="9.1796875" style="1374" hidden="1" customWidth="1" outlineLevel="1"/>
    <col min="11" max="11" width="9.1796875" style="1374" collapsed="1"/>
    <col min="12" max="16384" width="9.1796875" style="1374"/>
  </cols>
  <sheetData>
    <row r="1" spans="1:33" x14ac:dyDescent="0.3">
      <c r="A1" s="1373" t="s">
        <v>0</v>
      </c>
      <c r="B1" s="1373"/>
      <c r="C1" s="1373"/>
      <c r="D1" s="1373"/>
      <c r="E1" s="1373"/>
      <c r="F1" s="1373"/>
      <c r="G1" s="1373"/>
      <c r="H1" s="1373"/>
      <c r="I1" s="1373"/>
      <c r="J1" s="1373"/>
      <c r="K1" s="1373"/>
      <c r="L1" s="1373"/>
      <c r="M1" s="1373"/>
      <c r="N1" s="1373"/>
      <c r="O1" s="1373"/>
      <c r="P1" s="1373"/>
      <c r="Q1" s="1373"/>
      <c r="R1" s="1373"/>
      <c r="S1" s="1373"/>
      <c r="T1" s="1373"/>
      <c r="U1" s="1373"/>
      <c r="V1" s="1373"/>
      <c r="W1" s="1373"/>
    </row>
    <row r="2" spans="1:33" x14ac:dyDescent="0.3">
      <c r="A2" s="1375" t="s">
        <v>536</v>
      </c>
      <c r="B2" s="1373"/>
      <c r="C2" s="1373"/>
      <c r="D2" s="1373"/>
      <c r="E2" s="1373"/>
      <c r="F2" s="1373"/>
      <c r="G2" s="1373"/>
      <c r="H2" s="1373"/>
      <c r="I2" s="1373"/>
      <c r="J2" s="1373"/>
      <c r="K2" s="1373"/>
      <c r="L2" s="1373"/>
      <c r="M2" s="1373"/>
      <c r="N2" s="1373"/>
      <c r="O2" s="1373"/>
      <c r="P2" s="1373"/>
      <c r="Q2" s="1373"/>
      <c r="R2" s="1373"/>
      <c r="S2" s="1373"/>
      <c r="T2" s="1373"/>
      <c r="U2" s="1373"/>
      <c r="V2" s="1373"/>
      <c r="W2" s="1373"/>
    </row>
    <row r="3" spans="1:33" x14ac:dyDescent="0.3">
      <c r="A3" s="1376" t="s">
        <v>3</v>
      </c>
      <c r="B3" s="1377"/>
      <c r="C3" s="1377"/>
      <c r="D3" s="1377"/>
      <c r="E3" s="1378"/>
      <c r="F3" s="1378"/>
      <c r="G3" s="1378"/>
      <c r="H3" s="1378"/>
      <c r="I3" s="1378"/>
      <c r="J3" s="1378"/>
      <c r="K3" s="1378"/>
      <c r="L3" s="1378"/>
      <c r="M3" s="1378"/>
      <c r="N3" s="1378"/>
      <c r="O3" s="1378"/>
      <c r="P3" s="1378"/>
      <c r="Q3" s="1379"/>
      <c r="R3" s="1379"/>
      <c r="S3" s="1379"/>
      <c r="T3" s="1379"/>
      <c r="U3" s="1379"/>
      <c r="V3" s="1379"/>
      <c r="W3" s="1379"/>
    </row>
    <row r="4" spans="1:33" ht="15.5" x14ac:dyDescent="0.45">
      <c r="A4" s="1373"/>
      <c r="B4" s="1373"/>
      <c r="C4"/>
      <c r="D4" s="1380"/>
      <c r="E4" s="1380" t="s">
        <v>113</v>
      </c>
      <c r="F4" s="1380"/>
      <c r="G4" s="1380"/>
      <c r="H4" s="1380"/>
      <c r="I4" s="1380"/>
      <c r="J4" s="1380"/>
      <c r="K4" s="1380" t="s">
        <v>537</v>
      </c>
      <c r="L4" s="1380"/>
      <c r="M4" s="1380"/>
      <c r="N4" s="1380"/>
      <c r="O4" s="1380"/>
      <c r="P4" s="1380"/>
      <c r="Q4" s="1380"/>
      <c r="R4" s="1380"/>
      <c r="S4" s="1380"/>
      <c r="T4" s="1380"/>
      <c r="U4" s="1380"/>
      <c r="V4" s="1380"/>
      <c r="W4" s="1380"/>
    </row>
    <row r="5" spans="1:33" x14ac:dyDescent="0.3">
      <c r="A5" s="1381"/>
      <c r="B5" s="1381"/>
      <c r="C5" s="1382" t="s">
        <v>117</v>
      </c>
      <c r="D5" s="1382" t="s">
        <v>118</v>
      </c>
      <c r="E5" s="1382" t="s">
        <v>119</v>
      </c>
      <c r="F5" s="1382" t="s">
        <v>120</v>
      </c>
      <c r="G5" s="1382" t="s">
        <v>121</v>
      </c>
      <c r="H5" s="1382" t="s">
        <v>122</v>
      </c>
      <c r="I5" s="1382" t="s">
        <v>123</v>
      </c>
      <c r="J5" s="1382" t="s">
        <v>124</v>
      </c>
      <c r="K5" s="1382" t="s">
        <v>125</v>
      </c>
      <c r="L5" s="1383" t="s">
        <v>126</v>
      </c>
      <c r="M5" s="1382" t="s">
        <v>127</v>
      </c>
      <c r="N5" s="1383" t="s">
        <v>128</v>
      </c>
      <c r="O5" s="1382" t="s">
        <v>129</v>
      </c>
      <c r="P5" s="1383" t="s">
        <v>130</v>
      </c>
      <c r="Q5" s="1382" t="s">
        <v>131</v>
      </c>
      <c r="R5" s="1383" t="s">
        <v>132</v>
      </c>
      <c r="S5" s="1382" t="s">
        <v>133</v>
      </c>
      <c r="T5" s="1383" t="s">
        <v>134</v>
      </c>
      <c r="U5" s="1382" t="s">
        <v>135</v>
      </c>
      <c r="V5" s="1383" t="s">
        <v>136</v>
      </c>
      <c r="W5" s="1382" t="s">
        <v>538</v>
      </c>
      <c r="Z5" s="1382"/>
      <c r="AA5" s="1382"/>
      <c r="AB5" s="1382"/>
      <c r="AC5" s="1382"/>
      <c r="AD5" s="1382"/>
    </row>
    <row r="6" spans="1:33" ht="14.5" x14ac:dyDescent="0.45">
      <c r="A6" s="1373"/>
      <c r="B6" s="1373"/>
      <c r="C6" s="1384"/>
      <c r="D6" s="1384"/>
      <c r="E6" s="1384"/>
      <c r="F6" s="1384"/>
      <c r="G6" s="1385"/>
      <c r="H6" s="1386"/>
      <c r="I6" s="1384"/>
      <c r="J6" s="1386"/>
      <c r="K6" s="1384"/>
      <c r="L6" s="1386"/>
      <c r="M6" s="1384"/>
      <c r="N6" s="1386"/>
      <c r="O6" s="1384"/>
      <c r="P6" s="1386"/>
      <c r="Q6" s="1384"/>
      <c r="R6" s="1386"/>
      <c r="S6" s="1384"/>
      <c r="T6" s="1402"/>
      <c r="U6" s="1387"/>
      <c r="V6" s="1524"/>
      <c r="W6" s="1387"/>
    </row>
    <row r="7" spans="1:33" x14ac:dyDescent="0.3">
      <c r="A7" s="1388" t="s">
        <v>149</v>
      </c>
      <c r="L7" s="1398"/>
      <c r="N7" s="1398"/>
      <c r="P7" s="1398"/>
      <c r="R7" s="1398"/>
      <c r="T7" s="1398"/>
      <c r="V7" s="1398"/>
    </row>
    <row r="8" spans="1:33" x14ac:dyDescent="0.3">
      <c r="A8" s="1374" t="s">
        <v>479</v>
      </c>
      <c r="C8" s="1389"/>
      <c r="D8" s="1389"/>
      <c r="E8" s="1389"/>
      <c r="F8" s="1389">
        <f>+'Historicals and forecast'!F22</f>
        <v>67.041999999999973</v>
      </c>
      <c r="G8" s="1389">
        <f>+'Historicals and forecast'!G22</f>
        <v>61.3</v>
      </c>
      <c r="H8" s="1389">
        <f>+'Historicals and forecast'!H22</f>
        <v>75.003</v>
      </c>
      <c r="I8" s="1389">
        <f>+'Historicals and forecast'!I22</f>
        <v>74.83499999999998</v>
      </c>
      <c r="J8" s="1389">
        <f>+'Historicals and forecast'!J22</f>
        <v>100.32800000000003</v>
      </c>
      <c r="K8" s="1389">
        <f>+'Historicals and forecast'!K22</f>
        <v>94.672000000000025</v>
      </c>
      <c r="L8" s="1399">
        <f>+'Historicals and forecast'!L22</f>
        <v>116.471</v>
      </c>
      <c r="M8" s="1401">
        <f>+'Historicals and forecast'!M22</f>
        <v>111.67200000000003</v>
      </c>
      <c r="N8" s="1399">
        <f>+'Historicals and forecast'!N22</f>
        <v>124.0329999999999</v>
      </c>
      <c r="O8" s="1401">
        <f>+'Historicals and forecast'!O22</f>
        <v>134.46400000000006</v>
      </c>
      <c r="P8" s="1399">
        <f>+'Historicals and forecast'!P22</f>
        <v>141.89399999999989</v>
      </c>
      <c r="Q8" s="1401">
        <f>+'Historicals and forecast'!Q22</f>
        <v>150.21100000000007</v>
      </c>
      <c r="R8" s="1399">
        <f>+'Historicals and forecast'!R22</f>
        <v>176.99899999999985</v>
      </c>
      <c r="S8" s="1401">
        <f>+'Historicals and forecast'!S22</f>
        <v>177.05399999999997</v>
      </c>
      <c r="T8" s="1399">
        <f>+'Historicals and forecast'!T22</f>
        <v>196.77600000000001</v>
      </c>
      <c r="U8" s="1403">
        <f>+'Historicals and forecast'!U22</f>
        <v>196.51400000000001</v>
      </c>
      <c r="V8" s="1525">
        <f>+'Historicals and forecast'!V22</f>
        <v>221.23899999999998</v>
      </c>
      <c r="W8" s="1523">
        <f>+'Historicals and forecast'!W22</f>
        <v>220.09568000000004</v>
      </c>
      <c r="X8" s="1389"/>
      <c r="Y8" s="1389"/>
    </row>
    <row r="9" spans="1:33" x14ac:dyDescent="0.3">
      <c r="A9" s="1374" t="s">
        <v>539</v>
      </c>
      <c r="C9" s="1389"/>
      <c r="D9" s="1389"/>
      <c r="E9" s="1389"/>
      <c r="F9" s="1389"/>
      <c r="G9" s="1389"/>
      <c r="H9" s="1389"/>
      <c r="I9" s="1389"/>
      <c r="J9" s="1389"/>
      <c r="K9" s="1389"/>
      <c r="L9" s="1399">
        <v>39.933999999999997</v>
      </c>
      <c r="M9" s="1401">
        <v>39.282999999999987</v>
      </c>
      <c r="N9" s="1399">
        <v>46.356999999999999</v>
      </c>
      <c r="O9" s="1401">
        <v>43.217000000000013</v>
      </c>
      <c r="P9" s="1399">
        <v>52.9</v>
      </c>
      <c r="Q9" s="1401">
        <v>54.500000000000007</v>
      </c>
      <c r="R9" s="1399">
        <v>65.5</v>
      </c>
      <c r="S9" s="1401">
        <v>64.099999999999994</v>
      </c>
      <c r="T9" s="1399">
        <v>75.3</v>
      </c>
      <c r="U9" s="1403">
        <v>70.500000000000014</v>
      </c>
      <c r="V9" s="1525">
        <v>82.1</v>
      </c>
      <c r="W9" s="1403">
        <f>(T9+U9)*1.12-V9</f>
        <v>81.196000000000026</v>
      </c>
      <c r="X9" s="1389"/>
      <c r="Y9" s="1389"/>
    </row>
    <row r="10" spans="1:33" x14ac:dyDescent="0.3">
      <c r="A10" s="1374" t="s">
        <v>540</v>
      </c>
      <c r="C10" s="1389"/>
      <c r="D10" s="1389"/>
      <c r="E10" s="1389"/>
      <c r="F10" s="1389">
        <v>91.08</v>
      </c>
      <c r="G10" s="1389">
        <v>111.47600000000001</v>
      </c>
      <c r="H10" s="1389">
        <v>92.471999999999994</v>
      </c>
      <c r="I10" s="1389">
        <v>103.69799999999999</v>
      </c>
      <c r="J10" s="1389">
        <v>100.43</v>
      </c>
      <c r="K10" s="1389">
        <v>105.27799999999999</v>
      </c>
      <c r="L10" s="1399">
        <v>101.524</v>
      </c>
      <c r="M10" s="1401">
        <v>119.684</v>
      </c>
      <c r="N10" s="1399">
        <v>122.626</v>
      </c>
      <c r="O10" s="1401">
        <v>126.57399999999998</v>
      </c>
      <c r="P10" s="1399">
        <v>133.1</v>
      </c>
      <c r="Q10" s="1401">
        <v>135.1</v>
      </c>
      <c r="R10" s="1399">
        <v>130.30000000000001</v>
      </c>
      <c r="S10" s="1401">
        <v>128.89999999999998</v>
      </c>
      <c r="T10" s="1399">
        <v>127.2</v>
      </c>
      <c r="U10" s="1403">
        <f>250.8-T10</f>
        <v>123.60000000000001</v>
      </c>
      <c r="V10" s="1525">
        <v>107.8</v>
      </c>
      <c r="W10" s="1403">
        <f>230.8-V10</f>
        <v>123.00000000000001</v>
      </c>
      <c r="X10" s="1389"/>
      <c r="Y10" s="1389"/>
    </row>
    <row r="11" spans="1:33" x14ac:dyDescent="0.3">
      <c r="A11" s="1374" t="s">
        <v>541</v>
      </c>
      <c r="C11" s="1389"/>
      <c r="D11" s="1389"/>
      <c r="E11" s="1389"/>
      <c r="F11" s="1389"/>
      <c r="G11" s="1389"/>
      <c r="H11" s="1389"/>
      <c r="I11" s="1389"/>
      <c r="J11" s="1389"/>
      <c r="K11" s="1389">
        <v>913.30000000000007</v>
      </c>
      <c r="L11" s="1399">
        <v>1063.9000000000001</v>
      </c>
      <c r="M11" s="1401">
        <v>1094.4000000000001</v>
      </c>
      <c r="N11" s="1399">
        <v>1045.4000000000001</v>
      </c>
      <c r="O11" s="1401">
        <v>1041.2999999999997</v>
      </c>
      <c r="P11" s="1399">
        <v>1277</v>
      </c>
      <c r="Q11" s="1401">
        <v>1310.4000000000001</v>
      </c>
      <c r="R11" s="1399">
        <v>1506.6</v>
      </c>
      <c r="S11" s="1401">
        <v>1401.8</v>
      </c>
      <c r="T11" s="1399">
        <v>1365</v>
      </c>
      <c r="U11" s="1403">
        <v>1188.5</v>
      </c>
      <c r="V11" s="1525">
        <v>1233.2</v>
      </c>
      <c r="W11" s="1403">
        <v>1247.0999999999999</v>
      </c>
      <c r="X11" s="1389"/>
      <c r="Y11" s="1389"/>
    </row>
    <row r="12" spans="1:33" x14ac:dyDescent="0.3">
      <c r="C12" s="1389"/>
      <c r="D12" s="1389"/>
      <c r="E12" s="1389"/>
      <c r="F12" s="1389"/>
      <c r="G12" s="1389"/>
      <c r="H12" s="1389"/>
      <c r="I12" s="1389"/>
      <c r="J12" s="1389"/>
      <c r="K12" s="1389"/>
      <c r="L12" s="1399"/>
      <c r="M12" s="1401"/>
      <c r="N12" s="1399"/>
      <c r="O12" s="1401"/>
      <c r="P12" s="1399"/>
      <c r="Q12" s="1401"/>
      <c r="R12" s="1399"/>
      <c r="S12" s="1401"/>
      <c r="T12" s="1399"/>
      <c r="U12" s="1389"/>
      <c r="V12" s="1399"/>
      <c r="W12" s="1389"/>
      <c r="X12" s="1389"/>
      <c r="Y12" s="1389"/>
    </row>
    <row r="13" spans="1:33" x14ac:dyDescent="0.3">
      <c r="A13" s="1390" t="s">
        <v>542</v>
      </c>
      <c r="L13" s="1398"/>
      <c r="N13" s="1398"/>
      <c r="P13" s="1398"/>
      <c r="R13" s="1398"/>
      <c r="T13" s="1398"/>
      <c r="V13" s="1398"/>
    </row>
    <row r="14" spans="1:33" x14ac:dyDescent="0.3">
      <c r="A14" s="1391" t="str">
        <f>+A8</f>
        <v>SCT</v>
      </c>
      <c r="C14" s="1373"/>
      <c r="D14" s="1392"/>
      <c r="E14" s="1392"/>
      <c r="F14" s="1393"/>
      <c r="G14" s="1392"/>
      <c r="H14" s="1392">
        <f t="shared" ref="H14:W15" si="0">+H8/F8-1</f>
        <v>0.11874645744458734</v>
      </c>
      <c r="I14" s="1392">
        <f t="shared" si="0"/>
        <v>0.22079934747145158</v>
      </c>
      <c r="J14" s="1392">
        <f t="shared" si="0"/>
        <v>0.33765316054024552</v>
      </c>
      <c r="K14" s="1392">
        <f t="shared" si="0"/>
        <v>0.26507650163693519</v>
      </c>
      <c r="L14" s="1400">
        <f t="shared" si="0"/>
        <v>0.1609022406506655</v>
      </c>
      <c r="M14" s="1392">
        <f t="shared" si="0"/>
        <v>0.1795673483184046</v>
      </c>
      <c r="N14" s="1400">
        <f t="shared" si="0"/>
        <v>6.4926033089781177E-2</v>
      </c>
      <c r="O14" s="1392">
        <f t="shared" si="0"/>
        <v>0.20409771473601279</v>
      </c>
      <c r="P14" s="1400">
        <f t="shared" si="0"/>
        <v>0.14400199946788361</v>
      </c>
      <c r="Q14" s="1392">
        <f t="shared" si="0"/>
        <v>0.11710941218467408</v>
      </c>
      <c r="R14" s="1400">
        <f t="shared" si="0"/>
        <v>0.24740299096508656</v>
      </c>
      <c r="S14" s="1392">
        <f t="shared" si="0"/>
        <v>0.17870195924399601</v>
      </c>
      <c r="T14" s="1400">
        <f t="shared" si="0"/>
        <v>0.11173509454855779</v>
      </c>
      <c r="U14" s="1392">
        <f t="shared" si="0"/>
        <v>0.10990997096930899</v>
      </c>
      <c r="V14" s="1400">
        <f t="shared" si="0"/>
        <v>0.12431902264503791</v>
      </c>
      <c r="W14" s="1392">
        <f t="shared" si="0"/>
        <v>0.12000000000000011</v>
      </c>
      <c r="X14" s="1392"/>
      <c r="Y14" s="1392"/>
      <c r="Z14" s="1392"/>
      <c r="AA14" s="1392"/>
      <c r="AB14" s="1394"/>
      <c r="AC14" s="1395"/>
      <c r="AD14" s="1396"/>
      <c r="AE14" s="1397"/>
      <c r="AF14" s="1396"/>
      <c r="AG14" s="1397"/>
    </row>
    <row r="15" spans="1:33" x14ac:dyDescent="0.3">
      <c r="A15" s="1391" t="str">
        <f>+A9</f>
        <v>BYIT</v>
      </c>
      <c r="H15" s="1392"/>
      <c r="I15" s="1392"/>
      <c r="J15" s="1392"/>
      <c r="K15" s="1392"/>
      <c r="L15" s="1400"/>
      <c r="M15" s="1392"/>
      <c r="N15" s="1400">
        <f t="shared" ref="N15:W16" si="1">+N9/L9-1</f>
        <v>0.16084038663795264</v>
      </c>
      <c r="O15" s="1392">
        <f t="shared" si="1"/>
        <v>0.10014510093424711</v>
      </c>
      <c r="P15" s="1400">
        <f t="shared" si="1"/>
        <v>0.14114373233815813</v>
      </c>
      <c r="Q15" s="1392">
        <f t="shared" si="1"/>
        <v>0.26107781659994878</v>
      </c>
      <c r="R15" s="1400">
        <f t="shared" si="1"/>
        <v>0.23818525519848777</v>
      </c>
      <c r="S15" s="1392">
        <f t="shared" si="1"/>
        <v>0.17614678899082548</v>
      </c>
      <c r="T15" s="1400">
        <f t="shared" si="1"/>
        <v>0.14961832061068692</v>
      </c>
      <c r="U15" s="1392">
        <f t="shared" si="1"/>
        <v>9.9843993759750616E-2</v>
      </c>
      <c r="V15" s="1400">
        <f t="shared" si="1"/>
        <v>9.0305444887118114E-2</v>
      </c>
      <c r="W15" s="1392">
        <f t="shared" si="0"/>
        <v>0.15171631205673775</v>
      </c>
    </row>
    <row r="16" spans="1:33" x14ac:dyDescent="0.3">
      <c r="A16" s="1391" t="str">
        <f>+A10</f>
        <v>CCC (UK)</v>
      </c>
      <c r="H16" s="1392"/>
      <c r="I16" s="1392"/>
      <c r="J16" s="1392"/>
      <c r="K16" s="1392">
        <f t="shared" ref="K16:L16" si="2">+K10/I10-1</f>
        <v>1.5236552296090444E-2</v>
      </c>
      <c r="L16" s="1400">
        <f t="shared" si="2"/>
        <v>1.0893159414517406E-2</v>
      </c>
      <c r="M16" s="1392">
        <f>+M10/K10-1</f>
        <v>0.13683770588347044</v>
      </c>
      <c r="N16" s="1400">
        <f t="shared" si="1"/>
        <v>0.20785233048343255</v>
      </c>
      <c r="O16" s="1392">
        <f t="shared" si="1"/>
        <v>5.7568263092810934E-2</v>
      </c>
      <c r="P16" s="1400">
        <f t="shared" si="1"/>
        <v>8.541418622478103E-2</v>
      </c>
      <c r="Q16" s="1392">
        <f t="shared" si="1"/>
        <v>6.7359805331268729E-2</v>
      </c>
      <c r="R16" s="1400">
        <f t="shared" si="1"/>
        <v>-2.1036814425244077E-2</v>
      </c>
      <c r="S16" s="1392">
        <f t="shared" si="1"/>
        <v>-4.589193190229468E-2</v>
      </c>
      <c r="T16" s="1400">
        <f t="shared" si="1"/>
        <v>-2.3791250959324661E-2</v>
      </c>
      <c r="U16" s="1392">
        <f t="shared" si="1"/>
        <v>-4.1117145073700345E-2</v>
      </c>
      <c r="V16" s="1400">
        <f t="shared" si="1"/>
        <v>-0.15251572327044027</v>
      </c>
      <c r="W16" s="1392">
        <f t="shared" si="1"/>
        <v>-4.8543689320388328E-3</v>
      </c>
    </row>
    <row r="17" spans="1:26" x14ac:dyDescent="0.3">
      <c r="A17" s="1391" t="str">
        <f t="shared" ref="A17" si="3">+A11</f>
        <v>CDW (Other), Sales in USD</v>
      </c>
      <c r="H17" s="1392"/>
      <c r="I17" s="1392"/>
      <c r="J17" s="1392"/>
      <c r="K17" s="1392"/>
      <c r="L17" s="1400"/>
      <c r="M17" s="1392">
        <f t="shared" ref="M17" si="4">+M11/K11-1</f>
        <v>0.19829190846381262</v>
      </c>
      <c r="N17" s="1400">
        <f t="shared" ref="N17" si="5">+N11/L11-1</f>
        <v>-1.738885233574583E-2</v>
      </c>
      <c r="O17" s="1392">
        <f t="shared" ref="O17" si="6">+O11/M11-1</f>
        <v>-4.8519736842105643E-2</v>
      </c>
      <c r="P17" s="1400">
        <f t="shared" ref="P17" si="7">+P11/N11-1</f>
        <v>0.22154199349531267</v>
      </c>
      <c r="Q17" s="1392">
        <f t="shared" ref="Q17" si="8">+Q11/O11-1</f>
        <v>0.25842696629213524</v>
      </c>
      <c r="R17" s="1400">
        <f t="shared" ref="R17" si="9">+R11/P11-1</f>
        <v>0.1797963978073609</v>
      </c>
      <c r="S17" s="1392">
        <f t="shared" ref="S17" si="10">+S11/Q11-1</f>
        <v>6.9749694749694724E-2</v>
      </c>
      <c r="T17" s="1400">
        <f t="shared" ref="T17" si="11">+T11/R11-1</f>
        <v>-9.398645957785734E-2</v>
      </c>
      <c r="U17" s="1392">
        <f t="shared" ref="U17:W17" si="12">+U11/S11-1</f>
        <v>-0.15216150663432726</v>
      </c>
      <c r="V17" s="1400">
        <f t="shared" si="12"/>
        <v>-9.6556776556776525E-2</v>
      </c>
      <c r="W17" s="1392">
        <f t="shared" si="12"/>
        <v>4.9305847707193928E-2</v>
      </c>
    </row>
    <row r="18" spans="1:26" ht="14.5" x14ac:dyDescent="0.35">
      <c r="B18"/>
      <c r="C18"/>
      <c r="D18"/>
      <c r="E18"/>
      <c r="F18"/>
      <c r="G18"/>
      <c r="H18"/>
      <c r="I18"/>
      <c r="J18"/>
      <c r="K18"/>
      <c r="L18"/>
      <c r="M18"/>
      <c r="N18"/>
      <c r="O18"/>
      <c r="P18"/>
      <c r="Q18"/>
      <c r="R18"/>
      <c r="S18"/>
      <c r="T18"/>
      <c r="U18"/>
      <c r="V18"/>
      <c r="W18"/>
      <c r="X18"/>
      <c r="Y18"/>
      <c r="Z18"/>
    </row>
    <row r="19" spans="1:26" ht="14.5" x14ac:dyDescent="0.35">
      <c r="B19"/>
      <c r="C19"/>
      <c r="D19"/>
      <c r="E19"/>
      <c r="F19"/>
      <c r="G19"/>
      <c r="H19"/>
      <c r="I19"/>
      <c r="J19"/>
      <c r="K19"/>
      <c r="L19"/>
      <c r="M19"/>
      <c r="N19"/>
      <c r="O19"/>
      <c r="P19"/>
      <c r="Q19"/>
      <c r="R19"/>
      <c r="S19"/>
      <c r="T19"/>
      <c r="U19"/>
      <c r="V19"/>
      <c r="W19"/>
      <c r="X19"/>
      <c r="Y19"/>
      <c r="Z19"/>
    </row>
    <row r="20" spans="1:26" ht="14.5" x14ac:dyDescent="0.35">
      <c r="B20"/>
      <c r="C20"/>
      <c r="D20"/>
      <c r="E20"/>
      <c r="F20"/>
      <c r="G20"/>
      <c r="H20"/>
      <c r="I20"/>
      <c r="J20"/>
      <c r="K20"/>
      <c r="L20"/>
      <c r="M20"/>
      <c r="N20"/>
      <c r="O20"/>
      <c r="P20"/>
      <c r="Q20"/>
      <c r="R20"/>
      <c r="S20"/>
      <c r="T20"/>
      <c r="U20"/>
      <c r="V20"/>
      <c r="W20"/>
      <c r="X20"/>
      <c r="Y20"/>
      <c r="Z20"/>
    </row>
    <row r="21" spans="1:26" ht="14.5" x14ac:dyDescent="0.35">
      <c r="B21"/>
      <c r="C21"/>
      <c r="D21"/>
      <c r="E21"/>
      <c r="F21"/>
      <c r="G21"/>
      <c r="H21"/>
      <c r="I21"/>
      <c r="J21"/>
      <c r="K21"/>
      <c r="L21"/>
      <c r="M21"/>
      <c r="N21"/>
      <c r="O21"/>
      <c r="P21"/>
      <c r="Q21"/>
      <c r="R21"/>
      <c r="S21"/>
      <c r="T21"/>
      <c r="U21"/>
      <c r="V21"/>
      <c r="W21"/>
      <c r="X21"/>
      <c r="Y21"/>
      <c r="Z21"/>
    </row>
    <row r="22" spans="1:26" ht="14.5" x14ac:dyDescent="0.35">
      <c r="B22"/>
      <c r="C22"/>
      <c r="D22"/>
      <c r="E22"/>
      <c r="F22"/>
      <c r="G22"/>
      <c r="H22"/>
      <c r="I22"/>
      <c r="J22"/>
      <c r="K22"/>
      <c r="L22"/>
      <c r="M22"/>
      <c r="N22"/>
      <c r="O22"/>
      <c r="P22"/>
      <c r="Q22"/>
      <c r="R22"/>
      <c r="S22"/>
      <c r="T22"/>
      <c r="U22"/>
      <c r="V22"/>
      <c r="W22"/>
      <c r="X22"/>
      <c r="Y22"/>
      <c r="Z22"/>
    </row>
    <row r="23" spans="1:26" ht="14.5" x14ac:dyDescent="0.35">
      <c r="B23"/>
      <c r="C23"/>
      <c r="D23"/>
      <c r="E23"/>
      <c r="F23"/>
      <c r="G23"/>
      <c r="H23"/>
      <c r="I23"/>
      <c r="J23"/>
      <c r="K23"/>
      <c r="L23"/>
      <c r="M23"/>
      <c r="N23"/>
      <c r="O23"/>
      <c r="P23"/>
      <c r="Q23"/>
      <c r="R23"/>
      <c r="S23"/>
      <c r="T23"/>
      <c r="U23"/>
      <c r="V23"/>
      <c r="W23"/>
      <c r="X23"/>
      <c r="Y23"/>
      <c r="Z23"/>
    </row>
    <row r="24" spans="1:26" ht="14.5" x14ac:dyDescent="0.35">
      <c r="B24"/>
      <c r="C24"/>
      <c r="D24"/>
      <c r="E24"/>
      <c r="F24"/>
      <c r="G24"/>
      <c r="H24"/>
      <c r="I24"/>
      <c r="J24"/>
      <c r="K24"/>
      <c r="L24"/>
      <c r="M24"/>
      <c r="N24"/>
      <c r="O24"/>
      <c r="P24"/>
      <c r="Q24"/>
      <c r="R24"/>
      <c r="S24"/>
      <c r="T24"/>
      <c r="U24"/>
      <c r="V24"/>
      <c r="W24"/>
      <c r="X24"/>
      <c r="Y24"/>
      <c r="Z24"/>
    </row>
  </sheetData>
  <pageMargins left="0.3" right="0.3" top="0.3" bottom="0.3" header="0.3" footer="0.3"/>
  <pageSetup scale="94" orientation="landscape" r:id="rId1"/>
  <headerFooter>
    <oddFooter>Page &amp;P</oddFooter>
  </headerFooter>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684023ab-f3fa-4f75-8c85-aad38775666c" xsi:nil="true"/>
    <lcf76f155ced4ddcb4097134ff3c332f xmlns="700f816a-2d70-48f7-98b4-aa062cbdb163">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7B54F80F9326D4AB5846AC1C3383526" ma:contentTypeVersion="18" ma:contentTypeDescription="Create a new document." ma:contentTypeScope="" ma:versionID="a429a91d62400243b3cba045310d747f">
  <xsd:schema xmlns:xsd="http://www.w3.org/2001/XMLSchema" xmlns:xs="http://www.w3.org/2001/XMLSchema" xmlns:p="http://schemas.microsoft.com/office/2006/metadata/properties" xmlns:ns2="700f816a-2d70-48f7-98b4-aa062cbdb163" xmlns:ns3="684023ab-f3fa-4f75-8c85-aad38775666c" targetNamespace="http://schemas.microsoft.com/office/2006/metadata/properties" ma:root="true" ma:fieldsID="9fd41046c3a9fbdd1121c909508001eb" ns2:_="" ns3:_="">
    <xsd:import namespace="700f816a-2d70-48f7-98b4-aa062cbdb163"/>
    <xsd:import namespace="684023ab-f3fa-4f75-8c85-aad38775666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00f816a-2d70-48f7-98b4-aa062cbdb16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dceb9303-a7f0-4f8a-8c8a-ed661295ba0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84023ab-f3fa-4f75-8c85-aad38775666c"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e493c1c2-3348-4bb2-9cf0-bfee56a9355e}" ma:internalName="TaxCatchAll" ma:showField="CatchAllData" ma:web="684023ab-f3fa-4f75-8c85-aad38775666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0B72C2A-A133-480B-80EE-79856E6AF192}">
  <ds:schemaRefs>
    <ds:schemaRef ds:uri="http://schemas.microsoft.com/office/2006/metadata/properties"/>
    <ds:schemaRef ds:uri="http://schemas.microsoft.com/office/infopath/2007/PartnerControls"/>
    <ds:schemaRef ds:uri="684023ab-f3fa-4f75-8c85-aad38775666c"/>
    <ds:schemaRef ds:uri="700f816a-2d70-48f7-98b4-aa062cbdb163"/>
  </ds:schemaRefs>
</ds:datastoreItem>
</file>

<file path=customXml/itemProps2.xml><?xml version="1.0" encoding="utf-8"?>
<ds:datastoreItem xmlns:ds="http://schemas.openxmlformats.org/officeDocument/2006/customXml" ds:itemID="{E623C45C-F498-47E5-8BFB-F127655AB13F}">
  <ds:schemaRefs>
    <ds:schemaRef ds:uri="http://schemas.microsoft.com/sharepoint/v3/contenttype/forms"/>
  </ds:schemaRefs>
</ds:datastoreItem>
</file>

<file path=customXml/itemProps3.xml><?xml version="1.0" encoding="utf-8"?>
<ds:datastoreItem xmlns:ds="http://schemas.openxmlformats.org/officeDocument/2006/customXml" ds:itemID="{D1550BCE-40A4-448E-9C0A-C645C34B39D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00f816a-2d70-48f7-98b4-aa062cbdb163"/>
    <ds:schemaRef ds:uri="684023ab-f3fa-4f75-8c85-aad38775666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947</vt:i4>
      </vt:variant>
    </vt:vector>
  </HeadingPairs>
  <TitlesOfParts>
    <vt:vector size="962" baseType="lpstr">
      <vt:lpstr>Base</vt:lpstr>
      <vt:lpstr>Upside</vt:lpstr>
      <vt:lpstr>Historicals and forecast</vt:lpstr>
      <vt:lpstr>Disclosed financials</vt:lpstr>
      <vt:lpstr>Guidance</vt:lpstr>
      <vt:lpstr>FY18, 19 vs Market</vt:lpstr>
      <vt:lpstr>FY18, 19 Commentary</vt:lpstr>
      <vt:lpstr>v BYIT</vt:lpstr>
      <vt:lpstr>Charts</vt:lpstr>
      <vt:lpstr>Notes</vt:lpstr>
      <vt:lpstr>Canalyst</vt:lpstr>
      <vt:lpstr>CapIQ - as disclosed</vt:lpstr>
      <vt:lpstr>CapIQ - standard</vt:lpstr>
      <vt:lpstr>Tearsheet</vt:lpstr>
      <vt:lpstr>CapIQ</vt:lpstr>
      <vt:lpstr>HP.MRFX</vt:lpstr>
      <vt:lpstr>HP.ReportCurrency</vt:lpstr>
      <vt:lpstr>HP.Ticker</vt:lpstr>
      <vt:lpstr>HP.TradeCurrency</vt:lpstr>
      <vt:lpstr>HP.TradeCurrency.HardCoded</vt:lpstr>
      <vt:lpstr>MO.ApplyTradeCurrencyScaling</vt:lpstr>
      <vt:lpstr>MO.CFY</vt:lpstr>
      <vt:lpstr>MO.CompanyName</vt:lpstr>
      <vt:lpstr>MO.DataSourceIndex</vt:lpstr>
      <vt:lpstr>MO.DataSourceName</vt:lpstr>
      <vt:lpstr>MO.FirstForecastedFiscalYear</vt:lpstr>
      <vt:lpstr>MO.KPI.1</vt:lpstr>
      <vt:lpstr>MO.KPI.2</vt:lpstr>
      <vt:lpstr>MO.KPI.3</vt:lpstr>
      <vt:lpstr>MO.KPI.4</vt:lpstr>
      <vt:lpstr>MO.KPI.5</vt:lpstr>
      <vt:lpstr>MO.KPI.6</vt:lpstr>
      <vt:lpstr>MO.KPI.Count</vt:lpstr>
      <vt:lpstr>MO.LastPrice</vt:lpstr>
      <vt:lpstr>MO.LastPriceDate</vt:lpstr>
      <vt:lpstr>MO.LastPriceFormula</vt:lpstr>
      <vt:lpstr>MO.LastPriceHardcoded</vt:lpstr>
      <vt:lpstr>MO.MRFP</vt:lpstr>
      <vt:lpstr>MO.MRFPColumnNumber</vt:lpstr>
      <vt:lpstr>MO.MRFX.Hardcoded</vt:lpstr>
      <vt:lpstr>MO.RealTime</vt:lpstr>
      <vt:lpstr>MO.RealTimeStockPriceToggle</vt:lpstr>
      <vt:lpstr>MO.ReportCurrency</vt:lpstr>
      <vt:lpstr>MO.ReportFX</vt:lpstr>
      <vt:lpstr>MO.Ticker</vt:lpstr>
      <vt:lpstr>MO.Ticker.Bloomberg</vt:lpstr>
      <vt:lpstr>MO.Ticker.Canalyst</vt:lpstr>
      <vt:lpstr>MO.Ticker.CapIQ</vt:lpstr>
      <vt:lpstr>MO.Ticker.FactSet</vt:lpstr>
      <vt:lpstr>MO.Ticker.Thomson</vt:lpstr>
      <vt:lpstr>MO.TradingCurrency</vt:lpstr>
      <vt:lpstr>MO.ValuationToggle</vt:lpstr>
      <vt:lpstr>MO_AN_EBIT_Adj</vt:lpstr>
      <vt:lpstr>MO_AN_NI_NONGAAP_Diluted</vt:lpstr>
      <vt:lpstr>MO_BS_AP</vt:lpstr>
      <vt:lpstr>MO_BS_AR</vt:lpstr>
      <vt:lpstr>MO_BS_CA</vt:lpstr>
      <vt:lpstr>MO_BS_Cash</vt:lpstr>
      <vt:lpstr>MO_BS_CL</vt:lpstr>
      <vt:lpstr>MO_BS_CommonStock</vt:lpstr>
      <vt:lpstr>MO_BS_ContractLiabilities_Current</vt:lpstr>
      <vt:lpstr>MO_BS_ContractLiabilities_NonCurrent</vt:lpstr>
      <vt:lpstr>MO_BS_ContributedSurplus</vt:lpstr>
      <vt:lpstr>MO_BS_Intangibles</vt:lpstr>
      <vt:lpstr>MO_BS_INV</vt:lpstr>
      <vt:lpstr>MO_BS_LeaseLiabilities_Current</vt:lpstr>
      <vt:lpstr>MO_BS_LeaseLiabilities_NonCurrent</vt:lpstr>
      <vt:lpstr>MO_BS_NCA</vt:lpstr>
      <vt:lpstr>MO_BS_NCI</vt:lpstr>
      <vt:lpstr>MO_BS_NCL</vt:lpstr>
      <vt:lpstr>MO_BS_OL_Current</vt:lpstr>
      <vt:lpstr>MO_BS_OL_NonCurrent</vt:lpstr>
      <vt:lpstr>MO_BS_PPE</vt:lpstr>
      <vt:lpstr>MO_BS_RetainedEarnings</vt:lpstr>
      <vt:lpstr>MO_BS_ROU</vt:lpstr>
      <vt:lpstr>MO_BS_SE</vt:lpstr>
      <vt:lpstr>MO_BS_TA</vt:lpstr>
      <vt:lpstr>MO_BS_TaxAssets_Deferred_NonCurrent</vt:lpstr>
      <vt:lpstr>MO_BS_TL</vt:lpstr>
      <vt:lpstr>MO_BS_TLSE</vt:lpstr>
      <vt:lpstr>MO_BSS_Cash</vt:lpstr>
      <vt:lpstr>MO_BSS_Debt</vt:lpstr>
      <vt:lpstr>MO_BSS_Debt_LT</vt:lpstr>
      <vt:lpstr>MO_BSS_Debt_Net</vt:lpstr>
      <vt:lpstr>MO_BSS_Debt_ST</vt:lpstr>
      <vt:lpstr>MO_BSS_Debt_ToCF</vt:lpstr>
      <vt:lpstr>MO_BSS_Debt_ToEBITDA</vt:lpstr>
      <vt:lpstr>MO_BSS_IE</vt:lpstr>
      <vt:lpstr>MO_BSS_IE_Net</vt:lpstr>
      <vt:lpstr>MO_BSS_II</vt:lpstr>
      <vt:lpstr>MO_BSS_InterestRate_Cash</vt:lpstr>
      <vt:lpstr>MO_BSS_InterestRate_Debt</vt:lpstr>
      <vt:lpstr>MO_BSS_NetInterestCoverage</vt:lpstr>
      <vt:lpstr>MO_BSS_NetInterestRate_Debt</vt:lpstr>
      <vt:lpstr>MO_BSS_OL</vt:lpstr>
      <vt:lpstr>MO_CFS_Amortization</vt:lpstr>
      <vt:lpstr>MO_CFS_Balance_Begin</vt:lpstr>
      <vt:lpstr>MO_CFS_Balance_End</vt:lpstr>
      <vt:lpstr>MO_CFS_Buyback</vt:lpstr>
      <vt:lpstr>MO_CFS_CFF</vt:lpstr>
      <vt:lpstr>MO_CFS_CFI</vt:lpstr>
      <vt:lpstr>MO_CFS_CFO</vt:lpstr>
      <vt:lpstr>MO_CFS_CFO_BeforeWC</vt:lpstr>
      <vt:lpstr>MO_CFS_DA</vt:lpstr>
      <vt:lpstr>MO_CFS_Depreciation</vt:lpstr>
      <vt:lpstr>MO_CFS_Dividend</vt:lpstr>
      <vt:lpstr>MO_CFS_FX</vt:lpstr>
      <vt:lpstr>MO_CFS_Lease_CapitalPaid</vt:lpstr>
      <vt:lpstr>MO_CFS_NetChange</vt:lpstr>
      <vt:lpstr>MO_CFS_NetEquityIssued</vt:lpstr>
      <vt:lpstr>MO_CFS_NewEquityIssued</vt:lpstr>
      <vt:lpstr>MO_CFS_ROU_D</vt:lpstr>
      <vt:lpstr>MO_CFS_WC_AP</vt:lpstr>
      <vt:lpstr>MO_CFS_WC_AR</vt:lpstr>
      <vt:lpstr>MO_CFS_WC_INV</vt:lpstr>
      <vt:lpstr>MO_CFSum_Acquisition</vt:lpstr>
      <vt:lpstr>MO_CFSum_Capex</vt:lpstr>
      <vt:lpstr>MO_CFSum_CFO</vt:lpstr>
      <vt:lpstr>MO_CFSum_CFO_BeforeWC</vt:lpstr>
      <vt:lpstr>MO_CFSum_CFOPS</vt:lpstr>
      <vt:lpstr>MO_CFSum_CFOPS_BeforeWC</vt:lpstr>
      <vt:lpstr>MO_CFSum_CFPS</vt:lpstr>
      <vt:lpstr>MO_CFSum_ChangeInWC</vt:lpstr>
      <vt:lpstr>MO_CFSum_ConsensusEstimatesCapex</vt:lpstr>
      <vt:lpstr>MO_CFSum_ConsensusEstimatesCashFlowPerDilutedShare</vt:lpstr>
      <vt:lpstr>MO_CFSum_Divestiture</vt:lpstr>
      <vt:lpstr>MO_CFSum_Dividend</vt:lpstr>
      <vt:lpstr>MO_CFSum_DPS</vt:lpstr>
      <vt:lpstr>MO_CFSum_FCF_PostDivPostAD</vt:lpstr>
      <vt:lpstr>MO_CFSum_FCF_PostDivPostADPostDebtPostBuyback</vt:lpstr>
      <vt:lpstr>MO_CFSum_FCF_PostDivPreAD</vt:lpstr>
      <vt:lpstr>MO_CFSum_FCF_PostWCPostDivPostAD</vt:lpstr>
      <vt:lpstr>MO_CFSum_FCF_PostWCPostDivPostADPostDebtPostBuyback</vt:lpstr>
      <vt:lpstr>MO_CFSum_FCF_PostWCPostDivPreAD</vt:lpstr>
      <vt:lpstr>MO_CFSum_FCF_PostWCPreDiv</vt:lpstr>
      <vt:lpstr>MO_CFSum_FCF_PreDiv</vt:lpstr>
      <vt:lpstr>MO_CFSum_NetDebtIssuance</vt:lpstr>
      <vt:lpstr>MO_CFSum_NetShares</vt:lpstr>
      <vt:lpstr>MO_CFSum_NetShares_Price</vt:lpstr>
      <vt:lpstr>MO_CFSum_SBC</vt:lpstr>
      <vt:lpstr>MO_CFSum_SBC_Margin</vt:lpstr>
      <vt:lpstr>MO_Checks_Bottom</vt:lpstr>
      <vt:lpstr>MO_Checks_BS</vt:lpstr>
      <vt:lpstr>MO_Checks_CF</vt:lpstr>
      <vt:lpstr>MO_Checks_IS</vt:lpstr>
      <vt:lpstr>MO_Common_Column_A</vt:lpstr>
      <vt:lpstr>MO_Common_Column_B</vt:lpstr>
      <vt:lpstr>MO_Common_ColumnHeader</vt:lpstr>
      <vt:lpstr>MO_Common_CompanySubtitle</vt:lpstr>
      <vt:lpstr>MO_Common_CompanyTitle</vt:lpstr>
      <vt:lpstr>MO_Common_FPDays</vt:lpstr>
      <vt:lpstr>MO_Common_QEndDate</vt:lpstr>
      <vt:lpstr>MO_Common_QEndDate_LWD</vt:lpstr>
      <vt:lpstr>MO_DAF_A</vt:lpstr>
      <vt:lpstr>MO_DAF_A_Percentage</vt:lpstr>
      <vt:lpstr>MO_DAF_Capex</vt:lpstr>
      <vt:lpstr>MO_DAF_CashEffectOfCapitalRepayment</vt:lpstr>
      <vt:lpstr>MO_DAF_CashEffectOfNewLeases</vt:lpstr>
      <vt:lpstr>MO_DAF_D</vt:lpstr>
      <vt:lpstr>MO_DAF_D_Percentage</vt:lpstr>
      <vt:lpstr>MO_DAF_DA</vt:lpstr>
      <vt:lpstr>MO_DAF_Intangibles_BoP</vt:lpstr>
      <vt:lpstr>MO_DAF_Intangibles_Capex</vt:lpstr>
      <vt:lpstr>MO_DAF_Intangibles_Capex_Percent</vt:lpstr>
      <vt:lpstr>MO_DAF_Intangibles_EoP</vt:lpstr>
      <vt:lpstr>MO_DAF_Intangibles_Life</vt:lpstr>
      <vt:lpstr>MO_DAF_Intangibles_Other</vt:lpstr>
      <vt:lpstr>MO_DAF_Lease_Additions</vt:lpstr>
      <vt:lpstr>MO_DAF_Lease_BoP</vt:lpstr>
      <vt:lpstr>MO_DAF_Lease_CapitalPaid</vt:lpstr>
      <vt:lpstr>MO_DAF_Lease_CapitalRepayments</vt:lpstr>
      <vt:lpstr>MO_DAF_Lease_CashPaid</vt:lpstr>
      <vt:lpstr>MO_DAF_Lease_CashPayments_Change_H</vt:lpstr>
      <vt:lpstr>MO_DAF_Lease_CashPayments_Change_Y</vt:lpstr>
      <vt:lpstr>MO_DAF_Lease_CashPayments_Monthly</vt:lpstr>
      <vt:lpstr>MO_DAF_Lease_Current_Perc</vt:lpstr>
      <vt:lpstr>MO_DAF_Lease_EoP</vt:lpstr>
      <vt:lpstr>MO_DAF_Lease_InterestPaid</vt:lpstr>
      <vt:lpstr>MO_DAF_Lease_Other</vt:lpstr>
      <vt:lpstr>MO_DAF_NewLeaseObligations</vt:lpstr>
      <vt:lpstr>MO_DAF_NewLeaseObligations_PV</vt:lpstr>
      <vt:lpstr>MO_DAF_PPE_BoP</vt:lpstr>
      <vt:lpstr>MO_DAF_PPE_Capex</vt:lpstr>
      <vt:lpstr>MO_DAF_PPE_EoP</vt:lpstr>
      <vt:lpstr>MO_DAF_PPE_Life</vt:lpstr>
      <vt:lpstr>MO_DAF_PPE_Other</vt:lpstr>
      <vt:lpstr>MO_DAF_ROU_Additions</vt:lpstr>
      <vt:lpstr>MO_DAF_ROU_BoP</vt:lpstr>
      <vt:lpstr>MO_DAF_ROU_D</vt:lpstr>
      <vt:lpstr>MO_DAF_ROU_D_Perc</vt:lpstr>
      <vt:lpstr>MO_DAF_ROU_EoP</vt:lpstr>
      <vt:lpstr>MO_DAF_ROU_InterestRate</vt:lpstr>
      <vt:lpstr>MO_DAF_ROU_Life</vt:lpstr>
      <vt:lpstr>MO_DAF_ROU_Other</vt:lpstr>
      <vt:lpstr>MO_FE_FC</vt:lpstr>
      <vt:lpstr>MO_FE_FCBreakdown_IE</vt:lpstr>
      <vt:lpstr>MO_FE_FCBreakdown_IE_Debt</vt:lpstr>
      <vt:lpstr>MO_FE_FCBreakdown_IE_Leases</vt:lpstr>
      <vt:lpstr>MO_FE_FCBreakdown_OFE</vt:lpstr>
      <vt:lpstr>MO_FE_FI</vt:lpstr>
      <vt:lpstr>MO_FE_FIBreakdown_II</vt:lpstr>
      <vt:lpstr>MO_FE_FIBreakdown_OFI</vt:lpstr>
      <vt:lpstr>MO_FE_IE</vt:lpstr>
      <vt:lpstr>MO_FE_IE_Debt</vt:lpstr>
      <vt:lpstr>MO_FE_IE_Leases</vt:lpstr>
      <vt:lpstr>MO_FE_II</vt:lpstr>
      <vt:lpstr>MO_FE_NFC</vt:lpstr>
      <vt:lpstr>MO_FE_NIE</vt:lpstr>
      <vt:lpstr>MO_FE_OFE_Net</vt:lpstr>
      <vt:lpstr>MO_GA_TotalRevenue</vt:lpstr>
      <vt:lpstr>MO_IS_EBIT</vt:lpstr>
      <vt:lpstr>MO_IS_FE</vt:lpstr>
      <vt:lpstr>MO_IS_FI</vt:lpstr>
      <vt:lpstr>MO_IS_FirstRow</vt:lpstr>
      <vt:lpstr>MO_IS_GA</vt:lpstr>
      <vt:lpstr>MO_IS_GP</vt:lpstr>
      <vt:lpstr>MO_IS_REV</vt:lpstr>
      <vt:lpstr>MO_IS_Tax</vt:lpstr>
      <vt:lpstr>MO_MA_COGS</vt:lpstr>
      <vt:lpstr>MO_MA_DA</vt:lpstr>
      <vt:lpstr>MO_MA_EBIT</vt:lpstr>
      <vt:lpstr>MO_MA_EBIT_Adj</vt:lpstr>
      <vt:lpstr>MO_MA_EBITDA</vt:lpstr>
      <vt:lpstr>MO_MA_EBITDA_Adj</vt:lpstr>
      <vt:lpstr>MO_MA_GA</vt:lpstr>
      <vt:lpstr>MO_MA_GM</vt:lpstr>
      <vt:lpstr>MO_MA_SBC</vt:lpstr>
      <vt:lpstr>MO_OS_EmployeeCount</vt:lpstr>
      <vt:lpstr>MO_RIS_Adjustments_Dilution_GAAP</vt:lpstr>
      <vt:lpstr>MO_RIS_Adjustments_Dilution_NONGAAP</vt:lpstr>
      <vt:lpstr>MO_RIS_Adjustments_NONGAAP</vt:lpstr>
      <vt:lpstr>MO_RIS_COGS</vt:lpstr>
      <vt:lpstr>MO_RIS_DA</vt:lpstr>
      <vt:lpstr>MO_RIS_DisCont</vt:lpstr>
      <vt:lpstr>MO_RIS_Dividend_Prefs</vt:lpstr>
      <vt:lpstr>MO_RIS_EBIT</vt:lpstr>
      <vt:lpstr>MO_RIS_EBIT_Adj</vt:lpstr>
      <vt:lpstr>MO_RIS_EBITDA</vt:lpstr>
      <vt:lpstr>MO_RIS_EBITDA_Adj</vt:lpstr>
      <vt:lpstr>MO_RIS_EBT</vt:lpstr>
      <vt:lpstr>MO_RIS_EPS_WAB</vt:lpstr>
      <vt:lpstr>MO_RIS_EPS_WAD</vt:lpstr>
      <vt:lpstr>MO_RIS_EPS_WAD_Adj</vt:lpstr>
      <vt:lpstr>MO_RIS_FE_Net</vt:lpstr>
      <vt:lpstr>MO_RIS_GA</vt:lpstr>
      <vt:lpstr>MO_RIS_GP</vt:lpstr>
      <vt:lpstr>MO_RIS_IE</vt:lpstr>
      <vt:lpstr>MO_RIS_IE_Net</vt:lpstr>
      <vt:lpstr>MO_RIS_II</vt:lpstr>
      <vt:lpstr>MO_RIS_NCI</vt:lpstr>
      <vt:lpstr>MO_RIS_NI_ContinOp</vt:lpstr>
      <vt:lpstr>MO_RIS_NI_GAAP_Basic</vt:lpstr>
      <vt:lpstr>MO_RIS_NI_GAAP_Diluted</vt:lpstr>
      <vt:lpstr>MO_RIS_NI_NONGAAP_Diluted</vt:lpstr>
      <vt:lpstr>MO_RIS_REV</vt:lpstr>
      <vt:lpstr>MO_RIS_SBC</vt:lpstr>
      <vt:lpstr>MO_RIS_ShareCount_WAB</vt:lpstr>
      <vt:lpstr>MO_RIS_ShareCount_WAD</vt:lpstr>
      <vt:lpstr>MO_RIS_ShareCount_WAD_Adj</vt:lpstr>
      <vt:lpstr>MO_RIS_Tax_Current</vt:lpstr>
      <vt:lpstr>MO_RIS_Tax_Deferred</vt:lpstr>
      <vt:lpstr>MO_RIS_TaxRate_Current</vt:lpstr>
      <vt:lpstr>MO_RIS_TaxRate_Deferred</vt:lpstr>
      <vt:lpstr>MO_SCA_ShareCount_EoP</vt:lpstr>
      <vt:lpstr>MO_SCA_ShareCount_EoP_Class1</vt:lpstr>
      <vt:lpstr>MO_SCA_ShareCount_EoP_Ticker1</vt:lpstr>
      <vt:lpstr>MO_Section_AdjustedNumbers</vt:lpstr>
      <vt:lpstr>MO_Section_BalanceSheet</vt:lpstr>
      <vt:lpstr>MO_Section_BalanceSheetSummary</vt:lpstr>
      <vt:lpstr>MO_Section_CashFlowStatement</vt:lpstr>
      <vt:lpstr>MO_Section_CashFlowSummary</vt:lpstr>
      <vt:lpstr>MO_Section_DABreakdownFS</vt:lpstr>
      <vt:lpstr>MO_Section_DAForecasting</vt:lpstr>
      <vt:lpstr>MO_Section_FinanceExpenseIncome</vt:lpstr>
      <vt:lpstr>MO_Section_GrowthAnalysis</vt:lpstr>
      <vt:lpstr>MO_Section_IncomeStatement</vt:lpstr>
      <vt:lpstr>MO_Section_KeyMetricsCashConversionFS</vt:lpstr>
      <vt:lpstr>MO_Section_KeyMetricsDescriptionMDA</vt:lpstr>
      <vt:lpstr>MO_Section_KeyMetricsEmployeeFS</vt:lpstr>
      <vt:lpstr>MO_Section_KeyMetricsMajorCustomerswithRevenues10FS</vt:lpstr>
      <vt:lpstr>MO_Section_LastRow</vt:lpstr>
      <vt:lpstr>MO_Section_MarginAnalysis</vt:lpstr>
      <vt:lpstr>MO_Section_ModelChecks</vt:lpstr>
      <vt:lpstr>MO_Section_OperatingStatsDescriptionPR</vt:lpstr>
      <vt:lpstr>MO_Section_RevisedIncomeStatement</vt:lpstr>
      <vt:lpstr>MO_Section_SegmentedResultsRevenueBreakdownFS</vt:lpstr>
      <vt:lpstr>MO_Section_ShareCountAnalysis</vt:lpstr>
      <vt:lpstr>MO_Section_Tables</vt:lpstr>
      <vt:lpstr>MO_Section_Valuation</vt:lpstr>
      <vt:lpstr>MO_Section_WorkingCapitalForecasting</vt:lpstr>
      <vt:lpstr>MO_SNA_ConsensusEstimatePeriodNumber</vt:lpstr>
      <vt:lpstr>MO_SNA_ConsensusEstimatePeriodType</vt:lpstr>
      <vt:lpstr>MO_SNA_FPStartDate</vt:lpstr>
      <vt:lpstr>MO_SNA_IsHistoricalPeriod</vt:lpstr>
      <vt:lpstr>MO_SNA_LastDataRow</vt:lpstr>
      <vt:lpstr>MO_SPT_FXAverage</vt:lpstr>
      <vt:lpstr>MO_SPT_FXAverage_Sources</vt:lpstr>
      <vt:lpstr>MO_SPT_FXAverage_Sources_Bloomberg</vt:lpstr>
      <vt:lpstr>MO_SPT_FXAverage_Sources_CapIQ</vt:lpstr>
      <vt:lpstr>MO_SPT_FXAverage_Sources_FactSet</vt:lpstr>
      <vt:lpstr>MO_SPT_FXAverage_Sources_RealTimeOff</vt:lpstr>
      <vt:lpstr>MO_SPT_FXAverage_Sources_Thomson</vt:lpstr>
      <vt:lpstr>MO_SPT_FXEoP</vt:lpstr>
      <vt:lpstr>MO_SPT_StockAverage</vt:lpstr>
      <vt:lpstr>MO_SPT_StockAverage_Sources</vt:lpstr>
      <vt:lpstr>MO_SPT_StockAverage_Sources_Bloomberg</vt:lpstr>
      <vt:lpstr>MO_SPT_StockAverage_Sources_CapIQ</vt:lpstr>
      <vt:lpstr>MO_SPT_StockAverage_Sources_FactSet</vt:lpstr>
      <vt:lpstr>MO_SPT_StockAverage_Sources_RealTimeOff</vt:lpstr>
      <vt:lpstr>MO_SPT_StockAverage_Sources_Thomson</vt:lpstr>
      <vt:lpstr>MO_SPT_StockEoP</vt:lpstr>
      <vt:lpstr>MO_SPT_StockHigh</vt:lpstr>
      <vt:lpstr>MO_SPT_StockHigh_Sources</vt:lpstr>
      <vt:lpstr>MO_SPT_StockHigh_Sources_Bloomberg</vt:lpstr>
      <vt:lpstr>MO_SPT_StockHigh_Sources_CapIQ</vt:lpstr>
      <vt:lpstr>MO_SPT_StockHigh_Sources_FactSet</vt:lpstr>
      <vt:lpstr>MO_SPT_StockHigh_Sources_RealTimeOff</vt:lpstr>
      <vt:lpstr>MO_SPT_StockHigh_Sources_Thomson</vt:lpstr>
      <vt:lpstr>MO_SPT_StockLow</vt:lpstr>
      <vt:lpstr>MO_SPT_StockLow_Sources</vt:lpstr>
      <vt:lpstr>MO_SPT_StockLow_Sources_Bloomberg</vt:lpstr>
      <vt:lpstr>MO_SPT_StockLow_Sources_CapIQ</vt:lpstr>
      <vt:lpstr>MO_SPT_StockLow_Sources_FactSet</vt:lpstr>
      <vt:lpstr>MO_SPT_StockLow_Sources_RealTimeOff</vt:lpstr>
      <vt:lpstr>MO_SPT_StockLow_Sources_Thomson</vt:lpstr>
      <vt:lpstr>MO_SubSection_BS_CA</vt:lpstr>
      <vt:lpstr>MO_SubSection_BS_CL</vt:lpstr>
      <vt:lpstr>MO_SubSection_BS_NCA</vt:lpstr>
      <vt:lpstr>MO_SubSection_BS_NCL</vt:lpstr>
      <vt:lpstr>MO_SubSection_BS_SE</vt:lpstr>
      <vt:lpstr>MO_SubSection_CFS_CFF</vt:lpstr>
      <vt:lpstr>MO_SubSection_CFS_CFI</vt:lpstr>
      <vt:lpstr>MO_SubSection_CFS_CFO</vt:lpstr>
      <vt:lpstr>MO_VA_EV</vt:lpstr>
      <vt:lpstr>MO_VA_EV_ToEBITDA</vt:lpstr>
      <vt:lpstr>MO_VA_EVCalc_NCI</vt:lpstr>
      <vt:lpstr>MO_VA_EVCalc_Other</vt:lpstr>
      <vt:lpstr>MO_VA_EVCalc_Prefs</vt:lpstr>
      <vt:lpstr>MO_VA_FCFYield_ToEV</vt:lpstr>
      <vt:lpstr>MO_VA_FCFYield_ToMktCap</vt:lpstr>
      <vt:lpstr>MO_VA_FX_Average</vt:lpstr>
      <vt:lpstr>MO_VA_FX_EoP</vt:lpstr>
      <vt:lpstr>MO_VA_MarketCap</vt:lpstr>
      <vt:lpstr>MO_VA_P_ToCF</vt:lpstr>
      <vt:lpstr>MO_VA_P_ToE</vt:lpstr>
      <vt:lpstr>MO_VA_StockPrice</vt:lpstr>
      <vt:lpstr>MO_VA_StockPrice_Avg</vt:lpstr>
      <vt:lpstr>MO_VA_StockPrice_EoP</vt:lpstr>
      <vt:lpstr>MO_VA_StockPrice_High</vt:lpstr>
      <vt:lpstr>MO_VA_StockPrice_Low</vt:lpstr>
      <vt:lpstr>MO_VA_StockPrice_TradingCurrency</vt:lpstr>
      <vt:lpstr>MO_WCF_AP_Margin</vt:lpstr>
      <vt:lpstr>MO_WCF_AP_Margin_Change</vt:lpstr>
      <vt:lpstr>MO_WCF_AR_Margin</vt:lpstr>
      <vt:lpstr>MO_WCF_AR_Margin_Change</vt:lpstr>
      <vt:lpstr>MO_WCF_INV_Margin</vt:lpstr>
      <vt:lpstr>MO_WCF_INV_Margin_Change</vt:lpstr>
      <vt:lpstr>Base!Print_Area</vt:lpstr>
      <vt:lpstr>Canalyst!Print_Area</vt:lpstr>
      <vt:lpstr>'Disclosed financials'!Print_Area</vt:lpstr>
      <vt:lpstr>'FY18, 19 Commentary'!Print_Area</vt:lpstr>
      <vt:lpstr>'FY18, 19 vs Market'!Print_Area</vt:lpstr>
      <vt:lpstr>Guidance!Print_Area</vt:lpstr>
      <vt:lpstr>'Historicals and forecast'!Print_Area</vt:lpstr>
      <vt:lpstr>Tearsheet!Print_Area</vt:lpstr>
      <vt:lpstr>Upside!Print_Area</vt:lpstr>
      <vt:lpstr>'v BYIT'!Print_Area</vt:lpstr>
      <vt:lpstr>Canalyst!Print_Titles</vt:lpstr>
      <vt:lpstr>'Disclosed financials'!Print_Titles</vt:lpstr>
      <vt:lpstr>'FY18, 19 Commentary'!Print_Titles</vt:lpstr>
      <vt:lpstr>Guidance!Print_Titles</vt:lpstr>
      <vt:lpstr>'Historicals and forecast'!Print_Titles</vt:lpstr>
      <vt:lpstr>tb_ConsensusEstimate</vt:lpstr>
      <vt:lpstr>tb_EntireModel</vt:lpstr>
      <vt:lpstr>tb_KeyOutputs</vt:lpstr>
      <vt:lpstr>tb_KPIs</vt:lpstr>
      <vt:lpstr>tb_StockPrice</vt:lpstr>
      <vt:lpstr>tb_Tickers</vt:lpstr>
      <vt:lpstr>tb_ValuationToggle</vt:lpstr>
      <vt:lpstr>z_TKDSV50174_MO_AN_Adjustedearnings</vt:lpstr>
      <vt:lpstr>z_TKDSV50174_MO_AN_Adjustedoperatingprofit</vt:lpstr>
      <vt:lpstr>z_TKDSV50174_MO_AN_Earnings</vt:lpstr>
      <vt:lpstr>z_TKDSV50174_MO_AN_Exceptionalitems</vt:lpstr>
      <vt:lpstr>z_TKDSV50174_MO_AN_Exceptionalitems_1</vt:lpstr>
      <vt:lpstr>z_TKDSV50174_MO_AN_Operatingprofit</vt:lpstr>
      <vt:lpstr>z_TKDSV50174_MO_AN_Sharebasedpaymentcharge</vt:lpstr>
      <vt:lpstr>z_TKDSV50174_MO_AN_Sharebasedpaymentcharge_1</vt:lpstr>
      <vt:lpstr>z_TKDSV50174_MO_AN_Taxeffectofadjustingitems</vt:lpstr>
      <vt:lpstr>z_TKDSV50174_MO_BlankRow_AN</vt:lpstr>
      <vt:lpstr>z_TKDSV50174_MO_BlankRow_AN_1</vt:lpstr>
      <vt:lpstr>z_TKDSV50174_MO_BlankRow_BS_3</vt:lpstr>
      <vt:lpstr>z_TKDSV50174_MO_BlankRow_BS_4</vt:lpstr>
      <vt:lpstr>z_TKDSV50174_MO_BlankRow_BS_5</vt:lpstr>
      <vt:lpstr>z_TKDSV50174_MO_BlankRow_BS_6</vt:lpstr>
      <vt:lpstr>z_TKDSV50174_MO_BlankRow_BSS</vt:lpstr>
      <vt:lpstr>z_TKDSV50174_MO_BlankRow_BSS_1</vt:lpstr>
      <vt:lpstr>z_TKDSV50174_MO_BlankRow_BSS_2</vt:lpstr>
      <vt:lpstr>z_TKDSV50174_MO_BlankRow_CFS_4</vt:lpstr>
      <vt:lpstr>z_TKDSV50174_MO_BlankRow_CFS_5</vt:lpstr>
      <vt:lpstr>z_TKDSV50174_MO_BlankRow_CFS_6</vt:lpstr>
      <vt:lpstr>z_TKDSV50174_MO_BlankRow_CFS_7</vt:lpstr>
      <vt:lpstr>z_TKDSV50174_MO_BlankRow_CFS_8</vt:lpstr>
      <vt:lpstr>z_TKDSV50174_MO_BlankRow_CFS_9</vt:lpstr>
      <vt:lpstr>z_TKDSV50174_MO_BlankRow_CFSum</vt:lpstr>
      <vt:lpstr>z_TKDSV50174_MO_BlankRow_CFSum_1</vt:lpstr>
      <vt:lpstr>z_TKDSV50174_MO_BlankRow_CFSum_2</vt:lpstr>
      <vt:lpstr>z_TKDSV50174_MO_BlankRow_CFSum_3</vt:lpstr>
      <vt:lpstr>z_TKDSV50174_MO_BlankRow_DAF</vt:lpstr>
      <vt:lpstr>z_TKDSV50174_MO_BlankRow_DAF_1</vt:lpstr>
      <vt:lpstr>z_TKDSV50174_MO_BlankRow_DAF_10</vt:lpstr>
      <vt:lpstr>z_TKDSV50174_MO_BlankRow_DAF_2</vt:lpstr>
      <vt:lpstr>z_TKDSV50174_MO_BlankRow_DAF_3</vt:lpstr>
      <vt:lpstr>z_TKDSV50174_MO_BlankRow_DAF_4</vt:lpstr>
      <vt:lpstr>z_TKDSV50174_MO_BlankRow_DAF_5</vt:lpstr>
      <vt:lpstr>z_TKDSV50174_MO_BlankRow_DAF_6</vt:lpstr>
      <vt:lpstr>z_TKDSV50174_MO_BlankRow_DAF_7</vt:lpstr>
      <vt:lpstr>z_TKDSV50174_MO_BlankRow_DAF_8</vt:lpstr>
      <vt:lpstr>z_TKDSV50174_MO_BlankRow_DAF_9</vt:lpstr>
      <vt:lpstr>z_TKDSV50174_MO_BlankRow_GA</vt:lpstr>
      <vt:lpstr>z_TKDSV50174_MO_BlankRow_GA_1</vt:lpstr>
      <vt:lpstr>z_TKDSV50174_MO_BlankRow_GA_2</vt:lpstr>
      <vt:lpstr>z_TKDSV50174_MO_BlankRow_IS</vt:lpstr>
      <vt:lpstr>z_TKDSV50174_MO_BlankRow_IS_1</vt:lpstr>
      <vt:lpstr>z_TKDSV50174_MO_BlankRow_MA</vt:lpstr>
      <vt:lpstr>z_TKDSV50174_MO_BlankRow_MA_1</vt:lpstr>
      <vt:lpstr>z_TKDSV50174_MO_BlankRow_MA_2</vt:lpstr>
      <vt:lpstr>z_TKDSV50174_MO_BlankRow_MA_3</vt:lpstr>
      <vt:lpstr>z_TKDSV50174_MO_BlankRow_MA_4</vt:lpstr>
      <vt:lpstr>z_TKDSV50174_MO_BlankRow_MA_5</vt:lpstr>
      <vt:lpstr>z_TKDSV50174_MO_BlankRow_MA_6</vt:lpstr>
      <vt:lpstr>z_TKDSV50174_MO_BlankRow_OS</vt:lpstr>
      <vt:lpstr>z_TKDSV50174_MO_BlankRow_OS_1</vt:lpstr>
      <vt:lpstr>z_TKDSV50174_MO_BlankRow_OS_10</vt:lpstr>
      <vt:lpstr>z_TKDSV50174_MO_BlankRow_OS_11</vt:lpstr>
      <vt:lpstr>z_TKDSV50174_MO_BlankRow_OS_12</vt:lpstr>
      <vt:lpstr>z_TKDSV50174_MO_BlankRow_OS_14</vt:lpstr>
      <vt:lpstr>z_TKDSV50174_MO_BlankRow_OS_15</vt:lpstr>
      <vt:lpstr>z_TKDSV50174_MO_BlankRow_OS_16</vt:lpstr>
      <vt:lpstr>z_TKDSV50174_MO_BlankRow_OS_17</vt:lpstr>
      <vt:lpstr>z_TKDSV50174_MO_BlankRow_OS_18</vt:lpstr>
      <vt:lpstr>z_TKDSV50174_MO_BlankRow_OS_19</vt:lpstr>
      <vt:lpstr>z_TKDSV50174_MO_BlankRow_OS_2</vt:lpstr>
      <vt:lpstr>z_TKDSV50174_MO_BlankRow_OS_20</vt:lpstr>
      <vt:lpstr>z_TKDSV50174_MO_BlankRow_OS_21</vt:lpstr>
      <vt:lpstr>z_TKDSV50174_MO_BlankRow_OS_22</vt:lpstr>
      <vt:lpstr>z_TKDSV50174_MO_BlankRow_OS_23</vt:lpstr>
      <vt:lpstr>z_TKDSV50174_MO_BlankRow_OS_24</vt:lpstr>
      <vt:lpstr>z_TKDSV50174_MO_BlankRow_OS_25</vt:lpstr>
      <vt:lpstr>z_TKDSV50174_MO_BlankRow_OS_26</vt:lpstr>
      <vt:lpstr>z_TKDSV50174_MO_BlankRow_OS_27</vt:lpstr>
      <vt:lpstr>z_TKDSV50174_MO_BlankRow_OS_3</vt:lpstr>
      <vt:lpstr>z_TKDSV50174_MO_BlankRow_OS_6</vt:lpstr>
      <vt:lpstr>z_TKDSV50174_MO_BlankRow_OS_8</vt:lpstr>
      <vt:lpstr>z_TKDSV50174_MO_BlankRow_OS_9</vt:lpstr>
      <vt:lpstr>z_TKDSV50174_MO_BlankRow_RIS</vt:lpstr>
      <vt:lpstr>z_TKDSV50174_MO_BlankRow_RIS_1</vt:lpstr>
      <vt:lpstr>z_TKDSV50174_MO_BlankRow_RIS_2</vt:lpstr>
      <vt:lpstr>z_TKDSV50174_MO_BlankRow_RIS_3</vt:lpstr>
      <vt:lpstr>z_TKDSV50174_MO_BlankRow_RIS_4</vt:lpstr>
      <vt:lpstr>z_TKDSV50174_MO_BlankRow_RIS_5</vt:lpstr>
      <vt:lpstr>z_TKDSV50174_MO_BlankRow_RIS_6</vt:lpstr>
      <vt:lpstr>z_TKDSV50174_MO_BlankRow_RIS_7</vt:lpstr>
      <vt:lpstr>z_TKDSV50174_MO_BlankRow_RIS_8</vt:lpstr>
      <vt:lpstr>z_TKDSV50174_MO_BlankRow_SNA</vt:lpstr>
      <vt:lpstr>z_TKDSV50174_MO_BlankRow_SNA_1</vt:lpstr>
      <vt:lpstr>z_TKDSV50174_MO_BlankRow_SNA_10</vt:lpstr>
      <vt:lpstr>z_TKDSV50174_MO_BlankRow_SNA_11</vt:lpstr>
      <vt:lpstr>z_TKDSV50174_MO_BlankRow_SNA_12</vt:lpstr>
      <vt:lpstr>z_TKDSV50174_MO_BlankRow_SNA_13</vt:lpstr>
      <vt:lpstr>z_TKDSV50174_MO_BlankRow_SNA_14</vt:lpstr>
      <vt:lpstr>z_TKDSV50174_MO_BlankRow_SNA_15</vt:lpstr>
      <vt:lpstr>z_TKDSV50174_MO_BlankRow_SNA_16</vt:lpstr>
      <vt:lpstr>z_TKDSV50174_MO_BlankRow_SNA_17</vt:lpstr>
      <vt:lpstr>z_TKDSV50174_MO_BlankRow_SNA_18</vt:lpstr>
      <vt:lpstr>z_TKDSV50174_MO_BlankRow_SNA_2</vt:lpstr>
      <vt:lpstr>z_TKDSV50174_MO_BlankRow_SNA_3</vt:lpstr>
      <vt:lpstr>z_TKDSV50174_MO_BlankRow_SNA_4</vt:lpstr>
      <vt:lpstr>z_TKDSV50174_MO_BlankRow_SNA_5</vt:lpstr>
      <vt:lpstr>z_TKDSV50174_MO_BlankRow_SNA_6</vt:lpstr>
      <vt:lpstr>z_TKDSV50174_MO_BlankRow_SNA_7</vt:lpstr>
      <vt:lpstr>z_TKDSV50174_MO_BlankRow_SNA_8</vt:lpstr>
      <vt:lpstr>z_TKDSV50174_MO_BlankRow_SNA_9</vt:lpstr>
      <vt:lpstr>z_TKDSV50174_MO_BS_Cashandcashequivalents</vt:lpstr>
      <vt:lpstr>z_TKDSV50174_MO_BS_Contractliabilities</vt:lpstr>
      <vt:lpstr>z_TKDSV50174_MO_BS_Contractliabilities_1</vt:lpstr>
      <vt:lpstr>z_TKDSV50174_MO_BS_Deferredtaxasset</vt:lpstr>
      <vt:lpstr>z_TKDSV50174_MO_BS_Incometaxpayable</vt:lpstr>
      <vt:lpstr>z_TKDSV50174_MO_BS_Incometaxreceivable</vt:lpstr>
      <vt:lpstr>z_TKDSV50174_MO_BS_Intangibleassets</vt:lpstr>
      <vt:lpstr>z_TKDSV50174_MO_BS_Inventories</vt:lpstr>
      <vt:lpstr>z_TKDSV50174_MO_BS_Issuedsharecapital</vt:lpstr>
      <vt:lpstr>z_TKDSV50174_MO_BS_Leaseliabilities</vt:lpstr>
      <vt:lpstr>z_TKDSV50174_MO_BS_Leaseliabilities_1</vt:lpstr>
      <vt:lpstr>z_TKDSV50174_MO_BS_Longtermdebt</vt:lpstr>
      <vt:lpstr>z_TKDSV50174_MO_BS_NCI</vt:lpstr>
      <vt:lpstr>z_TKDSV50174_MO_BS_Otherliabilities</vt:lpstr>
      <vt:lpstr>z_TKDSV50174_MO_BS_Property</vt:lpstr>
      <vt:lpstr>z_TKDSV50174_MO_BS_Provisions</vt:lpstr>
      <vt:lpstr>z_TKDSV50174_MO_BS_Reservesforownshares</vt:lpstr>
      <vt:lpstr>z_TKDSV50174_MO_BS_Retainedearnings</vt:lpstr>
      <vt:lpstr>z_TKDSV50174_MO_BS_Rightofuseassets</vt:lpstr>
      <vt:lpstr>z_TKDSV50174_MO_BS_Sharepremiumaccount</vt:lpstr>
      <vt:lpstr>z_TKDSV50174_MO_BS_Shorttermdebt</vt:lpstr>
      <vt:lpstr>z_TKDSV50174_MO_BS_TotalAssets</vt:lpstr>
      <vt:lpstr>z_TKDSV50174_MO_BS_TotalCurrentAssets</vt:lpstr>
      <vt:lpstr>z_TKDSV50174_MO_BS_TotalCurrentLiabilities</vt:lpstr>
      <vt:lpstr>z_TKDSV50174_MO_BS_TotalLiabilities</vt:lpstr>
      <vt:lpstr>z_TKDSV50174_MO_BS_TotalLiabilitiesSE</vt:lpstr>
      <vt:lpstr>z_TKDSV50174_MO_BS_TotalNonCurrentAssets</vt:lpstr>
      <vt:lpstr>z_TKDSV50174_MO_BS_TotalNonCurrentliabilities</vt:lpstr>
      <vt:lpstr>z_TKDSV50174_MO_BS_TotalSE</vt:lpstr>
      <vt:lpstr>z_TKDSV50174_MO_BS_Tradeandotherpayables</vt:lpstr>
      <vt:lpstr>z_TKDSV50174_MO_BS_Tradeandotherreceivables</vt:lpstr>
      <vt:lpstr>z_TKDSV50174_MO_BSS_Cash</vt:lpstr>
      <vt:lpstr>z_TKDSV50174_MO_BSS_Debt</vt:lpstr>
      <vt:lpstr>z_TKDSV50174_MO_BSS_EBITDANetInterestExpense</vt:lpstr>
      <vt:lpstr>z_TKDSV50174_MO_BSS_EffectiveInterestRateonCash</vt:lpstr>
      <vt:lpstr>z_TKDSV50174_MO_BSS_EffectiveInterestRateonDebt</vt:lpstr>
      <vt:lpstr>z_TKDSV50174_MO_BSS_EffectiveNetInterestRateonDebt</vt:lpstr>
      <vt:lpstr>z_TKDSV50174_MO_BSS_InterestExpense</vt:lpstr>
      <vt:lpstr>z_TKDSV50174_MO_BSS_InterestIncome</vt:lpstr>
      <vt:lpstr>z_TKDSV50174_MO_BSS_LTDebt</vt:lpstr>
      <vt:lpstr>z_TKDSV50174_MO_BSS_NetDebt</vt:lpstr>
      <vt:lpstr>z_TKDSV50174_MO_BSS_NetDebtCashFlow</vt:lpstr>
      <vt:lpstr>z_TKDSV50174_MO_BSS_NetDebtEBITDA</vt:lpstr>
      <vt:lpstr>z_TKDSV50174_MO_BSS_NetInterestExpenseIncome</vt:lpstr>
      <vt:lpstr>z_TKDSV50174_MO_BSS_OperatingLeaseLiabilities</vt:lpstr>
      <vt:lpstr>z_TKDSV50174_MO_BSS_STDebt</vt:lpstr>
      <vt:lpstr>z_TKDSV50174_MO_CFS_Acquisition</vt:lpstr>
      <vt:lpstr>z_TKDSV50174_MO_CFS_Amortisationofintangibles</vt:lpstr>
      <vt:lpstr>z_TKDSV50174_MO_CFS_BeginningCashBalance</vt:lpstr>
      <vt:lpstr>z_TKDSV50174_MO_CFS_CFObeforeWC</vt:lpstr>
      <vt:lpstr>z_TKDSV50174_MO_CFS_Costofequitysettledemployeeshareschemes</vt:lpstr>
      <vt:lpstr>z_TKDSV50174_MO_CFS_Decreaseincreaseintradeandotherreceivables</vt:lpstr>
      <vt:lpstr>z_TKDSV50174_MO_CFS_Decreaseinprovisions</vt:lpstr>
      <vt:lpstr>z_TKDSV50174_MO_CFS_Deferredpurchaseshareproceeds</vt:lpstr>
      <vt:lpstr>z_TKDSV50174_MO_CFS_Depreciationofproperty</vt:lpstr>
      <vt:lpstr>z_TKDSV50174_MO_CFS_Depreciationofrightofuseassets</vt:lpstr>
      <vt:lpstr>z_TKDSV50174_MO_CFS_Dividendequivalentspaid</vt:lpstr>
      <vt:lpstr>z_TKDSV50174_MO_CFS_Dividendspaid</vt:lpstr>
      <vt:lpstr>z_TKDSV50174_MO_CFS_EndingCashBalance</vt:lpstr>
      <vt:lpstr>z_TKDSV50174_MO_CFS_Financeincome</vt:lpstr>
      <vt:lpstr>z_TKDSV50174_MO_CFS_FX</vt:lpstr>
      <vt:lpstr>z_TKDSV50174_MO_CFS_Incometaxespaid</vt:lpstr>
      <vt:lpstr>z_TKDSV50174_MO_CFS_Increasedecreaseintradeandotherpayables</vt:lpstr>
      <vt:lpstr>z_TKDSV50174_MO_CFS_Increaseininventories</vt:lpstr>
      <vt:lpstr>z_TKDSV50174_MO_CFS_Interestexpensepaid</vt:lpstr>
      <vt:lpstr>z_TKDSV50174_MO_CFS_Issueofsharecapital</vt:lpstr>
      <vt:lpstr>z_TKDSV50174_MO_CFS_Lossgainondisposaloffixedassets</vt:lpstr>
      <vt:lpstr>z_TKDSV50174_MO_CFS_Lossgainondisposalofintangibleassets</vt:lpstr>
      <vt:lpstr>z_TKDSV50174_MO_CFS_NetCFF</vt:lpstr>
      <vt:lpstr>z_TKDSV50174_MO_CFS_NetCFI</vt:lpstr>
      <vt:lpstr>z_TKDSV50174_MO_CFS_NetCFO</vt:lpstr>
      <vt:lpstr>z_TKDSV50174_MO_CFS_NetChangeinCashBalance</vt:lpstr>
      <vt:lpstr>z_TKDSV50174_MO_CFS_Operatingprofit</vt:lpstr>
      <vt:lpstr>z_TKDSV50174_MO_CFS_Ownsharetransaction</vt:lpstr>
      <vt:lpstr>z_TKDSV50174_MO_CFS_Paymentofinterestportionofleaseliabilities</vt:lpstr>
      <vt:lpstr>z_TKDSV50174_MO_CFS_Paymentofprincipalportionofleaseliabilities</vt:lpstr>
      <vt:lpstr>z_TKDSV50174_MO_CFS_Proceedfromdebtissuance</vt:lpstr>
      <vt:lpstr>z_TKDSV50174_MO_CFS_Proceedsfromassetdisposals</vt:lpstr>
      <vt:lpstr>z_TKDSV50174_MO_CFS_Purchaseofintangibleassets</vt:lpstr>
      <vt:lpstr>z_TKDSV50174_MO_CFS_Purchaseofownshares</vt:lpstr>
      <vt:lpstr>z_TKDSV50174_MO_CFS_Purchaseofproperty</vt:lpstr>
      <vt:lpstr>z_TKDSV50174_MO_CFSum_Acquisitions</vt:lpstr>
      <vt:lpstr>z_TKDSV50174_MO_CFSum_Capex</vt:lpstr>
      <vt:lpstr>z_TKDSV50174_MO_CFSum_CashFlowPerDilutedShare</vt:lpstr>
      <vt:lpstr>z_TKDSV50174_MO_CFSum_CashFlowPerDilutedSharebeforeWC</vt:lpstr>
      <vt:lpstr>z_TKDSV50174_MO_CFSum_ChangeinWorkingCapital</vt:lpstr>
      <vt:lpstr>z_TKDSV50174_MO_CFSum_ConsensusEstimatesCapex</vt:lpstr>
      <vt:lpstr>z_TKDSV50174_MO_CFSum_ConsensusEstimatesCashFlowPerDilutedShare</vt:lpstr>
      <vt:lpstr>z_TKDSV50174_MO_CFSum_Divestiture</vt:lpstr>
      <vt:lpstr>z_TKDSV50174_MO_CFSum_DividendPaid</vt:lpstr>
      <vt:lpstr>z_TKDSV50174_MO_CFSum_DividendPerShare</vt:lpstr>
      <vt:lpstr>z_TKDSV50174_MO_CFSum_EstimatedSharePriceforIssuanceBuybacks</vt:lpstr>
      <vt:lpstr>z_TKDSV50174_MO_CFSum_FCF</vt:lpstr>
      <vt:lpstr>z_TKDSV50174_MO_CFSum_FCF_1</vt:lpstr>
      <vt:lpstr>z_TKDSV50174_MO_CFSum_FCF_2</vt:lpstr>
      <vt:lpstr>z_TKDSV50174_MO_CFSum_FCF_4</vt:lpstr>
      <vt:lpstr>z_TKDSV50174_MO_CFSum_FCF_5</vt:lpstr>
      <vt:lpstr>z_TKDSV50174_MO_CFSum_FCF_6</vt:lpstr>
      <vt:lpstr>z_TKDSV50174_MO_CFSum_FCFPostDivDebtBuyback</vt:lpstr>
      <vt:lpstr>z_TKDSV50174_MO_CFSum_FCFPostDivDebtBuyback_1</vt:lpstr>
      <vt:lpstr>z_TKDSV50174_MO_CFSum_NetDebtIssuanceRepayment</vt:lpstr>
      <vt:lpstr>z_TKDSV50174_MO_CFSum_NetShareIssuanceBuybacks</vt:lpstr>
      <vt:lpstr>z_TKDSV50174_MO_CFSum_OperatingCashFlowafterWC</vt:lpstr>
      <vt:lpstr>z_TKDSV50174_MO_CFSum_OperatingCashFlowbeforeWC</vt:lpstr>
      <vt:lpstr>z_TKDSV50174_MO_CFSum_SBCexpense</vt:lpstr>
      <vt:lpstr>z_TKDSV50174_MO_CFSum_SBCexpenseasofrevenue</vt:lpstr>
      <vt:lpstr>z_TKDSV50174_MO_Checks_CFS_CFCheck</vt:lpstr>
      <vt:lpstr>z_TKDSV50174_MO_Checks_IS_ISCheck</vt:lpstr>
      <vt:lpstr>z_TKDSV50174_MO_Checks_SNA_AdjustedNumbersFYSumofQs</vt:lpstr>
      <vt:lpstr>z_TKDSV50174_MO_Checks_SNA_BalanceSheetisnotRepeated</vt:lpstr>
      <vt:lpstr>z_TKDSV50174_MO_Checks_SNA_BSCheck</vt:lpstr>
      <vt:lpstr>z_TKDSV50174_MO_Checks_SNA_CapexisUpdated</vt:lpstr>
      <vt:lpstr>z_TKDSV50174_MO_Checks_SNA_CashFlowisnotRepeated</vt:lpstr>
      <vt:lpstr>z_TKDSV50174_MO_Checks_SNA_CashFlowSummarySignsareCorrect</vt:lpstr>
      <vt:lpstr>z_TKDSV50174_MO_Checks_SNA_CFFsubtotalFYSumofQs</vt:lpstr>
      <vt:lpstr>z_TKDSV50174_MO_Checks_SNA_CFIsubtotalFYSumofQs</vt:lpstr>
      <vt:lpstr>z_TKDSV50174_MO_Checks_SNA_CFOBeforeWCsubtotalFYSumofQs</vt:lpstr>
      <vt:lpstr>z_TKDSV50174_MO_Checks_SNA_CFOsubtotalFYSumofQs</vt:lpstr>
      <vt:lpstr>z_TKDSV50174_MO_Checks_SNA_CFSummaryFYSumofQs</vt:lpstr>
      <vt:lpstr>z_TKDSV50174_MO_Checks_SNA_IncomeStatementisnotRepeated</vt:lpstr>
      <vt:lpstr>z_TKDSV50174_MO_Checks_SNA_MarginisUpdated</vt:lpstr>
      <vt:lpstr>z_TKDSV50174_MO_Checks_SNA_NetIncomeonReportedISNIonRevised</vt:lpstr>
      <vt:lpstr>z_TKDSV50174_MO_Checks_SNA_OperatingprofitonRevisedISOPonCFstatement</vt:lpstr>
      <vt:lpstr>z_TKDSV50174_MO_Checks_SNA_RISAdjustedNIFYSumofQs</vt:lpstr>
      <vt:lpstr>z_TKDSV50174_MO_Checks_SNA_RISNIFYSumofQs</vt:lpstr>
      <vt:lpstr>z_TKDSV50174_MO_Checks_SNA_SegmentedRevenueRevenue</vt:lpstr>
      <vt:lpstr>z_TKDSV50174_MO_DAF_Additionstoleaseliabilities</vt:lpstr>
      <vt:lpstr>z_TKDSV50174_MO_DAF_AdditionstoROUassets</vt:lpstr>
      <vt:lpstr>z_TKDSV50174_MO_DAF_AmortizationaspercentageofIntangiblesBoP</vt:lpstr>
      <vt:lpstr>z_TKDSV50174_MO_DAF_Amortizationofintangibles</vt:lpstr>
      <vt:lpstr>z_TKDSV50174_MO_DAF_Capexofintangibles</vt:lpstr>
      <vt:lpstr>z_TKDSV50174_MO_DAF_CapexofPPE</vt:lpstr>
      <vt:lpstr>z_TKDSV50174_MO_DAF_CapexofPPEandIntangibles</vt:lpstr>
      <vt:lpstr>z_TKDSV50174_MO_DAF_Capitalrepaymentsofleaseliabilities</vt:lpstr>
      <vt:lpstr>z_TKDSV50174_MO_DAF_CashPaidonLeases</vt:lpstr>
      <vt:lpstr>z_TKDSV50174_MO_DAF_Cashpaymentincreasereductionassociatedwithnetleaseadditions</vt:lpstr>
      <vt:lpstr>z_TKDSV50174_MO_DAF_Cashpaymentreductionassociatedwithprincipalrepayment</vt:lpstr>
      <vt:lpstr>z_TKDSV50174_MO_DAF_Currentleaseliabilitiesasoftotal</vt:lpstr>
      <vt:lpstr>z_TKDSV50174_MO_DAF_DAofPPEandIntangibles</vt:lpstr>
      <vt:lpstr>z_TKDSV50174_MO_DAF_DepreciationasofBoPROUassets</vt:lpstr>
      <vt:lpstr>z_TKDSV50174_MO_DAF_DepreciationaspercentageofPPEBoP</vt:lpstr>
      <vt:lpstr>z_TKDSV50174_MO_DAF_Depreciationoffixedassets</vt:lpstr>
      <vt:lpstr>z_TKDSV50174_MO_DAF_DepreciationofROUassets</vt:lpstr>
      <vt:lpstr>z_TKDSV50174_MO_DAF_Estimatedobligationsaddedreduced</vt:lpstr>
      <vt:lpstr>z_TKDSV50174_MO_DAF_HHmonthlycashpaymentchange</vt:lpstr>
      <vt:lpstr>z_TKDSV50174_MO_DAF_ImpliedinterestrateforROUliabilities</vt:lpstr>
      <vt:lpstr>z_TKDSV50174_MO_DAF_Impliedlifeoffixedassets</vt:lpstr>
      <vt:lpstr>z_TKDSV50174_MO_DAF_Impliedlifeofintangibles</vt:lpstr>
      <vt:lpstr>z_TKDSV50174_MO_DAF_IntangiblesBoP</vt:lpstr>
      <vt:lpstr>z_TKDSV50174_MO_DAF_IntangiblesEoP</vt:lpstr>
      <vt:lpstr>z_TKDSV50174_MO_DAF_LeaseLiabilitiesBoP</vt:lpstr>
      <vt:lpstr>z_TKDSV50174_MO_DAF_LeaseLiabilitiesEoP</vt:lpstr>
      <vt:lpstr>z_TKDSV50174_MO_DAF_Leaseliabilityinterestpaid</vt:lpstr>
      <vt:lpstr>z_TKDSV50174_MO_DAF_Leaseliabilityrepaymentofcapital</vt:lpstr>
      <vt:lpstr>z_TKDSV50174_MO_DAF_MonthlyCashPaymentsonLeases</vt:lpstr>
      <vt:lpstr>z_TKDSV50174_MO_DAF_Netinterestaccretion</vt:lpstr>
      <vt:lpstr>z_TKDSV50174_MO_DAF_Otherchangestoleaseliabilities</vt:lpstr>
      <vt:lpstr>z_TKDSV50174_MO_DAF_OtherchangestoROUassets</vt:lpstr>
      <vt:lpstr>z_TKDSV50174_MO_DAF_Othernetadditionstointangibles</vt:lpstr>
      <vt:lpstr>z_TKDSV50174_MO_DAF_OthernetadditionstoPPE</vt:lpstr>
      <vt:lpstr>z_TKDSV50174_MO_DAF_Percentageofcapexallocatedtointangibleassets</vt:lpstr>
      <vt:lpstr>z_TKDSV50174_MO_DAF_PPEBoP</vt:lpstr>
      <vt:lpstr>z_TKDSV50174_MO_DAF_PPEEoP</vt:lpstr>
      <vt:lpstr>z_TKDSV50174_MO_DAF_PVofestimatedobligationsaddedreduced</vt:lpstr>
      <vt:lpstr>z_TKDSV50174_MO_DAF_ROUAssetLife</vt:lpstr>
      <vt:lpstr>z_TKDSV50174_MO_DAF_ROUAssetsBoP</vt:lpstr>
      <vt:lpstr>z_TKDSV50174_MO_DAF_ROUAssetsEoP</vt:lpstr>
      <vt:lpstr>z_TKDSV50174_MO_DAF_YYmonthlycashpaymentchange</vt:lpstr>
      <vt:lpstr>z_TKDSV50174_MO_GA_GrossProfitGrowth</vt:lpstr>
      <vt:lpstr>z_TKDSV50174_MO_GA_Hardwaregrossinvoicedincomegrowth</vt:lpstr>
      <vt:lpstr>z_TKDSV50174_MO_GA_Hardwarerevenuegrowth</vt:lpstr>
      <vt:lpstr>z_TKDSV50174_MO_GA_OperatingProfitGrowth</vt:lpstr>
      <vt:lpstr>z_TKDSV50174_MO_GA_Servicesgrossinvoicedincomegrowth</vt:lpstr>
      <vt:lpstr>z_TKDSV50174_MO_GA_Servicesrevenuegrowth</vt:lpstr>
      <vt:lpstr>z_TKDSV50174_MO_GA_Softwaregrossinvoicedincomegrowth</vt:lpstr>
      <vt:lpstr>z_TKDSV50174_MO_GA_Softwarerevenuegrowth</vt:lpstr>
      <vt:lpstr>z_TKDSV50174_MO_GA_TotalGrossInvoicedIncomeGrowth</vt:lpstr>
      <vt:lpstr>z_TKDSV50174_MO_GA_TotalRevenueGrowth</vt:lpstr>
      <vt:lpstr>z_TKDSV50174_MO_Header_HeaderRow</vt:lpstr>
      <vt:lpstr>z_TKDSV50174_MO_Header_HeaderRow_1</vt:lpstr>
      <vt:lpstr>z_TKDSV50174_MO_Header_HeaderRow_2</vt:lpstr>
      <vt:lpstr>z_TKDSV50174_MO_Header_HeaderRow_3</vt:lpstr>
      <vt:lpstr>z_TKDSV50174_MO_Header_HeaderRow_4</vt:lpstr>
      <vt:lpstr>z_TKDSV50174_MO_IS_Adjustmentinrespectofcurrentincometaxinpreviousyears</vt:lpstr>
      <vt:lpstr>z_TKDSV50174_MO_IS_Adjustmentinrespectofdeferredtaxofpreviousperiods</vt:lpstr>
      <vt:lpstr>z_TKDSV50174_MO_IS_administrativeexpenses</vt:lpstr>
      <vt:lpstr>z_TKDSV50174_MO_IS_Bankinterestincome</vt:lpstr>
      <vt:lpstr>z_TKDSV50174_MO_IS_Costofsales</vt:lpstr>
      <vt:lpstr>z_TKDSV50174_MO_IS_Currenttaxfortheperiod</vt:lpstr>
      <vt:lpstr>z_TKDSV50174_MO_IS_Deferredtaxfortheperiod</vt:lpstr>
      <vt:lpstr>z_TKDSV50174_MO_IS_Effectofchangesintaxrateondeferredtax</vt:lpstr>
      <vt:lpstr>z_TKDSV50174_MO_IS_Financecost</vt:lpstr>
      <vt:lpstr>z_TKDSV50174_MO_IS_Financeincome</vt:lpstr>
      <vt:lpstr>z_TKDSV50174_MO_IS_Foreigntaxreliefotherrelief</vt:lpstr>
      <vt:lpstr>z_TKDSV50174_MO_IS_Foreigntaxsuffered</vt:lpstr>
      <vt:lpstr>z_TKDSV50174_MO_IS_Grossprofit</vt:lpstr>
      <vt:lpstr>z_TKDSV50174_MO_IS_Incometaxexpense</vt:lpstr>
      <vt:lpstr>z_TKDSV50174_MO_IS_Leaseliabilityinterestcost</vt:lpstr>
      <vt:lpstr>z_TKDSV50174_MO_IS_Operatingprofit</vt:lpstr>
      <vt:lpstr>z_TKDSV50174_MO_IS_Profitandtotalcomprehensiveincomefortheperiod</vt:lpstr>
      <vt:lpstr>z_TKDSV50174_MO_IS_Profitbeforetaxation</vt:lpstr>
      <vt:lpstr>z_TKDSV50174_MO_IS_Revenue</vt:lpstr>
      <vt:lpstr>z_TKDSV50174_MO_IS_Totalcurrenttax</vt:lpstr>
      <vt:lpstr>z_TKDSV50174_MO_IS_Totaldeferredtax</vt:lpstr>
      <vt:lpstr>z_TKDSV50174_MO_MA_AddbackDAMargin</vt:lpstr>
      <vt:lpstr>z_TKDSV50174_MO_MA_AddbackSBCMargin</vt:lpstr>
      <vt:lpstr>z_TKDSV50174_MO_MA_AdjustedEBITDAMargin</vt:lpstr>
      <vt:lpstr>z_TKDSV50174_MO_MA_AdjustedEBITMargin</vt:lpstr>
      <vt:lpstr>z_TKDSV50174_MO_MA_AverageFXRate</vt:lpstr>
      <vt:lpstr>z_TKDSV50174_MO_MA_COGSMargin</vt:lpstr>
      <vt:lpstr>z_TKDSV50174_MO_MA_ConsensusEstimatesAdjustedEBITDAMargin</vt:lpstr>
      <vt:lpstr>z_TKDSV50174_MO_MA_ConsensusEstimatesAdjustedEBITMargin</vt:lpstr>
      <vt:lpstr>z_TKDSV50174_MO_MA_ConsensusEstimatesGrossMargin</vt:lpstr>
      <vt:lpstr>z_TKDSV50174_MO_MA_EBITDAMargin</vt:lpstr>
      <vt:lpstr>z_TKDSV50174_MO_MA_EBITMargin</vt:lpstr>
      <vt:lpstr>z_TKDSV50174_MO_MA_EnterpriseValueAvg</vt:lpstr>
      <vt:lpstr>z_TKDSV50174_MO_MA_EnterpriseValueComponents</vt:lpstr>
      <vt:lpstr>z_TKDSV50174_MO_MA_EoPFXRate</vt:lpstr>
      <vt:lpstr>z_TKDSV50174_MO_MA_EVEBITDAAvg</vt:lpstr>
      <vt:lpstr>z_TKDSV50174_MO_MA_FCFYieldtoAvgEnterpriseValue</vt:lpstr>
      <vt:lpstr>z_TKDSV50174_MO_MA_FCFYieldtoAvgMarketCap</vt:lpstr>
      <vt:lpstr>z_TKDSV50174_MO_MA_GAMargin</vt:lpstr>
      <vt:lpstr>z_TKDSV50174_MO_MA_GrossMargin</vt:lpstr>
      <vt:lpstr>z_TKDSV50174_MO_MA_MarketCapAvg</vt:lpstr>
      <vt:lpstr>z_TKDSV50174_MO_MA_NoncontrollingInterest</vt:lpstr>
      <vt:lpstr>z_TKDSV50174_MO_MA_OtherEVComponents</vt:lpstr>
      <vt:lpstr>z_TKDSV50174_MO_MA_PCFAvg</vt:lpstr>
      <vt:lpstr>z_TKDSV50174_MO_MA_PEAvg</vt:lpstr>
      <vt:lpstr>z_TKDSV50174_MO_MA_PreferredShares</vt:lpstr>
      <vt:lpstr>z_TKDSV50174_MO_MA_StockAverage</vt:lpstr>
      <vt:lpstr>z_TKDSV50174_MO_MA_StockEoP</vt:lpstr>
      <vt:lpstr>z_TKDSV50174_MO_MA_StockHigh</vt:lpstr>
      <vt:lpstr>z_TKDSV50174_MO_MA_StockLow</vt:lpstr>
      <vt:lpstr>z_TKDSV50174_MO_MA_StockPriceReportingCurAvg</vt:lpstr>
      <vt:lpstr>z_TKDSV50174_MO_MA_StockPriceTradingCurAvg</vt:lpstr>
      <vt:lpstr>z_TKDSV50174_MO_OS_Amortisationofintangibleassets</vt:lpstr>
      <vt:lpstr>z_TKDSV50174_MO_OS_Amortisationofintangibles</vt:lpstr>
      <vt:lpstr>z_TKDSV50174_MO_OS_Averagemonthlynumberofemployees</vt:lpstr>
      <vt:lpstr>z_TKDSV50174_MO_OS_Cashconversionrate</vt:lpstr>
      <vt:lpstr>z_TKDSV50174_MO_OS_Cashflowfromoperationsbeforetaxbutaftercapitalexpenditure</vt:lpstr>
      <vt:lpstr>z_TKDSV50174_MO_OS_Customerbaserolling12monthbasis</vt:lpstr>
      <vt:lpstr>z_TKDSV50174_MO_OS_Depreciationofpropertyplantandequipment</vt:lpstr>
      <vt:lpstr>z_TKDSV50174_MO_OS_Depreciationofrightofuseassets</vt:lpstr>
      <vt:lpstr>z_TKDSV50174_MO_OS_Depreciationofrightofuseassets_1</vt:lpstr>
      <vt:lpstr>z_TKDSV50174_MO_OS_Depreciationoftangibleassets</vt:lpstr>
      <vt:lpstr>z_TKDSV50174_MO_OS_Employeeheadcountendofperiod</vt:lpstr>
      <vt:lpstr>z_TKDSV50174_MO_OS_EmployeesinAdministrative</vt:lpstr>
      <vt:lpstr>z_TKDSV50174_MO_OS_EmployeesinSales</vt:lpstr>
      <vt:lpstr>z_TKDSV50174_MO_OS_EmployeesinServices</vt:lpstr>
      <vt:lpstr>z_TKDSV50174_MO_OS_EnterpriserevenuerecognisedasaofenterpriseGII</vt:lpstr>
      <vt:lpstr>z_TKDSV50174_MO_OS_Exceptionalitems</vt:lpstr>
      <vt:lpstr>z_TKDSV50174_MO_OS_FinanceCosts</vt:lpstr>
      <vt:lpstr>z_TKDSV50174_MO_OS_FinanceIncome</vt:lpstr>
      <vt:lpstr>z_TKDSV50174_MO_OS_Foreignexchangeloss</vt:lpstr>
      <vt:lpstr>z_TKDSV50174_MO_OS_Grossinvoicedincome</vt:lpstr>
      <vt:lpstr>z_TKDSV50174_MO_OS_GrossinvoicedincomeonEnterprise</vt:lpstr>
      <vt:lpstr>z_TKDSV50174_MO_OS_GrossinvoicedincomeonEnterprise_1</vt:lpstr>
      <vt:lpstr>z_TKDSV50174_MO_OS_Grossinvoicedincomeonpublicsector</vt:lpstr>
      <vt:lpstr>z_TKDSV50174_MO_OS_Grossinvoicedincomeonpublicsector_1</vt:lpstr>
      <vt:lpstr>z_TKDSV50174_MO_OS_Grossinvoicedincomeonsmallandmediumbusiness</vt:lpstr>
      <vt:lpstr>z_TKDSV50174_MO_OS_Grossinvoicedincomeonsmallandmediumbusiness_1</vt:lpstr>
      <vt:lpstr>z_TKDSV50174_MO_OS_Grossprofitpercustomerrolling12monthbasis</vt:lpstr>
      <vt:lpstr>z_TKDSV50174_MO_OS_Hardwaregrossinvoicedincome</vt:lpstr>
      <vt:lpstr>z_TKDSV50174_MO_OS_Hardwaregrossinvoicedincomemix</vt:lpstr>
      <vt:lpstr>z_TKDSV50174_MO_OS_Hardwaregrossinvoicedincomerecognisedasrevenue</vt:lpstr>
      <vt:lpstr>z_TKDSV50174_MO_OS_Hardwarerevenue</vt:lpstr>
      <vt:lpstr>z_TKDSV50174_MO_OS_Hardwarerevenuemix</vt:lpstr>
      <vt:lpstr>z_TKDSV50174_MO_OS_IncomerecognisedasagentunderIFRS15</vt:lpstr>
      <vt:lpstr>z_TKDSV50174_MO_OS_InterestExpenseIncludingLeases</vt:lpstr>
      <vt:lpstr>z_TKDSV50174_MO_OS_InterestExpenseIncludingLeases_1</vt:lpstr>
      <vt:lpstr>z_TKDSV50174_MO_OS_InterestIncome</vt:lpstr>
      <vt:lpstr>z_TKDSV50174_MO_OS_InterestIncome_1</vt:lpstr>
      <vt:lpstr>z_TKDSV50174_MO_OS_InterestonBorrowings</vt:lpstr>
      <vt:lpstr>z_TKDSV50174_MO_OS_InterestonBorrowings_1</vt:lpstr>
      <vt:lpstr>z_TKDSV50174_MO_OS_InterestonLeaseLiabilities</vt:lpstr>
      <vt:lpstr>z_TKDSV50174_MO_OS_InterestonLeaseLiabilities_1</vt:lpstr>
      <vt:lpstr>z_TKDSV50174_MO_OS_Inventories_1</vt:lpstr>
      <vt:lpstr>z_TKDSV50174_MO_OS_Inventoriesexpensedintheyear</vt:lpstr>
      <vt:lpstr>z_TKDSV50174_MO_OS_InventoriesYYChange</vt:lpstr>
      <vt:lpstr>z_TKDSV50174_MO_OS_Lowvalueassetandshorttermleaseexpense</vt:lpstr>
      <vt:lpstr>z_TKDSV50174_MO_OS_Movementintradereceivablesprovisionaspotentiallyuncollectablerecoveredorwrittenoffduringtheyear</vt:lpstr>
      <vt:lpstr>z_TKDSV50174_MO_OS_NetFinanceCosts</vt:lpstr>
      <vt:lpstr>z_TKDSV50174_MO_OS_NetInterestExpenseIncludingLeases</vt:lpstr>
      <vt:lpstr>z_TKDSV50174_MO_OS_NetOtherFinanceExpense</vt:lpstr>
      <vt:lpstr>z_TKDSV50174_MO_OS_Operatingleaserentals</vt:lpstr>
      <vt:lpstr>z_TKDSV50174_MO_OS_Operatingprofit</vt:lpstr>
      <vt:lpstr>z_TKDSV50174_MO_OS_OrdinarysharesoutstandingEoP</vt:lpstr>
      <vt:lpstr>z_TKDSV50174_MO_OS_OtherFinanceCosts</vt:lpstr>
      <vt:lpstr>z_TKDSV50174_MO_OS_OtherFinanceIncome</vt:lpstr>
      <vt:lpstr>z_TKDSV50174_MO_OS_Otherpensioncosts</vt:lpstr>
      <vt:lpstr>z_TKDSV50174_MO_OS_PublicsectorrevenuerecognisedasaofpublicsectorGII</vt:lpstr>
      <vt:lpstr>z_TKDSV50174_MO_OS_RevenuemixonEnterprise</vt:lpstr>
      <vt:lpstr>z_TKDSV50174_MO_OS_Revenuemixonpublicsector</vt:lpstr>
      <vt:lpstr>z_TKDSV50174_MO_OS_Revenuemixonsmallandmediumbusiness</vt:lpstr>
      <vt:lpstr>z_TKDSV50174_MO_OS_RevenueonEnterprise</vt:lpstr>
      <vt:lpstr>z_TKDSV50174_MO_OS_Revenueonpublicsector</vt:lpstr>
      <vt:lpstr>z_TKDSV50174_MO_OS_Revenueonsmallandmediumbusiness</vt:lpstr>
      <vt:lpstr>z_TKDSV50174_MO_OS_Servicesgrossinvoicedincome</vt:lpstr>
      <vt:lpstr>z_TKDSV50174_MO_OS_Servicesgrossinvoicedincomemix</vt:lpstr>
      <vt:lpstr>z_TKDSV50174_MO_OS_Servicesgrossinvoicedincomerecognisedasrevenue</vt:lpstr>
      <vt:lpstr>z_TKDSV50174_MO_OS_Servicesrevenue</vt:lpstr>
      <vt:lpstr>z_TKDSV50174_MO_OS_Servicesrevenuemix</vt:lpstr>
      <vt:lpstr>z_TKDSV50174_MO_OS_Shareoptioncharge</vt:lpstr>
      <vt:lpstr>z_TKDSV50174_MO_OS_SMBrevenuerecognisedasaofSMBGII</vt:lpstr>
      <vt:lpstr>z_TKDSV50174_MO_OS_Socialsecuritycosts</vt:lpstr>
      <vt:lpstr>z_TKDSV50174_MO_OS_Softwaregrossinvoicedincome</vt:lpstr>
      <vt:lpstr>z_TKDSV50174_MO_OS_Softwaregrossinvoicedincomemix</vt:lpstr>
      <vt:lpstr>z_TKDSV50174_MO_OS_Softwaregrossinvoicedincomerecognisedasrevenue</vt:lpstr>
      <vt:lpstr>z_TKDSV50174_MO_OS_Softwarerevenue</vt:lpstr>
      <vt:lpstr>z_TKDSV50174_MO_OS_Softwarerevenuemix</vt:lpstr>
      <vt:lpstr>z_TKDSV50174_MO_OS_TotalDA</vt:lpstr>
      <vt:lpstr>z_TKDSV50174_MO_OS_Totaldepreciation</vt:lpstr>
      <vt:lpstr>z_TKDSV50174_MO_OS_Totalemploymentcosts</vt:lpstr>
      <vt:lpstr>z_TKDSV50174_MO_OS_Totalgrossincomebytypeofbusiness</vt:lpstr>
      <vt:lpstr>z_TKDSV50174_MO_OS_Totalgrossincomebytypeofbusiness_1</vt:lpstr>
      <vt:lpstr>z_TKDSV50174_MO_OS_Totalgrossinvoicedincomebytype</vt:lpstr>
      <vt:lpstr>z_TKDSV50174_MO_OS_Totalgrossinvoicedincomebytype_1</vt:lpstr>
      <vt:lpstr>z_TKDSV50174_MO_OS_Totalrevenue_4</vt:lpstr>
      <vt:lpstr>z_TKDSV50174_MO_OS_Totalrevenuebytype</vt:lpstr>
      <vt:lpstr>z_TKDSV50174_MO_OS_Totalrevenuebytypeofbusiness</vt:lpstr>
      <vt:lpstr>z_TKDSV50174_MO_OS_TotalrevenuebytypeofbusinessrecognisedasaoftotalGII</vt:lpstr>
      <vt:lpstr>z_TKDSV50174_MO_OS_TotalrevenuebytyperecognisedasaoftotalGII</vt:lpstr>
      <vt:lpstr>z_TKDSV50174_MO_OS_Totalrevenuemixbytype</vt:lpstr>
      <vt:lpstr>z_TKDSV50174_MO_OS_Totalrevenuemixbytypeofbusiness</vt:lpstr>
      <vt:lpstr>z_TKDSV50174_MO_OS_Tradeandotherpayables</vt:lpstr>
      <vt:lpstr>z_TKDSV50174_MO_OS_TradeandotherpayablesYYChange</vt:lpstr>
      <vt:lpstr>z_TKDSV50174_MO_OS_Tradeandotherreceivables</vt:lpstr>
      <vt:lpstr>z_TKDSV50174_MO_OS_TradeandotherreceivablesYYChange</vt:lpstr>
      <vt:lpstr>z_TKDSV50174_MO_OS_Wagesandsalaries</vt:lpstr>
      <vt:lpstr>z_TKDSV50174_MO_RIS_AddbackDA</vt:lpstr>
      <vt:lpstr>z_TKDSV50174_MO_RIS_AddbackSBC</vt:lpstr>
      <vt:lpstr>z_TKDSV50174_MO_RIS_AdjustedEarningsPerShareWAB</vt:lpstr>
      <vt:lpstr>z_TKDSV50174_MO_RIS_AdjustedEarningsPerShareWAD</vt:lpstr>
      <vt:lpstr>z_TKDSV50174_MO_RIS_AdjustedEBIT</vt:lpstr>
      <vt:lpstr>z_TKDSV50174_MO_RIS_AdjustedEBITDA</vt:lpstr>
      <vt:lpstr>z_TKDSV50174_MO_RIS_AdjustedNetIncome</vt:lpstr>
      <vt:lpstr>z_TKDSV50174_MO_RIS_AdjustedSharesOutstandingWAB</vt:lpstr>
      <vt:lpstr>z_TKDSV50174_MO_RIS_AdjustedSharesOutstandingWAD</vt:lpstr>
      <vt:lpstr>z_TKDSV50174_MO_RIS_AdjustmentsforConvertibleSecurities</vt:lpstr>
      <vt:lpstr>z_TKDSV50174_MO_RIS_COGS</vt:lpstr>
      <vt:lpstr>z_TKDSV50174_MO_RIS_ConsensusEstimatesAdjustedEarningsPerShareWAD</vt:lpstr>
      <vt:lpstr>z_TKDSV50174_MO_RIS_ConsensusEstimatesAdjustedEBIT</vt:lpstr>
      <vt:lpstr>z_TKDSV50174_MO_RIS_ConsensusEstimatesAdjustedEBITDA</vt:lpstr>
      <vt:lpstr>z_TKDSV50174_MO_RIS_ConsensusEstimatesNetRevenue</vt:lpstr>
      <vt:lpstr>z_TKDSV50174_MO_RIS_Currenttax</vt:lpstr>
      <vt:lpstr>z_TKDSV50174_MO_RIS_Currenttaxrate</vt:lpstr>
      <vt:lpstr>z_TKDSV50174_MO_RIS_Deferredtax</vt:lpstr>
      <vt:lpstr>z_TKDSV50174_MO_RIS_Deferredtaxrate</vt:lpstr>
      <vt:lpstr>z_TKDSV50174_MO_RIS_DilutedNetIncometoCommonShareholders</vt:lpstr>
      <vt:lpstr>z_TKDSV50174_MO_RIS_DiscontinuedOperations</vt:lpstr>
      <vt:lpstr>z_TKDSV50174_MO_RIS_EarningsPerShareWAB</vt:lpstr>
      <vt:lpstr>z_TKDSV50174_MO_RIS_EarningsPerShareWAD</vt:lpstr>
      <vt:lpstr>z_TKDSV50174_MO_RIS_EarningstoPreferredandOtherSecurities</vt:lpstr>
      <vt:lpstr>z_TKDSV50174_MO_RIS_EBIT</vt:lpstr>
      <vt:lpstr>z_TKDSV50174_MO_RIS_EBITDA</vt:lpstr>
      <vt:lpstr>z_TKDSV50174_MO_RIS_EBT</vt:lpstr>
      <vt:lpstr>z_TKDSV50174_MO_RIS_GA</vt:lpstr>
      <vt:lpstr>z_TKDSV50174_MO_RIS_GrossProfit</vt:lpstr>
      <vt:lpstr>z_TKDSV50174_MO_RIS_Netfinanceexpense</vt:lpstr>
      <vt:lpstr>z_TKDSV50174_MO_RIS_NetIncomefromContinuedOperation</vt:lpstr>
      <vt:lpstr>z_TKDSV50174_MO_RIS_NetIncometoCommonShareholders</vt:lpstr>
      <vt:lpstr>z_TKDSV50174_MO_RIS_NetIncometoNCI</vt:lpstr>
      <vt:lpstr>z_TKDSV50174_MO_RIS_NetRevenue</vt:lpstr>
      <vt:lpstr>z_TKDSV50174_MO_RIS_NonGAAPAdjustments</vt:lpstr>
      <vt:lpstr>z_TKDSV50174_MO_RIS_NonGAAPAdjustmentsforDilutiveSecurities</vt:lpstr>
      <vt:lpstr>z_TKDSV50174_MO_RIS_SharesOutstandingWAB</vt:lpstr>
      <vt:lpstr>z_TKDSV50174_MO_RIS_SharesOutstandingWAD</vt:lpstr>
      <vt:lpstr>z_TKDSV50174_MO_Section_AN_AdjustedNumbersAsReported</vt:lpstr>
      <vt:lpstr>z_TKDSV50174_MO_Section_BS_BalanceSheet</vt:lpstr>
      <vt:lpstr>z_TKDSV50174_MO_Section_BSS_BalanceSheetSummary</vt:lpstr>
      <vt:lpstr>z_TKDSV50174_MO_Section_CFS_CashFlowStatement</vt:lpstr>
      <vt:lpstr>z_TKDSV50174_MO_Section_CFSum_CashFlowSummary</vt:lpstr>
      <vt:lpstr>z_TKDSV50174_MO_Section_DAF_DAForecasting</vt:lpstr>
      <vt:lpstr>z_TKDSV50174_MO_Section_GA_GrowthAnalysis</vt:lpstr>
      <vt:lpstr>z_TKDSV50174_MO_Section_IS_IncomeStatementAsReported</vt:lpstr>
      <vt:lpstr>z_TKDSV50174_MO_Section_MA_MarginAnalysis</vt:lpstr>
      <vt:lpstr>z_TKDSV50174_MO_Section_MA_Valuation</vt:lpstr>
      <vt:lpstr>z_TKDSV50174_MO_Section_OS_DABreakdownFS</vt:lpstr>
      <vt:lpstr>z_TKDSV50174_MO_Section_OS_FinanceExpenseIncome</vt:lpstr>
      <vt:lpstr>z_TKDSV50174_MO_Section_OS_KeyMetricsCashConversionFS</vt:lpstr>
      <vt:lpstr>z_TKDSV50174_MO_Section_OS_KeyMetricsCustomerBaseFS</vt:lpstr>
      <vt:lpstr>z_TKDSV50174_MO_Section_OS_KeyMetricsEmployeeFS</vt:lpstr>
      <vt:lpstr>z_TKDSV50174_MO_Section_OS_KeyMetricsOperatingprofitAR</vt:lpstr>
      <vt:lpstr>z_TKDSV50174_MO_Section_OS_OperatingStatsGrossInvoicedIncomeFS</vt:lpstr>
      <vt:lpstr>z_TKDSV50174_MO_Section_OS_SegmentedResultsRevenueBreakdownFS</vt:lpstr>
      <vt:lpstr>z_TKDSV50174_MO_Section_OS_ShareCountAnalysis</vt:lpstr>
      <vt:lpstr>z_TKDSV50174_MO_Section_OS_WorkingCapitalForecasting</vt:lpstr>
      <vt:lpstr>z_TKDSV50174_MO_Section_RIS_RevisedIncomeStatement</vt:lpstr>
      <vt:lpstr>z_TKDSV50174_MO_Section_SNA_Canalyst</vt:lpstr>
      <vt:lpstr>z_TKDSV50174_MO_Section_SNA_ModelChecks</vt:lpstr>
      <vt:lpstr>z_TKDSV50174_MO_Section_SNA_OtherTables</vt:lpstr>
      <vt:lpstr>z_TKDSV50174_MO_SubSection_BS_CurrentAssets</vt:lpstr>
      <vt:lpstr>z_TKDSV50174_MO_SubSection_BS_CurrentLiabilities</vt:lpstr>
      <vt:lpstr>z_TKDSV50174_MO_SubSection_BS_NonCurrentAssets</vt:lpstr>
      <vt:lpstr>z_TKDSV50174_MO_SubSection_BS_NonCurrentLiabilities</vt:lpstr>
      <vt:lpstr>z_TKDSV50174_MO_SubSection_BS_ShareholdersEquity</vt:lpstr>
      <vt:lpstr>z_TKDSV50174_MO_SubSection_CFS_CFF</vt:lpstr>
      <vt:lpstr>z_TKDSV50174_MO_SubSection_CFS_CFI</vt:lpstr>
      <vt:lpstr>z_TKDSV50174_MO_SubSection_CFS_CFO</vt:lpstr>
      <vt:lpstr>z_TKDSV50174_MO_Unstructured_SNA_AdjustedEarningsPerShareWAD</vt:lpstr>
      <vt:lpstr>z_TKDSV50174_MO_Unstructured_SNA_AdjustedEBIT_1</vt:lpstr>
      <vt:lpstr>z_TKDSV50174_MO_Unstructured_SNA_AdjustedEBITDA</vt:lpstr>
      <vt:lpstr>z_TKDSV50174_MO_Unstructured_SNA_ApplyTradeCurrencyScaling</vt:lpstr>
      <vt:lpstr>z_TKDSV50174_MO_Unstructured_SNA_Avg</vt:lpstr>
      <vt:lpstr>z_TKDSV50174_MO_Unstructured_SNA_Bloomberg</vt:lpstr>
      <vt:lpstr>z_TKDSV50174_MO_Unstructured_SNA_Bloomberg_1</vt:lpstr>
      <vt:lpstr>z_TKDSV50174_MO_Unstructured_SNA_Bloomberg_2</vt:lpstr>
      <vt:lpstr>z_TKDSV50174_MO_Unstructured_SNA_Bloomberg_3</vt:lpstr>
      <vt:lpstr>z_TKDSV50174_MO_Unstructured_SNA_CapitalIQ</vt:lpstr>
      <vt:lpstr>z_TKDSV50174_MO_Unstructured_SNA_CapitalIQ_1</vt:lpstr>
      <vt:lpstr>z_TKDSV50174_MO_Unstructured_SNA_CapitalIQ_2</vt:lpstr>
      <vt:lpstr>z_TKDSV50174_MO_Unstructured_SNA_CapitalIQ_3</vt:lpstr>
      <vt:lpstr>z_TKDSV50174_MO_Unstructured_SNA_ConsensusEstimatesAdjustedEarningsPerShareWAD</vt:lpstr>
      <vt:lpstr>z_TKDSV50174_MO_Unstructured_SNA_ConsensusEstimatesAdjustedEBIT_1</vt:lpstr>
      <vt:lpstr>z_TKDSV50174_MO_Unstructured_SNA_ConsensusEstimatesAdjustedEBITDA</vt:lpstr>
      <vt:lpstr>z_TKDSV50174_MO_Unstructured_SNA_ConsensusEstimatesCapex</vt:lpstr>
      <vt:lpstr>z_TKDSV50174_MO_Unstructured_SNA_ConsensusEstimatesCashFlowPerDilutedShare</vt:lpstr>
      <vt:lpstr>z_TKDSV50174_MO_Unstructured_SNA_ConsensusEstimatesGrossMargin</vt:lpstr>
      <vt:lpstr>z_TKDSV50174_MO_Unstructured_SNA_ConsensusEstimatesNetRevenue</vt:lpstr>
      <vt:lpstr>z_TKDSV50174_MO_Unstructured_SNA_ConsensusEstimateTable</vt:lpstr>
      <vt:lpstr>z_TKDSV50174_MO_Unstructured_SNA_CurrentFiscalYear</vt:lpstr>
      <vt:lpstr>z_TKDSV50174_MO_Unstructured_SNA_DataSourceIndex</vt:lpstr>
      <vt:lpstr>z_TKDSV50174_MO_Unstructured_SNA_EVEBITDAAvg</vt:lpstr>
      <vt:lpstr>z_TKDSV50174_MO_Unstructured_SNA_FactSet</vt:lpstr>
      <vt:lpstr>z_TKDSV50174_MO_Unstructured_SNA_FactSet_1</vt:lpstr>
      <vt:lpstr>z_TKDSV50174_MO_Unstructured_SNA_FactSet_2</vt:lpstr>
      <vt:lpstr>z_TKDSV50174_MO_Unstructured_SNA_FactSet_3</vt:lpstr>
      <vt:lpstr>z_TKDSV50174_MO_Unstructured_SNA_FirstForecastFiscalYear</vt:lpstr>
      <vt:lpstr>z_TKDSV50174_MO_Unstructured_SNA_FiscalPeriodStartDate</vt:lpstr>
      <vt:lpstr>z_TKDSV50174_MO_Unstructured_SNA_FXAverageRealTimeOffSource</vt:lpstr>
      <vt:lpstr>z_TKDSV50174_MO_Unstructured_SNA_FXEoP</vt:lpstr>
      <vt:lpstr>z_TKDSV50174_MO_Unstructured_SNA_FYorFQ</vt:lpstr>
      <vt:lpstr>z_TKDSV50174_MO_Unstructured_SNA_GeneralTable</vt:lpstr>
      <vt:lpstr>z_TKDSV50174_MO_Unstructured_SNA_High</vt:lpstr>
      <vt:lpstr>z_TKDSV50174_MO_Unstructured_SNA_IsHistoricalPeriod</vt:lpstr>
      <vt:lpstr>z_TKDSV50174_MO_Unstructured_SNA_KeyOutputs</vt:lpstr>
      <vt:lpstr>z_TKDSV50174_MO_Unstructured_SNA_KPICount</vt:lpstr>
      <vt:lpstr>z_TKDSV50174_MO_Unstructured_SNA_KPIData</vt:lpstr>
      <vt:lpstr>z_TKDSV50174_MO_Unstructured_SNA_LastPrice</vt:lpstr>
      <vt:lpstr>z_TKDSV50174_MO_Unstructured_SNA_LastPriceDate</vt:lpstr>
      <vt:lpstr>z_TKDSV50174_MO_Unstructured_SNA_LastPriceFormula</vt:lpstr>
      <vt:lpstr>z_TKDSV50174_MO_Unstructured_SNA_LastWorkingDayInPeriod</vt:lpstr>
      <vt:lpstr>z_TKDSV50174_MO_Unstructured_SNA_LONSCT</vt:lpstr>
      <vt:lpstr>z_TKDSV50174_MO_Unstructured_SNA_Low</vt:lpstr>
      <vt:lpstr>z_TKDSV50174_MO_Unstructured_SNA_ModelSheetCurrencyHardcoded</vt:lpstr>
      <vt:lpstr>z_TKDSV50174_MO_Unstructured_SNA_MOMAEBITDAAdj</vt:lpstr>
      <vt:lpstr>z_TKDSV50174_MO_Unstructured_SNA_MOOSEmployeeCount</vt:lpstr>
      <vt:lpstr>z_TKDSV50174_MO_Unstructured_SNA_MORISEBITDAAdj</vt:lpstr>
      <vt:lpstr>z_TKDSV50174_MO_Unstructured_SNA_MORISEPSWADAdj</vt:lpstr>
      <vt:lpstr>z_TKDSV50174_MO_Unstructured_SNA_MORISNINONGAAPDiluted</vt:lpstr>
      <vt:lpstr>z_TKDSV50174_MO_Unstructured_SNA_MORISREV</vt:lpstr>
      <vt:lpstr>z_TKDSV50174_MO_Unstructured_SNA_MostRecentFiscalPeriodMRFP</vt:lpstr>
      <vt:lpstr>z_TKDSV50174_MO_Unstructured_SNA_MostRecentFX</vt:lpstr>
      <vt:lpstr>z_TKDSV50174_MO_Unstructured_SNA_MostRecentFXHardcoded</vt:lpstr>
      <vt:lpstr>z_TKDSV50174_MO_Unstructured_SNA_MRFPColumnNumber</vt:lpstr>
      <vt:lpstr>z_TKDSV50174_MO_Unstructured_SNA_NetRevenue</vt:lpstr>
      <vt:lpstr>z_TKDSV50174_MO_Unstructured_SNA_PEAvg</vt:lpstr>
      <vt:lpstr>z_TKDSV50174_MO_Unstructured_SNA_Period</vt:lpstr>
      <vt:lpstr>z_TKDSV50174_MO_Unstructured_SNA_RealTimeOffSource</vt:lpstr>
      <vt:lpstr>z_TKDSV50174_MO_Unstructured_SNA_RealTimeOffSource_1</vt:lpstr>
      <vt:lpstr>z_TKDSV50174_MO_Unstructured_SNA_RealTimeOffSource_2</vt:lpstr>
      <vt:lpstr>z_TKDSV50174_MO_Unstructured_SNA_RealTimeOffSource_3</vt:lpstr>
      <vt:lpstr>z_TKDSV50174_MO_Unstructured_SNA_RealTimeStockPrice</vt:lpstr>
      <vt:lpstr>z_TKDSV50174_MO_Unstructured_SNA_Refinitiv</vt:lpstr>
      <vt:lpstr>z_TKDSV50174_MO_Unstructured_SNA_Refinitiv_1</vt:lpstr>
      <vt:lpstr>z_TKDSV50174_MO_Unstructured_SNA_Refinitiv_2</vt:lpstr>
      <vt:lpstr>z_TKDSV50174_MO_Unstructured_SNA_Refinitiv_3</vt:lpstr>
      <vt:lpstr>z_TKDSV50174_MO_Unstructured_SNA_SCTGB</vt:lpstr>
      <vt:lpstr>z_TKDSV50174_MO_Unstructured_SNA_SCTLEU</vt:lpstr>
      <vt:lpstr>z_TKDSV50174_MO_Unstructured_SNA_SCTLN</vt:lpstr>
      <vt:lpstr>z_TKDSV50174_MO_Unstructured_SNA_SCTSL</vt:lpstr>
      <vt:lpstr>z_TKDSV50174_MO_Unstructured_SNA_StockAverageRealTimeOffSource</vt:lpstr>
      <vt:lpstr>z_TKDSV50174_MO_Unstructured_SNA_StockHighRealTimeOffSource</vt:lpstr>
      <vt:lpstr>z_TKDSV50174_MO_Unstructured_SNA_StockLowRealTimeOffSource</vt:lpstr>
      <vt:lpstr>z_TKDSV50174_MO_Unstructured_SNA_StockPriceEoP</vt:lpstr>
      <vt:lpstr>z_TKDSV50174_MO_Unstructured_SNA_StockPriceTable</vt:lpstr>
      <vt:lpstr>z_TKDSV50174_MO_Unstructured_SNA_TickerSymbol</vt:lpstr>
      <vt:lpstr>z_TKDSV50174_MO_Unstructured_SNA_TradeCurrency</vt:lpstr>
      <vt:lpstr>z_TKDSV50174_MO_Unstructured_SNA_TradeCurrencyHardcoded</vt:lpstr>
      <vt:lpstr>z_TKDSV50174_MO_Unstructured_SNA_ValuationToggleTable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DanB</dc:creator>
  <cp:keywords/>
  <dc:description/>
  <cp:lastModifiedBy>Dan Berring</cp:lastModifiedBy>
  <cp:revision/>
  <dcterms:created xsi:type="dcterms:W3CDTF">2016-07-01T11:49:22Z</dcterms:created>
  <dcterms:modified xsi:type="dcterms:W3CDTF">2025-05-20T19:07:53Z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0x01010097B54F80F9326D4AB5846AC1C3383526</vt:lpwstr>
  </property>
  <property fmtid="{D5CDD505-2E9C-101B-9397-08002B2CF9AE}" pid="3" name="Order">
    <vt:r8>3649400</vt:r8>
  </property>
  <property fmtid="{D5CDD505-2E9C-101B-9397-08002B2CF9AE}" pid="4" name="{A44787D4-0540-4523-9961-78E4036D8C6D}">
    <vt:lpwstr>{EA887E22-2B55-43F1-A157-C20C4B15654E}</vt:lpwstr>
  </property>
  <property fmtid="{D5CDD505-2E9C-101B-9397-08002B2CF9AE}" pid="5" name="MediaServiceImageTags">
    <vt:lpwstr/>
  </property>
</Properties>
</file>